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20.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21.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20.xml.rels" ContentType="application/vnd.openxmlformats-package.relationships+xml"/>
  <Override PartName="/xl/drawings/_rels/drawing3.xml.rels" ContentType="application/vnd.openxmlformats-package.relationships+xml"/>
  <Override PartName="/xl/drawings/_rels/drawing21.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_rels/drawing17.xml.rels" ContentType="application/vnd.openxmlformats-package.relationships+xml"/>
  <Override PartName="/xl/drawings/_rels/drawing18.xml.rels" ContentType="application/vnd.openxmlformats-package.relationships+xml"/>
  <Override PartName="/xl/drawings/_rels/drawing19.xml.rels" ContentType="application/vnd.openxmlformats-package.relationship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9"/>
  </bookViews>
  <sheets>
    <sheet name="Ocorrências Mensais - FAT" sheetId="1" state="hidden" r:id="rId3"/>
    <sheet name="INSTRUÇÕES" sheetId="2" state="visible" r:id="rId4"/>
    <sheet name="Dados" sheetId="3" state="visible" r:id="rId5"/>
    <sheet name="Encargos" sheetId="4" state="visible" r:id="rId6"/>
    <sheet name="Equipamentos" sheetId="5" state="visible" r:id="rId7"/>
    <sheet name="EPI" sheetId="6" state="visible" r:id="rId8"/>
    <sheet name="Insumos" sheetId="7" state="visible" r:id="rId9"/>
    <sheet name="Uniformes" sheetId="8" state="visible" r:id="rId10"/>
    <sheet name="Resumo" sheetId="9" state="visible" r:id="rId11"/>
    <sheet name="Custo Substituto" sheetId="10" state="visible" r:id="rId12"/>
    <sheet name="Assistente Administrativo 150" sheetId="11" state="visible" r:id="rId13"/>
    <sheet name="Assistente Administrativo 200" sheetId="12" state="visible" r:id="rId14"/>
    <sheet name="Encarregado Geral" sheetId="13" state="visible" r:id="rId15"/>
    <sheet name="Copeira 200" sheetId="14" state="visible" r:id="rId16"/>
    <sheet name="Servente Limpeza - Insal. (20%)" sheetId="15" state="visible" r:id="rId17"/>
    <sheet name="Limpador de Vidro" sheetId="16" state="visible" r:id="rId18"/>
    <sheet name="Recepcionista 150" sheetId="17" state="visible" r:id="rId19"/>
    <sheet name="Servente Limpeza - Insal (40%)" sheetId="18" state="visible" r:id="rId20"/>
    <sheet name="Servente Limpeza 200h" sheetId="19" state="visible" r:id="rId21"/>
    <sheet name="Zelador acúmulo Lavador Jardin." sheetId="20" state="visible" r:id="rId22"/>
    <sheet name="IPCA" sheetId="21" state="hidden" r:id="rId23"/>
  </sheets>
  <definedNames>
    <definedName function="false" hidden="false" localSheetId="10" name="_xlnm.Print_Area" vbProcedure="false">'Assistente Administrativo 150'!$A$1:$J$46</definedName>
    <definedName function="false" hidden="false" localSheetId="11" name="_xlnm.Print_Area" vbProcedure="false">'Assistente Administrativo 200'!$A$1:$J$46</definedName>
    <definedName function="false" hidden="false" localSheetId="13" name="_xlnm.Print_Area" vbProcedure="false">'Copeira 200'!$A$1:$J$47</definedName>
    <definedName function="false" hidden="false" localSheetId="2" name="_xlnm.Print_Area" vbProcedure="false">Dados!$A$1:$V$61</definedName>
    <definedName function="false" hidden="false" localSheetId="3" name="_xlnm.Print_Area" vbProcedure="false">Encargos!$A$1:$C$59</definedName>
    <definedName function="false" hidden="false" localSheetId="12" name="_xlnm.Print_Area" vbProcedure="false">'Encarregado Geral'!$A$1:$J$46</definedName>
    <definedName function="false" hidden="false" localSheetId="6" name="_xlnm.Print_Area" vbProcedure="false">Insumos!$A$1:$K$111</definedName>
    <definedName function="false" hidden="false" localSheetId="15" name="_xlnm.Print_Area" vbProcedure="false">'Limpador de Vidro'!$A$1:$J$47</definedName>
    <definedName function="false" hidden="false" localSheetId="16" name="_xlnm.Print_Area" vbProcedure="false">'Recepcionista 150'!$A$1:$J$46</definedName>
    <definedName function="false" hidden="false" localSheetId="8" name="_xlnm.Print_Area" vbProcedure="false">Resumo!$A$1:$W$27</definedName>
    <definedName function="false" hidden="false" localSheetId="17" name="_xlnm.Print_Area" vbProcedure="false">'Servente Limpeza - Insal (40%)'!$A$1:$J$47</definedName>
    <definedName function="false" hidden="false" localSheetId="14" name="_xlnm.Print_Area" vbProcedure="false">'Servente Limpeza - Insal. (20%)'!$A$1:$J$47</definedName>
    <definedName function="false" hidden="false" localSheetId="18" name="_xlnm.Print_Area" vbProcedure="false">'Servente Limpeza 200h'!$A$1:$J$47</definedName>
    <definedName function="false" hidden="false" localSheetId="7" name="_xlnm.Print_Area" vbProcedure="false">Uniformes!$A$1:$H$64</definedName>
    <definedName function="false" hidden="false" localSheetId="19" name="_xlnm.Print_Area" vbProcedure="false">'Zelador acúmulo Lavador Jardin.'!$A$1:$J$47</definedName>
    <definedName function="false" hidden="false" name="BS" vbProcedure="false">NA()</definedName>
    <definedName function="false" hidden="false" name="BT" vbProcedure="false">NA()</definedName>
    <definedName function="false" hidden="false" name="CIDADE" vbProcedure="false">NA()</definedName>
    <definedName function="false" hidden="false" name="CIDADES" vbProcedure="false">NA()</definedName>
    <definedName function="false" hidden="false" name="CPMF" vbProcedure="false">NA()</definedName>
    <definedName function="false" hidden="false" name="d" vbProcedure="false">NA()</definedName>
    <definedName function="false" hidden="false" name="ENCARGOS" vbProcedure="false">NA()</definedName>
    <definedName function="false" hidden="false" name="Excel_BuiltIn_Print_Area_1_1" vbProcedure="false">"$#REF!.$A$2:$C$99"</definedName>
    <definedName function="false" hidden="false" name="Excel_BuiltIn_Print_Area_6_1" vbProcedure="false">NA()</definedName>
    <definedName function="false" hidden="false" name="Excel_BuiltIn_Print_Area_7_1" vbProcedure="false">NA()</definedName>
    <definedName function="false" hidden="false" name="Excel_BuiltIn_Print_Area_8_1" vbProcedure="false">NA()</definedName>
    <definedName function="false" hidden="false" name="Excel_BuiltIn_Print_Area_9_1" vbProcedure="false">NA()</definedName>
    <definedName function="false" hidden="false" name="ISS" vbProcedure="false">NA()</definedName>
    <definedName function="false" hidden="false" name="Jornada" vbProcedure="false">NA()</definedName>
    <definedName function="false" hidden="false" name="TERRIT" vbProcedure="false">NA()</definedName>
    <definedName function="false" hidden="false" name="Tipo_de_Joranda_de_Trabalho" vbProcedure="false">NA()</definedName>
    <definedName function="false" hidden="false" name="TP_SERV" vbProcedure="false">NA()</definedName>
    <definedName function="false" hidden="false" name="TP_SERVPERC" vbProcedure="false">NA()</definedName>
    <definedName function="false" hidden="false" name="VRSELEC"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<sst xmlns="http://schemas.openxmlformats.org/spreadsheetml/2006/main" count="1864" uniqueCount="772">
  <si>
    <t xml:space="preserve">OCORRÊNCIAS MENSAIS DO FATURAMENTO </t>
  </si>
  <si>
    <t xml:space="preserve">UTILIZAÇÃO DO GESTOR CONTRATUAL PARA REALIZAÇÃO DO FATURAMENTO MENSAL</t>
  </si>
  <si>
    <t xml:space="preserve">DEFINIR BASE DE DESCONTOS/GLOSAS:</t>
  </si>
  <si>
    <t xml:space="preserve">MÊS CONTÁBIL</t>
  </si>
  <si>
    <r>
      <rPr>
        <b val="true"/>
        <sz val="10"/>
        <rFont val="Calibri"/>
        <family val="2"/>
        <charset val="1"/>
      </rPr>
      <t xml:space="preserve">INSTRUÇÕES DE PREENCHIMENTO
UTILIZAÇÃO EXCLUSIVA FISCAL/GESTOR
PARA AUXILIAR NO VALOR DE FATURAMENTO
Preencher as células destacadas na cor </t>
    </r>
    <r>
      <rPr>
        <b val="true"/>
        <sz val="10"/>
        <color rgb="FFFF0000"/>
        <rFont val="Calibri"/>
        <family val="2"/>
        <charset val="1"/>
      </rPr>
      <t xml:space="preserve">vermelha</t>
    </r>
    <r>
      <rPr>
        <b val="true"/>
        <sz val="10"/>
        <rFont val="Calibri"/>
        <family val="2"/>
        <charset val="1"/>
      </rPr>
      <t xml:space="preserve"> para realização dos cálculos das demais abas.
Não é necessário preenchimento de outras abas.</t>
    </r>
  </si>
  <si>
    <t xml:space="preserve">Informar número de Postos que não utilizam V.T.
(Coluna "D")</t>
  </si>
  <si>
    <t xml:space="preserve">Informar se titular do posto é optante pelo recebimento de V.T.
(Coluna "E")</t>
  </si>
  <si>
    <t xml:space="preserve">Desconto automático de V.T.
(Coluna "F")</t>
  </si>
  <si>
    <t xml:space="preserve">Preencher o número de dias (corridos) que o terceirizado que não recebe vt ficou afastado por férias ou faltas
(Coluna "G")</t>
  </si>
  <si>
    <t xml:space="preserve">Preencher nº de dias úteis em que o optante de V.T realizou trabalho em Home Office OU dias de Recesso Forense / Ponto facultativo
(Coluna "H")</t>
  </si>
  <si>
    <t xml:space="preserve">Conversão das horas de ausência em dias de ausência
(Coluna "I")</t>
  </si>
  <si>
    <t xml:space="preserve">Dias de ausência
(Coluna "J")</t>
  </si>
  <si>
    <t xml:space="preserve">Nº dias de faltas comuns sem substituição.
(Coluna "K")</t>
  </si>
  <si>
    <t xml:space="preserve">Informar número de dias por férias no mês (dias)
(Coluna "L")</t>
  </si>
  <si>
    <t xml:space="preserve">Desconto de V.A. por dias de recesso forense e/ou ponto facultativo.
(Coluna "M")</t>
  </si>
  <si>
    <t xml:space="preserve">Nº de dias corridos de férias sem substituição quando o adicional de insalubridade é passado para outra servente do quadro.
(Coluna "N")</t>
  </si>
  <si>
    <t xml:space="preserve">Somatório de glosas.
(Coluna "O")</t>
  </si>
  <si>
    <t xml:space="preserve">Somatório de acrésimo por substituição do posto insalubre por outro profissional do quadro.
(Coluna "P")</t>
  </si>
  <si>
    <t xml:space="preserve">Informativo sobre valor faturado por tipo de função.
(Coluna "Q")</t>
  </si>
  <si>
    <t xml:space="preserve">Informar código de elemento de despesa
(Coluna "R")</t>
  </si>
  <si>
    <t xml:space="preserve">INFORMATIVO PARA GESTÃO CONTRATUAL</t>
  </si>
  <si>
    <t xml:space="preserve">Quant</t>
  </si>
  <si>
    <t xml:space="preserve">Descrição das Categorias</t>
  </si>
  <si>
    <t xml:space="preserve">Carga Horária (horas)</t>
  </si>
  <si>
    <t xml:space="preserve">Nº Postos não optantes pelo recebimento de V.T.</t>
  </si>
  <si>
    <t xml:space="preserve">Realizar glosa por não fornecimento de V.T.?</t>
  </si>
  <si>
    <t xml:space="preserve">Dias de
Glosa V.T.
Para Não Optantes</t>
  </si>
  <si>
    <t xml:space="preserve">Ajuste de V.T para fornecimento para
postos Não Optantes</t>
  </si>
  <si>
    <t xml:space="preserve">Dias de Home Office OU Recesso para os postos Optantes de V.T.</t>
  </si>
  <si>
    <t xml:space="preserve">Dias de faltas após conversão das horas
(planilha auxiliar)</t>
  </si>
  <si>
    <t xml:space="preserve">Quant. Atrasos e Faltas</t>
  </si>
  <si>
    <t xml:space="preserve">Dias de Férias</t>
  </si>
  <si>
    <t xml:space="preserve">Dias de Glosas de V.A no Mês</t>
  </si>
  <si>
    <t xml:space="preserve">*1 Dias de Deslocamento de Insalubridade</t>
  </si>
  <si>
    <t xml:space="preserve">VALOR TOTAL GLOSADO</t>
  </si>
  <si>
    <t xml:space="preserve">VALOR TOTAL ACRESCIDO</t>
  </si>
  <si>
    <t xml:space="preserve">Valor Mensal 
Faturado com aplicação de descontos</t>
  </si>
  <si>
    <t xml:space="preserve">Elemento de Despesa </t>
  </si>
  <si>
    <t xml:space="preserve">VALOR DE RETENÇÃO CONTA VINCULADA</t>
  </si>
  <si>
    <t xml:space="preserve">CÓDIGOS ELEMENTO DE DESPESA</t>
  </si>
  <si>
    <t xml:space="preserve">FATURAMENTO MENSAL</t>
  </si>
  <si>
    <t xml:space="preserve">SIM</t>
  </si>
  <si>
    <t xml:space="preserve">ELEMENTO 1</t>
  </si>
  <si>
    <t xml:space="preserve">ELEMENTO 2</t>
  </si>
  <si>
    <t xml:space="preserve">ELEMENTO 5</t>
  </si>
  <si>
    <t xml:space="preserve">VALOR TOTAL GLOSADOS</t>
  </si>
  <si>
    <t xml:space="preserve">OBSERVAÇÕES:</t>
  </si>
  <si>
    <t xml:space="preserve">1. Para apoio ao lançamento de ausências de horas, sugere-se a utilização da planilha complementar abaixo. O preenchimento das horas convertidas deve ocorrer na Coluna "I".</t>
  </si>
  <si>
    <t xml:space="preserve">Planilha auxiliar para conversão de horas de ausências em dias de faltas. (preenchimento coluna "I")</t>
  </si>
  <si>
    <t xml:space="preserve">Jornada</t>
  </si>
  <si>
    <t xml:space="preserve">Total de Horas</t>
  </si>
  <si>
    <t xml:space="preserve">Total de Minutos</t>
  </si>
  <si>
    <t xml:space="preserve">Conversão em Dias</t>
  </si>
  <si>
    <t xml:space="preserve">Obs: Informar a jornada de trabalho do posto analisado. Em sequência, informar as horas completas faltantes e posteriormente os minutos. Ex: 10:25h faltantes - Lançar 10 na célula "D26" e lançar 25 na célula "E26".
Lançar o resultado convertido na coluna "H".</t>
  </si>
  <si>
    <t xml:space="preserve">2. Na célula “N18” deverá ser informado a quantidade de dias em que o trabalho insalubre foi realizado por outra servente do quadro, durante as férias da Servente de Limpeza 40% insalubre - titular.</t>
  </si>
  <si>
    <t xml:space="preserve">ITEM</t>
  </si>
  <si>
    <t xml:space="preserve">INSUMO DE LIMPEZA</t>
  </si>
  <si>
    <t xml:space="preserve">GASTO MENSAL</t>
  </si>
  <si>
    <r>
      <rPr>
        <b val="true"/>
        <u val="single"/>
        <sz val="10"/>
        <rFont val="Calibri"/>
        <family val="2"/>
        <charset val="1"/>
      </rPr>
      <t xml:space="preserve">ANÁLISE CRÍTICA </t>
    </r>
    <r>
      <rPr>
        <b val="true"/>
        <sz val="10"/>
        <rFont val="Calibri"/>
        <family val="2"/>
        <charset val="1"/>
      </rPr>
      <t xml:space="preserve">SOBRE O FORNECIMENTO DOS MATERIAIS
ESTIMATIVA MENSAL x FORNECIMENTO EFETIVO
(INFORMAÇÃO COMO PARÂMETRO DE INDICATIVO)</t>
    </r>
  </si>
  <si>
    <t xml:space="preserve">REFERÊNCIA MENSAL PARA FORNECIMENTO</t>
  </si>
  <si>
    <t xml:space="preserve">Insumo</t>
  </si>
  <si>
    <t xml:space="preserve">Unid.</t>
  </si>
  <si>
    <t xml:space="preserve">Marcas de Referência</t>
  </si>
  <si>
    <t xml:space="preserve">QNTDE "REAL" FORNECIDA
NO MÊS</t>
  </si>
  <si>
    <t xml:space="preserve">Custo Mensal</t>
  </si>
  <si>
    <t xml:space="preserve">Quantidade Mensal</t>
  </si>
  <si>
    <t xml:space="preserve">Quantidade Total</t>
  </si>
  <si>
    <t xml:space="preserve">Periodicidade</t>
  </si>
  <si>
    <t xml:space="preserve">Divisor</t>
  </si>
  <si>
    <t xml:space="preserve">DESPESA MENSAL</t>
  </si>
  <si>
    <t xml:space="preserve">TAXA ADMINISTRATIVA</t>
  </si>
  <si>
    <t xml:space="preserve">LUCRO</t>
  </si>
  <si>
    <t xml:space="preserve">TRIBUTOS</t>
  </si>
  <si>
    <t xml:space="preserve">VALOR TOTAL COM MATERIAIS DE LIMPEZA</t>
  </si>
  <si>
    <t xml:space="preserve">INSUMO DE LIMPEZA DE COPA</t>
  </si>
  <si>
    <t xml:space="preserve">VALOR TOTAL COM MATERIAIS DE COPA</t>
  </si>
  <si>
    <t xml:space="preserve">INSUMO DE JARDINEIRO</t>
  </si>
  <si>
    <t xml:space="preserve">VALOR TOTAL COM MATERIAIS DE JARDINEIRO</t>
  </si>
  <si>
    <t xml:space="preserve">INSUMO DE LIMPEZA DE VEÍCULO</t>
  </si>
  <si>
    <t xml:space="preserve">VALOR TOTAL COM MATERIAIS DE LIMPEZA DE VEÍCULO</t>
  </si>
  <si>
    <t xml:space="preserve">LISTA PARA OPÇÕES DE GLOSAS</t>
  </si>
  <si>
    <t xml:space="preserve">DIAS ÚTEIS (CONTRATO)</t>
  </si>
  <si>
    <t xml:space="preserve">Obs: Desconto por dias definidos em contrato.</t>
  </si>
  <si>
    <t xml:space="preserve">Obs: Desconto atualmente aplicado (30 dias corridos).</t>
  </si>
  <si>
    <t xml:space="preserve">DIAS DO MÊS VIGENTE</t>
  </si>
  <si>
    <t xml:space="preserve">Informar</t>
  </si>
  <si>
    <t xml:space="preserve">Obs: Desconto por dias úteis mensais, ocorrência variável, devendo ser informado mensalmente.</t>
  </si>
  <si>
    <t xml:space="preserve">JORNADA DE TRABALHO</t>
  </si>
  <si>
    <t xml:space="preserve">DIVISOR DE HORAS</t>
  </si>
  <si>
    <t xml:space="preserve">LISTA PARA TOTAL DE POSTOS</t>
  </si>
  <si>
    <t xml:space="preserve">Tribunal Regional Federal da 6ª Região</t>
  </si>
  <si>
    <t xml:space="preserve">Seção Judiciária de Minas Gerais</t>
  </si>
  <si>
    <t xml:space="preserve">Subseção Judiciária de Uberlândia</t>
  </si>
  <si>
    <t xml:space="preserve">INSTRUÇÕES DE PREENCHIMENTO - ANEXO X - PLANILHAS DE COMPOSIÇÃO DE CUSTOS</t>
  </si>
  <si>
    <t xml:space="preserve">1.</t>
  </si>
  <si>
    <t xml:space="preserve">SOMENTE SERÃO ACEITAS MODIFICAÇÕES NAS CÉLULAS DESTACADAS NA COR AMARELA COMO NO EXEMPLO ABAIXO:</t>
  </si>
  <si>
    <t xml:space="preserve">Células de livre edição.</t>
  </si>
  <si>
    <t xml:space="preserve">2.</t>
  </si>
  <si>
    <r>
      <rPr>
        <sz val="10"/>
        <rFont val="Calibri"/>
        <family val="2"/>
        <charset val="1"/>
      </rPr>
      <t xml:space="preserve">As demais células estarão </t>
    </r>
    <r>
      <rPr>
        <b val="true"/>
        <sz val="10"/>
        <rFont val="Calibri"/>
        <family val="2"/>
        <charset val="1"/>
      </rPr>
      <t xml:space="preserve">bloqueadas</t>
    </r>
    <r>
      <rPr>
        <sz val="10"/>
        <rFont val="Calibri"/>
        <family val="2"/>
        <charset val="1"/>
      </rPr>
      <t xml:space="preserve"> para edição das licitantes.</t>
    </r>
  </si>
  <si>
    <t xml:space="preserve">3.</t>
  </si>
  <si>
    <t xml:space="preserve">As Abas necessárias para o preenchimento estão organizadas em uma sequência lógica, sendo Dados; Encargos; Materiais (limpeza, copa, etc.); Equipamentos; Uniforme.</t>
  </si>
  <si>
    <t xml:space="preserve">Os nomes das abas estarão abreviados para otimização da planilha.</t>
  </si>
  <si>
    <r>
      <rPr>
        <b val="true"/>
        <sz val="10"/>
        <rFont val="Calibri"/>
        <family val="2"/>
        <charset val="1"/>
      </rPr>
      <t xml:space="preserve">Sugere-se o preenchimento das seguintes abas em sequência: </t>
    </r>
    <r>
      <rPr>
        <sz val="10"/>
        <rFont val="Calibri"/>
        <family val="2"/>
        <charset val="1"/>
      </rPr>
      <t xml:space="preserve">Dados, Encargos, Materiais, EPI, Equipamentos e Uniforme, para a realização de cálculos completa da planilha de composição de custos.</t>
    </r>
  </si>
  <si>
    <t xml:space="preserve">3.1</t>
  </si>
  <si>
    <t xml:space="preserve">Estas Abas estarão destacadas na Cor Amarela.</t>
  </si>
  <si>
    <t xml:space="preserve">3.2</t>
  </si>
  <si>
    <t xml:space="preserve">PREENCHIMENTO ABA "DADOS"</t>
  </si>
  <si>
    <t xml:space="preserve"> - Informar piso salarial de cada categoria, correspondente à jornada de 220h. (Células "E7":"E16").</t>
  </si>
  <si>
    <t xml:space="preserve"> - Informar o percentual de acúmulo de função a ser aplicado. (Célula "I14").</t>
  </si>
  <si>
    <t xml:space="preserve"> - Informar o salário base para cálculo da atividade acumulada. (Célula "K14").</t>
  </si>
  <si>
    <t xml:space="preserve"> - Informar os Dados da Apresentação da Proposta e relacionados à Convenção Coletiva de Trabalho. Tais informações não interferem na execução de cálculos, servem apenas para instruir o processo da análise da proposta. (Células "E19:E23").</t>
  </si>
  <si>
    <t xml:space="preserve"> - Informar o percentual correspondente ao RAT, conforme atividade principal da licitante. (Célula "G29").</t>
  </si>
  <si>
    <t xml:space="preserve"> - Informar o fator correspondente ao FAP, conforme extraído do relatório FapWeb. (Célula "G30").</t>
  </si>
  <si>
    <t xml:space="preserve"> - Informar o valor do salário mínimo nacional vigente (base de cálculo para a cotação de insalubridade). (Célula "G33").</t>
  </si>
  <si>
    <t xml:space="preserve"> - Informar o valor unitário do Seguro de Vida, nos casos exigidos, conforme legislação vigente. (Célula "G36").</t>
  </si>
  <si>
    <t xml:space="preserve"> - Informar o valor unitário do Programa de Assistência Familiar - PAF, nos casos exigidos, conforme legislação vigente. (Célula "G37").</t>
  </si>
  <si>
    <t xml:space="preserve"> - Informar o valor unitário da tarifa de transporte público vigente à data de apresentação da proposta, conforme legislação vigente. (Célula "G38").</t>
  </si>
  <si>
    <t xml:space="preserve"> - Informar o quantitativo unitário diário de tarifas de transporte público (ex.: 1 tarifa para ida e 1 tarifa para volta = Total de 2 tarifas). (Célula "G39").</t>
  </si>
  <si>
    <t xml:space="preserve"> - Informar o percentual de desconto à título de participação do trabalhador em relação ao fornecimento de vale transporte, nos casos exigidos, conforme legislação vigente. (Célula "G41").</t>
  </si>
  <si>
    <t xml:space="preserve"> - Informar o valor unitário do ticket de Vale Alimentação, nos casos exigidos, conforme legislação vigente. (Célula "G42").</t>
  </si>
  <si>
    <t xml:space="preserve"> - Informar o número de dias ou total do fornecimento do Vale Alimentação, nos casos exigidos, conforme legislação vigente. Exemplo: se fornecimento por valor mensal inserir o total de 1 dia, se fornecimento diário inserir 22 dias,(Célula "G43").</t>
  </si>
  <si>
    <t xml:space="preserve"> - Informar o percentual de desconto à título de participação do trabalhador em relação ao fornecimento de Vale Alimentação, nos casos exigidos, conforme legislação vigente. (Célula "G44").</t>
  </si>
  <si>
    <t xml:space="preserve"> - Incluir outros custos não previstos previamente, bem como descrevê-los, em caso de previsão legal, devendo ser apresentadas justificativas para a inserção. (Células "B45" e "G45").</t>
  </si>
  <si>
    <t xml:space="preserve"> - Incluir outros custos não previstos previamente, bem como descrevê-los, em caso de previsão legal, devendo ser apresentadas justificativas para a inserção. (Células "B46" e "G46").</t>
  </si>
  <si>
    <t xml:space="preserve"> - Informar o percentual relativo às Despesas Administrativas da licitante. (Células "G49").</t>
  </si>
  <si>
    <t xml:space="preserve"> - Informar o percentual relativo ao Lucro da licitante. (Células "G50").</t>
  </si>
  <si>
    <t xml:space="preserve"> - Informar a opção tributária da licitante (Células "F56") conforme legislação vigente, OBSERVANDO as instruções contantes na Célula "B55".</t>
  </si>
  <si>
    <t xml:space="preserve"> - Informar o percentual da alíquota COFINS (Células "G657) conforme legislação vigente, OBSERVANDO as instruções contantes na Célula "B55".</t>
  </si>
  <si>
    <t xml:space="preserve"> - Informar o percentual da alíquota PIS/PASEP (Células "G58") conforme legislação vigente, OBSERVANDO as instruções contantes na Célula "B55".</t>
  </si>
  <si>
    <t xml:space="preserve"> - Informar o percentual da alíquota ISSQN (Células "G59") conforme legislação vigente, OBSERVANDO as instruções contantes na Célula "B55".</t>
  </si>
  <si>
    <t xml:space="preserve"> - Informar o percentual da alíquota ISSQN (Células "G60") conforme legislação vigente, OBSERVANDO as instruções contantes na Célula "B55".</t>
  </si>
  <si>
    <t xml:space="preserve"> - Alterar SOMENTE aqueles destacados na COR AMARELA.</t>
  </si>
  <si>
    <t xml:space="preserve">3.3</t>
  </si>
  <si>
    <t xml:space="preserve">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</si>
  <si>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</si>
  <si>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</si>
  <si>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 xml:space="preserve">3.4</t>
  </si>
  <si>
    <t xml:space="preserve">PREENCHIMENTO ABA "INSUMOS"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</si>
  <si>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</si>
  <si>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</si>
  <si>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Insumos de Limpeza (Células "G9:G62")</t>
  </si>
  <si>
    <t xml:space="preserve">- Insumos de Copa (Células "G69:G83")</t>
  </si>
  <si>
    <t xml:space="preserve">- Insumos de Jardineiro (Células "G90:G99")</t>
  </si>
  <si>
    <t xml:space="preserve">- Insumos de Limpeza de Veículo (Células "G106:G111")</t>
  </si>
  <si>
    <t xml:space="preserve"> - O preenchimento das células da Coluna "H" está permitida somente para inserção de Observações, caso necessário.</t>
  </si>
  <si>
    <t xml:space="preserve">3.6</t>
  </si>
  <si>
    <t xml:space="preserve">PREENCHIMENTO ABA "EQUIPAMENTOS"</t>
  </si>
  <si>
    <t xml:space="preserve"> - Informar os valores unitários de cada item nas células destacadas em amarelo dispostas na "Coluna D", de acordo com sua descrição "Colunas B:C".</t>
  </si>
  <si>
    <t xml:space="preserve">3.7</t>
  </si>
  <si>
    <t xml:space="preserve">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</si>
  <si>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</si>
  <si>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ABA "Especificações" que visam melhor entendimento dos itens de uniforme solicitados.</t>
  </si>
  <si>
    <t xml:space="preserve"> - Atentar-se às observações adicionais dispostas na ABA "Especificações", ao final do quadro com o detalhamento dos uniformes. (OBSERVAÇÕES)</t>
  </si>
  <si>
    <t xml:space="preserve">4.</t>
  </si>
  <si>
    <r>
      <rPr>
        <sz val="10"/>
        <rFont val="Calibri"/>
        <family val="2"/>
        <charset val="1"/>
      </rPr>
      <t xml:space="preserve">Destaca-se que após o preenchimento destas Abas (de acordo com as instruções contidas no item 3), os preços individuais das </t>
    </r>
    <r>
      <rPr>
        <b val="true"/>
        <sz val="10"/>
        <rFont val="Calibri"/>
        <family val="2"/>
        <charset val="1"/>
      </rPr>
      <t xml:space="preserve">categorias</t>
    </r>
    <r>
      <rPr>
        <sz val="10"/>
        <rFont val="Calibri"/>
        <family val="2"/>
        <charset val="1"/>
      </rPr>
      <t xml:space="preserve"> profissionais serão refletidos automaticamente para as suas abas correspondentes (Serv Ins, Serv, Copeira, Zel ac. e Aux).</t>
    </r>
  </si>
  <si>
    <t xml:space="preserve">4.1</t>
  </si>
  <si>
    <r>
      <rPr>
        <b val="true"/>
        <sz val="10"/>
        <rFont val="Calibri"/>
        <family val="2"/>
        <charset val="1"/>
      </rPr>
      <t xml:space="preserve">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</si>
  <si>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 xml:space="preserve">4.2</t>
  </si>
  <si>
    <t xml:space="preserve">Estas abas estão destacadas na Cor Cinza.</t>
  </si>
  <si>
    <t xml:space="preserve">5.</t>
  </si>
  <si>
    <r>
      <rPr>
        <sz val="10"/>
        <rFont val="Calibri"/>
        <family val="2"/>
        <charset val="1"/>
      </rPr>
      <t xml:space="preserve">A Aba "</t>
    </r>
    <r>
      <rPr>
        <b val="true"/>
        <sz val="10"/>
        <rFont val="Calibri"/>
        <family val="2"/>
        <charset val="1"/>
      </rPr>
      <t xml:space="preserve">Resumo</t>
    </r>
    <r>
      <rPr>
        <sz val="10"/>
        <rFont val="Calibri"/>
        <family val="2"/>
        <charset val="1"/>
      </rPr>
      <t xml:space="preserve">" contém o detalhamento dos custos unitários por categoria profissional, além de conter o preço final da proposta.</t>
    </r>
  </si>
  <si>
    <t xml:space="preserve">5.1</t>
  </si>
  <si>
    <r>
      <rPr>
        <sz val="10"/>
        <rFont val="Calibri"/>
        <family val="2"/>
        <charset val="1"/>
      </rPr>
      <t xml:space="preserve">Para efeitos de lance/oferta, as licitantes devem considerar o valor da célula "W24", da Aba "Resumo", correspondente ao </t>
    </r>
    <r>
      <rPr>
        <b val="true"/>
        <sz val="10"/>
        <rFont val="Calibri"/>
        <family val="2"/>
        <charset val="1"/>
      </rPr>
      <t xml:space="preserve">VALOR MENSAL.</t>
    </r>
  </si>
  <si>
    <t xml:space="preserve">5.2</t>
  </si>
  <si>
    <t xml:space="preserve">Esta aba está destacada na Cor Azul.</t>
  </si>
  <si>
    <t xml:space="preserve">6.</t>
  </si>
  <si>
    <r>
      <rPr>
        <sz val="10"/>
        <rFont val="Calibri"/>
        <family val="2"/>
        <charset val="1"/>
      </rPr>
      <t xml:space="preserve">A Aba "</t>
    </r>
    <r>
      <rPr>
        <b val="true"/>
        <sz val="10"/>
        <rFont val="Calibri"/>
        <family val="2"/>
        <charset val="1"/>
      </rPr>
      <t xml:space="preserve">Custo Estimado Substituto</t>
    </r>
    <r>
      <rPr>
        <sz val="10"/>
        <rFont val="Calibri"/>
        <family val="2"/>
        <charset val="1"/>
      </rPr>
      <t xml:space="preserve">" contém valores estimados com os profissionais substitutos do titular em férias.</t>
    </r>
  </si>
  <si>
    <t xml:space="preserve">6.1</t>
  </si>
  <si>
    <t xml:space="preserve">Não será necessário realizar nenhuma alteração nesta aba, pois conterá apenas o reflexo dos dados preenchidos nas abas anteriores (conforme explicação nº 3).</t>
  </si>
  <si>
    <t xml:space="preserve">6.2</t>
  </si>
  <si>
    <t xml:space="preserve">ANEXO X - PLANILHA DE CUSTO E FORMAÇÃO DE PREÇO MENSAL ESTIMATIVO - PLANILHA DE DADOS</t>
  </si>
  <si>
    <t xml:space="preserve">Elemento de Despesa</t>
  </si>
  <si>
    <t xml:space="preserve">Quantidade de Postos</t>
  </si>
  <si>
    <t xml:space="preserve">Carga Horária
(Horas)</t>
  </si>
  <si>
    <t xml:space="preserve">*OBS 1 -
Salário Base I (Piso Para 220h/m)
(R$)</t>
  </si>
  <si>
    <t xml:space="preserve">Salário Base II
(Conforme Jornada Contratada)
(R$)</t>
  </si>
  <si>
    <t xml:space="preserve">
Insalubridade/Periculosidade
Grau de Risco
(%)</t>
  </si>
  <si>
    <t xml:space="preserve">Valor Insalubridade/Periculosidade
(R$)</t>
  </si>
  <si>
    <t xml:space="preserve">*OBS 2 -
Acúmulo de Função / Acréscimo Salarial
(%)</t>
  </si>
  <si>
    <t xml:space="preserve">*OBS 3 -
Tempo de Execução de Atividades em Acúmulo
(%)</t>
  </si>
  <si>
    <t xml:space="preserve">*OBS 4 -
Base Para Cálculo de Acúmulo de Função
(R$)</t>
  </si>
  <si>
    <t xml:space="preserve">Valor Acúmulo de Função
(R$)</t>
  </si>
  <si>
    <t xml:space="preserve">Remuneração Total
(Grupo A)
(R$)</t>
  </si>
  <si>
    <t xml:space="preserve">Uniforme
(R$)</t>
  </si>
  <si>
    <t xml:space="preserve">Material de Limpeza Rateado
(R$)</t>
  </si>
  <si>
    <t xml:space="preserve">Material Limpador de Vidro Rateado (R$)</t>
  </si>
  <si>
    <t xml:space="preserve">Material de Copa Rateado
(R$)</t>
  </si>
  <si>
    <t xml:space="preserve">Material Jardineiro Rateado (R$)</t>
  </si>
  <si>
    <t xml:space="preserve">Material Limpeza de Veículo Rateado (R$)</t>
  </si>
  <si>
    <t xml:space="preserve">EPI</t>
  </si>
  <si>
    <t xml:space="preserve">Depreciação Rateada
(R$)</t>
  </si>
  <si>
    <t xml:space="preserve">CÓDIGO DE ELEMENTO DE DESPESA
(CONTROLE DA CONTRATANTE)</t>
  </si>
  <si>
    <t xml:space="preserve">RATEIO
INSUMOS</t>
  </si>
  <si>
    <t xml:space="preserve">339037-01</t>
  </si>
  <si>
    <t xml:space="preserve">Assistente Administrativo</t>
  </si>
  <si>
    <t xml:space="preserve">Recepcionista</t>
  </si>
  <si>
    <t xml:space="preserve">339037-02</t>
  </si>
  <si>
    <t xml:space="preserve">Servente de Limpeza insalubridade (20%)</t>
  </si>
  <si>
    <t xml:space="preserve">Limpador de Vidro</t>
  </si>
  <si>
    <t xml:space="preserve">Servente de Limpeza</t>
  </si>
  <si>
    <t xml:space="preserve">Servente de Limpeza insalubridade (40%)</t>
  </si>
  <si>
    <t xml:space="preserve">Zelador acúmulo de função Lavador de Carro e Jardineiro</t>
  </si>
  <si>
    <t xml:space="preserve">Encarregado Geral</t>
  </si>
  <si>
    <t xml:space="preserve">339037-05</t>
  </si>
  <si>
    <t xml:space="preserve">Copeira</t>
  </si>
  <si>
    <t xml:space="preserve">OBS 1: Inserir piso salarial correspondente à jornada de 220h mensais.      OBS 2: Informar % de acúmulo de função.</t>
  </si>
  <si>
    <t xml:space="preserve">OBS 3: Informar % do tempo de acúmulo de função.   OBS 4: Informar salário base.</t>
  </si>
  <si>
    <t xml:space="preserve">TOTAL</t>
  </si>
  <si>
    <t xml:space="preserve">DADOS DA PROPOSTA</t>
  </si>
  <si>
    <t xml:space="preserve">Data de apresentação da proposta</t>
  </si>
  <si>
    <t xml:space="preserve">DATA DA PROPOSTA</t>
  </si>
  <si>
    <t xml:space="preserve">Informar a data da proposta.</t>
  </si>
  <si>
    <t xml:space="preserve">Sindicato utilizado</t>
  </si>
  <si>
    <t xml:space="preserve">SEAC/MG x SINDEACO/MG</t>
  </si>
  <si>
    <t xml:space="preserve">Informar o sindicato utilizado pela Licitante.</t>
  </si>
  <si>
    <t xml:space="preserve">Número de registro da CCT - Código MTE</t>
  </si>
  <si>
    <t xml:space="preserve">MG001252/2025</t>
  </si>
  <si>
    <t xml:space="preserve">Informar o número de registro da Convenção Coletiva de Tralbalho vinculante à empresa, junto ao Ministério do Trabalho e Emprego.</t>
  </si>
  <si>
    <t xml:space="preserve">Vigência da CCT utilizada</t>
  </si>
  <si>
    <t xml:space="preserve">01/01/2025 à 31/12/2025</t>
  </si>
  <si>
    <t xml:space="preserve">Informar a vigência da Convenção Coletiva de Trabalho vinculante à empresa.</t>
  </si>
  <si>
    <t xml:space="preserve">Data base da categoria</t>
  </si>
  <si>
    <t xml:space="preserve">01º Janeiro</t>
  </si>
  <si>
    <t xml:space="preserve">Informar a data base da Convenção Coletiva de Trabalho vinculante à empresa.</t>
  </si>
  <si>
    <t xml:space="preserve">ENCARGOS SOCIAIS E TRABALHISTAS</t>
  </si>
  <si>
    <t xml:space="preserve">-</t>
  </si>
  <si>
    <t xml:space="preserve">Percentual de Encargos (TOTAL)</t>
  </si>
  <si>
    <t xml:space="preserve">SAT - Seguro Acidentes Trabalho</t>
  </si>
  <si>
    <t xml:space="preserve">RAT (Atividade Principal)</t>
  </si>
  <si>
    <t xml:space="preserve">Informar percentual correspondente à atividade preponderante da Licitante.</t>
  </si>
  <si>
    <t xml:space="preserve">FAP (Conforme FapWeb)</t>
  </si>
  <si>
    <t xml:space="preserve">Informar Fator extraído do documento FapWeb da Licitante.</t>
  </si>
  <si>
    <t xml:space="preserve">SALÁRIO BASE PARE CÁLCULO DE INSALUBRIDADE</t>
  </si>
  <si>
    <t xml:space="preserve">SALÁRIO MINÍMO NACIONAL</t>
  </si>
  <si>
    <t xml:space="preserve">Informar base salarial para fins de cálculo de Insalubridade.</t>
  </si>
  <si>
    <t xml:space="preserve">BENEFÍCIOS</t>
  </si>
  <si>
    <t xml:space="preserve">Seguro de Vida em Grupo</t>
  </si>
  <si>
    <t xml:space="preserve">Inserir valor unitário mensal.</t>
  </si>
  <si>
    <t xml:space="preserve">Programa de Assistência a Saúde</t>
  </si>
  <si>
    <t xml:space="preserve">Vale Transporte</t>
  </si>
  <si>
    <t xml:space="preserve">Valor da tarifa</t>
  </si>
  <si>
    <t xml:space="preserve">Inserir o valor unitário da tarifa.</t>
  </si>
  <si>
    <t xml:space="preserve">Número de Tarifas por dia</t>
  </si>
  <si>
    <t xml:space="preserve">Inserir a quantidade de tarifas diárias.</t>
  </si>
  <si>
    <t xml:space="preserve">Número de dias para fornecimento</t>
  </si>
  <si>
    <t xml:space="preserve">Número de dias utilizados para a precificação. Número determinado em edital. Não será permitido alteração.</t>
  </si>
  <si>
    <t xml:space="preserve">Custeio do trabalhador (participação legal)</t>
  </si>
  <si>
    <t xml:space="preserve">Inserir percentual de participação do trabalhador.</t>
  </si>
  <si>
    <t xml:space="preserve">Vale Alimentação</t>
  </si>
  <si>
    <t xml:space="preserve">Valor Unitário do Ticket </t>
  </si>
  <si>
    <t xml:space="preserve">Inserir valor unitário do Ticket.</t>
  </si>
  <si>
    <t xml:space="preserve">Inserir o número de dias ou total do fornecimento do Vale Alimentação, nos casos exigidos, conforme legislação vigente ou CCT vinculante. Exemplo: se fornecimento por valor mensal inserir o total de 1 dia, se fornecimento diário inserir 22 dias.</t>
  </si>
  <si>
    <t xml:space="preserve">Plano de Assistência Odontológica</t>
  </si>
  <si>
    <t xml:space="preserve">Inserir valor unitário mensal, quando preenchido, e apresentar as justificativas legais para inclusão.</t>
  </si>
  <si>
    <t xml:space="preserve">Outros (inserir somente com a justificativa legal)</t>
  </si>
  <si>
    <t xml:space="preserve">MONTANTE C</t>
  </si>
  <si>
    <t xml:space="preserve">Despesas Administrativas</t>
  </si>
  <si>
    <t xml:space="preserve">Informar percentual da Licitante.</t>
  </si>
  <si>
    <t xml:space="preserve">Lucro</t>
  </si>
  <si>
    <t xml:space="preserve">MONTANTE D</t>
  </si>
  <si>
    <t xml:space="preserve">OBS:</t>
  </si>
  <si>
    <t xml:space="preserve">Opção Tributária</t>
  </si>
  <si>
    <t xml:space="preserve">LUCRO REAL</t>
  </si>
  <si>
    <t xml:space="preserve">Informar opção tributária da Licitante. Atentar-se às observações do "Montante D".</t>
  </si>
  <si>
    <t xml:space="preserve">COFINS</t>
  </si>
  <si>
    <t xml:space="preserve">Informar percentual da Licitante. Atentar-se às observações do "Montante D".</t>
  </si>
  <si>
    <t xml:space="preserve">PIS/PASEP</t>
  </si>
  <si>
    <t xml:space="preserve">ISSQN 7.10 - Limpeza</t>
  </si>
  <si>
    <t xml:space="preserve">Informar percentual do código tributário municipal, local da execução das atividades.</t>
  </si>
  <si>
    <t xml:space="preserve">ISSQN 17.05 - Fornecimento de mão-de-obra</t>
  </si>
  <si>
    <t xml:space="preserve">Informar o tipo de tributo e apresentar as justificativas legais para inclusão. Informar percentual da Licitante. Atentar-se às observações do "Montante D".</t>
  </si>
  <si>
    <t xml:space="preserve">Soma dos tributos</t>
  </si>
  <si>
    <t xml:space="preserve">ISSQN 7.10</t>
  </si>
  <si>
    <t xml:space="preserve">ISSQN 17.05</t>
  </si>
  <si>
    <t xml:space="preserve">PREVISÃO DE REAJUSTE IPCA - 12 (DOZE) MESES DE CONTRATO - INFORMATIVO PARA SER UTILIZADO DURANTE A GESTÃO CONTRATUAL</t>
  </si>
  <si>
    <t xml:space="preserve">UNIFORME</t>
  </si>
  <si>
    <t xml:space="preserve">MATERIAIS
DIVERSOS</t>
  </si>
  <si>
    <t xml:space="preserve">SEG VIDA</t>
  </si>
  <si>
    <t xml:space="preserve">FATOR DE APLICAÇÃO
(2 CASAS DECIMAIS)</t>
  </si>
  <si>
    <t xml:space="preserve">DATA DE APROVAÇÃO IPCA</t>
  </si>
  <si>
    <t xml:space="preserve">DOCUMENTO RELACIONADO ID</t>
  </si>
  <si>
    <t xml:space="preserve">1º REAJUSTE IPCA</t>
  </si>
  <si>
    <t xml:space="preserve">Percentual (%) aprovado</t>
  </si>
  <si>
    <t xml:space="preserve">Aplicar reajuste após solicitação da contratada?</t>
  </si>
  <si>
    <t xml:space="preserve">NÃO</t>
  </si>
  <si>
    <t xml:space="preserve">2º REAJUSTE IPCA</t>
  </si>
  <si>
    <t xml:space="preserve">3º REAJUSTE IPCA</t>
  </si>
  <si>
    <t xml:space="preserve">4º REAJUSTE IPCA</t>
  </si>
  <si>
    <t xml:space="preserve">5º REAJUSTE IPCA</t>
  </si>
  <si>
    <t xml:space="preserve">CONTROLE DE REAJUSTE IPCA - UNIFORME</t>
  </si>
  <si>
    <t xml:space="preserve">APLICAR
VALOR</t>
  </si>
  <si>
    <t xml:space="preserve">INICIAL</t>
  </si>
  <si>
    <t xml:space="preserve">CONTROLE DE REAJUSTE IPCA - MATERIAIS DIVERSOS</t>
  </si>
  <si>
    <t xml:space="preserve">CONTROLE DE REAJUSTE IPCA - EPI COVID</t>
  </si>
  <si>
    <t xml:space="preserve">CONTROLE DE REAJUSTE IPCA - SEGURO DE VIDA</t>
  </si>
  <si>
    <t xml:space="preserve">VALOR INICIAL DO CONTRATO</t>
  </si>
  <si>
    <t xml:space="preserve">1º REAJUSTE POR IPCA</t>
  </si>
  <si>
    <t xml:space="preserve">2º REAJUSTE POR IPCA</t>
  </si>
  <si>
    <t xml:space="preserve">3º REAJUSTE POR IPCA</t>
  </si>
  <si>
    <t xml:space="preserve">4º REAJUSTE POR IPCA</t>
  </si>
  <si>
    <t xml:space="preserve">5º REAJUSTE POR IPCA</t>
  </si>
  <si>
    <t xml:space="preserve">Fórmula SE, para inclusão após o término do processo licitatório. (INSERIR NA CÉLULA "G31")</t>
  </si>
  <si>
    <t xml:space="preserve">HISTÓRICO - CONTROLE DE CONTRATO - VERSÃO DE PLANILHA DE CUSTOS</t>
  </si>
  <si>
    <t xml:space="preserve">Planilha / Proposta comercial - Início do contrato (Licitação)</t>
  </si>
  <si>
    <t xml:space="preserve">PLANILHA - ID</t>
  </si>
  <si>
    <t xml:space="preserve">Obs: Planiha apresentada e aceita durante a fase de lances.</t>
  </si>
  <si>
    <t xml:space="preserve">1º Termo Aditivo</t>
  </si>
  <si>
    <t xml:space="preserve">Obs: Planilha ajustada com o acréscimo de 1 posto "X" - 200h.</t>
  </si>
  <si>
    <t xml:space="preserve">1º Termo de Apostilamento</t>
  </si>
  <si>
    <t xml:space="preserve">Obs: Repactuação CCT 2024 / Alteração do salário mínimo nacional.</t>
  </si>
  <si>
    <t xml:space="preserve">INFORMAR TERMO ADITIVO / APOSTILAMENTO / ALTERAÇÃO CONTRATUAL</t>
  </si>
  <si>
    <t xml:space="preserve">Obs: Descrever alerações. EX: Como é realizado no Extrato.</t>
  </si>
  <si>
    <t xml:space="preserve">Planilha de Encargos Sociais e Trabalhistas</t>
  </si>
  <si>
    <t xml:space="preserve">ANEXO X</t>
  </si>
  <si>
    <t xml:space="preserve">INSTRUÇÕES DE PREENCHIMENTO - Informar/Alterar somente as células destacadas na Cor Amarela, de acordo com o percentual da Licitante.</t>
  </si>
  <si>
    <t xml:space="preserve">QUADRO RESUMO</t>
  </si>
  <si>
    <t xml:space="preserve">DESCRIÇÃO</t>
  </si>
  <si>
    <t xml:space="preserve">PERCENTUAL</t>
  </si>
  <si>
    <t xml:space="preserve">Grupo A</t>
  </si>
  <si>
    <t xml:space="preserve">Encargos Previdenciários, FGTS e Outras Contribuições</t>
  </si>
  <si>
    <t xml:space="preserve">PREVIDÊNCIA SOCIAL - INSS</t>
  </si>
  <si>
    <t xml:space="preserve">SESI ou SESC</t>
  </si>
  <si>
    <t xml:space="preserve">SENAI ou SENAC</t>
  </si>
  <si>
    <t xml:space="preserve">INCRA</t>
  </si>
  <si>
    <t xml:space="preserve">Salário Educação</t>
  </si>
  <si>
    <t xml:space="preserve">FGTS</t>
  </si>
  <si>
    <t xml:space="preserve">SAT - Seguro Acidentes Trabalho - (RAT x FAP)</t>
  </si>
  <si>
    <t xml:space="preserve">  Alterar FAP e RAT na aba "DADOS"</t>
  </si>
  <si>
    <t xml:space="preserve">SEBRAE</t>
  </si>
  <si>
    <t xml:space="preserve">Total Grupo A - Encargos previdenciários, FGTS e Outras Contribuições</t>
  </si>
  <si>
    <t xml:space="preserve">Grupo B</t>
  </si>
  <si>
    <t xml:space="preserve">Grupo B.1</t>
  </si>
  <si>
    <t xml:space="preserve">13º Salário</t>
  </si>
  <si>
    <t xml:space="preserve">Adicional de Férias</t>
  </si>
  <si>
    <t xml:space="preserve">Subtotal</t>
  </si>
  <si>
    <t xml:space="preserve">Incidência do Grupo A sobre 13º salário e adicional de férias</t>
  </si>
  <si>
    <t xml:space="preserve">Total Grupo B.1 - 13º salário e adicional de férias</t>
  </si>
  <si>
    <t xml:space="preserve">Grupo B.2</t>
  </si>
  <si>
    <t xml:space="preserve">Afastamento Maternidade</t>
  </si>
  <si>
    <t xml:space="preserve">Licença Maternidade</t>
  </si>
  <si>
    <t xml:space="preserve">Incidência do Grupo A sobre o afastamento maternidade</t>
  </si>
  <si>
    <t xml:space="preserve">Total Grupo B.2 - Afastamento maternidade</t>
  </si>
  <si>
    <t xml:space="preserve">Grupo B.3</t>
  </si>
  <si>
    <t xml:space="preserve">Provisão para Rescisão</t>
  </si>
  <si>
    <t xml:space="preserve">Aviso Prévio Indenizado</t>
  </si>
  <si>
    <t xml:space="preserve">Incidência do FGTS sobre o Aviso Prévio Indenizado</t>
  </si>
  <si>
    <t xml:space="preserve">Multa do FGTS do Aviso Prévio Indenizado</t>
  </si>
  <si>
    <t xml:space="preserve">Aviso Prévio Trabalhado</t>
  </si>
  <si>
    <t xml:space="preserve">Incidência do Grupo A sobre o Aviso Prévio Trabalhado </t>
  </si>
  <si>
    <t xml:space="preserve">Multa do FGTS do Aviso Prévio Trabalhado </t>
  </si>
  <si>
    <t xml:space="preserve">Total Grupo B.3 - Provisão para rescisão</t>
  </si>
  <si>
    <t xml:space="preserve">Grupo B.4</t>
  </si>
  <si>
    <t xml:space="preserve">Composição do Custo de Reposição do Profissional Ausente</t>
  </si>
  <si>
    <t xml:space="preserve">Remuneração do profissional substituto</t>
  </si>
  <si>
    <t xml:space="preserve">Ausência por doença</t>
  </si>
  <si>
    <t xml:space="preserve">Licença Paternidade</t>
  </si>
  <si>
    <t xml:space="preserve">Ausências Legais</t>
  </si>
  <si>
    <t xml:space="preserve">Ausência por acidente de trabalho</t>
  </si>
  <si>
    <t xml:space="preserve">PERCENTUAIS PARA CONTINGENCIAMENTO DE ENCARGOS TRABALHISTAS A SEREM APLICADOS SOBRE A NOTA FISCAL (UTILIZAÇÃO DURANTE A VIGÊNCIA CONTRATUAL)</t>
  </si>
  <si>
    <t xml:space="preserve">Incidência do submódulo 4.1 sobre custo de reposição</t>
  </si>
  <si>
    <t xml:space="preserve">Total Grupo B.4 - Custo de reposição do profissional ausente</t>
  </si>
  <si>
    <t xml:space="preserve">Título</t>
  </si>
  <si>
    <t xml:space="preserve">VARIAÇÃO RAT AJUSTADO 0,50% A 6%</t>
  </si>
  <si>
    <t xml:space="preserve">Grupo C</t>
  </si>
  <si>
    <t xml:space="preserve">Outros (especificar)</t>
  </si>
  <si>
    <t xml:space="preserve">EMPRESAS</t>
  </si>
  <si>
    <t xml:space="preserve">Indenização Adicional</t>
  </si>
  <si>
    <t xml:space="preserve">Grupo </t>
  </si>
  <si>
    <t xml:space="preserve">Mínimo</t>
  </si>
  <si>
    <t xml:space="preserve">Máximo</t>
  </si>
  <si>
    <t xml:space="preserve">LICITANTE</t>
  </si>
  <si>
    <t xml:space="preserve">Total Grupo C - Indenização Adicional</t>
  </si>
  <si>
    <t xml:space="preserve">SUBMÓDULO E.1 - da IN 02/2008 MPOG:</t>
  </si>
  <si>
    <t xml:space="preserve">Quadro Resumo - Encargos Sociais e Trabalhistas</t>
  </si>
  <si>
    <t xml:space="preserve">SAT (RATxFAP):</t>
  </si>
  <si>
    <t xml:space="preserve">13º salário</t>
  </si>
  <si>
    <t xml:space="preserve">13º Salário + Adicional de Férias</t>
  </si>
  <si>
    <t xml:space="preserve">Férias</t>
  </si>
  <si>
    <t xml:space="preserve">1/3 constitucional</t>
  </si>
  <si>
    <t xml:space="preserve">Custo de Rescisão</t>
  </si>
  <si>
    <t xml:space="preserve">Custo de Reposição do profissional Ausente</t>
  </si>
  <si>
    <t xml:space="preserve">Incidência do Grupo A (*)</t>
  </si>
  <si>
    <t xml:space="preserve">Multa do FGTS</t>
  </si>
  <si>
    <t xml:space="preserve">Total dos Encargos Sociais Trabalhistas</t>
  </si>
  <si>
    <t xml:space="preserve">Encargos a contingenciar</t>
  </si>
  <si>
    <t xml:space="preserve">Taxa da conta-corrente vinculada (inciso II art. 2º IN 001/2013</t>
  </si>
  <si>
    <t xml:space="preserve">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</si>
  <si>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 xml:space="preserve">Total a contingenciar</t>
  </si>
  <si>
    <t xml:space="preserve">ANEXO X - CUSTO ESTIMATIVO DE PREÇOS DE EQUIPAMENTOS</t>
  </si>
  <si>
    <t xml:space="preserve">INSTRUÇÕES DE PREENCHIMENTO - Informar/Alterar somente as células destacadas na Cor Amarela, de acordo com o valor unitário da Licitante.</t>
  </si>
  <si>
    <t xml:space="preserve">Valores em R$</t>
  </si>
  <si>
    <t xml:space="preserve">Item</t>
  </si>
  <si>
    <t xml:space="preserve">Especificação</t>
  </si>
  <si>
    <t xml:space="preserve">Quant.</t>
  </si>
  <si>
    <t xml:space="preserve">Valor Unitário</t>
  </si>
  <si>
    <t xml:space="preserve">Valor Total</t>
  </si>
  <si>
    <t xml:space="preserve">Depreciação 10% ao Ano</t>
  </si>
  <si>
    <t xml:space="preserve">Repasse Mensal</t>
  </si>
  <si>
    <t xml:space="preserve">Quantidade de postos p/ rateio</t>
  </si>
  <si>
    <t xml:space="preserve">RELAÇÃO DE MÁQUINAS E EQUIPAMENTOS ZELADOR</t>
  </si>
  <si>
    <t xml:space="preserve">Lavadora de alta pressão 2500W Industrial - Lavadora de alta pressão, (máxima libras) 2500W, vazão de água de no mínimo 300 litros/h, potência a partir de 1800 watts, comprimento da mangueira de no mínimo – 4m, com descanso para pistola e lança gatilho, com trava de segurança, carrinho para transporte, rodízio, 220v, cabo elétrico com no mínimo 5 metros. Incluso: aplicador de detergente, bico, pistola ergonômica, engate, lavadora. </t>
  </si>
  <si>
    <t xml:space="preserve">Roçadeira Cortador de grama do tipo Roçadeira - Profissional - À Gasolina - mínimo 2 tempos</t>
  </si>
  <si>
    <t xml:space="preserve">Tesoura para corte de grama mínimo 48cm, qualidade superior - Profissional</t>
  </si>
  <si>
    <t xml:space="preserve">Soprador de folhas profissional costal à gasolina, com motor 2 tempos, potência mínima de 3,5 cv, velocidade mínima do ar de 1260m3/h ou 78m/s, peso máximo de 9,1 kg,  marca STIHL ou similar</t>
  </si>
  <si>
    <t xml:space="preserve">Serrote curvo para poda, lamina em aço com corte nos dois sentidos, mínimo de sete dentes por polegada, cabo ergonômico emborrachado, marca TRAMONTINA, RAMADA ou similar</t>
  </si>
  <si>
    <t xml:space="preserve">Serrote curvo podador de galhos altos com cabo extensor telescópio de, no mínimo, 3 metros, marca RAMADA, TRAMONTINA ou similar</t>
  </si>
  <si>
    <t xml:space="preserve">Tesoura para poda de galhos, profissional, lamina em aço, cabo emborrachado, com trava de segurança,  marca TRAMONTINA ou similar</t>
  </si>
  <si>
    <t xml:space="preserve">Vassoura Metálica (rastelo), Mínimo 22 Dentes, Com Cabo, marca TRAMONTINA ou similar</t>
  </si>
  <si>
    <t xml:space="preserve">Total da Depreciação de Máquinas e Equipamentos de Zelador</t>
  </si>
  <si>
    <t xml:space="preserve">RELAÇÃO DE MÁQUINAS E EQUIPAMENTOS SERVENTE</t>
  </si>
  <si>
    <t xml:space="preserve">Enceradeira Industrial CL 350 Cleaner ou Similar. Sistema de regulagem do cabo com pedal. Dispositivo de segurança, através de alavanca de acionamento liga/desliga. Silenciosa. Regulagem de altura do cabo através de pedal. Sistema de redução com 2 engrenagens intermediárias.</t>
  </si>
  <si>
    <t xml:space="preserve">Total da Depreciação de Máquinas e Equipamentos Servente</t>
  </si>
  <si>
    <t xml:space="preserve">RELAÇÃO DE MÁQUINAS E EQUIPAMENTOS SERVENTE / ZELADOR / LIMPADOR DE VIDROS</t>
  </si>
  <si>
    <t xml:space="preserve">Escada doméstica, material alumínio, número degraus 7, 8 ou 9, características adicionais pés antiderrapantes, trava de segurança, capacidade 120 kg, tipo dobrável.</t>
  </si>
  <si>
    <t xml:space="preserve">Total da Depreciação de Máquinas e Equipamentos Servente, Zelador e Limpador de Vidros</t>
  </si>
  <si>
    <t xml:space="preserve">RELAÇÃO DE MÁQUINAS E EQUIPAMENTOS SERVENTE / ZELADOR </t>
  </si>
  <si>
    <t xml:space="preserve">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</si>
  <si>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 xml:space="preserve">Total da Depreciação de Máquinas e Equipamentos Servente e Zelador</t>
  </si>
  <si>
    <t xml:space="preserve">RELAÇÃO DE MÁQUINAS E EQUIPAMENTOS ZELADOR / LIMPADOR DE VIDROS</t>
  </si>
  <si>
    <t xml:space="preserve">Escada doméstica, material alumínio, número degraus 16, características adicionais pés antiderrapantes, trava de segurança, capacidade 120 kg, tipo dobrável.</t>
  </si>
  <si>
    <t xml:space="preserve">Total da Depreciação de Máquinas e Equipamentos Zelador e Limpador de Vidros</t>
  </si>
  <si>
    <t xml:space="preserve">ANEXO X - CUSTO ESTIMATIVO DE EPI</t>
  </si>
  <si>
    <t xml:space="preserve">REFERÊNCIA</t>
  </si>
  <si>
    <t xml:space="preserve">EPI Bota Segurança Material: Pvc - Cloreto De Polivinila , Material Sola: Antiderrapante , Cor: Preta , Tipo Cano: Longo </t>
  </si>
  <si>
    <t xml:space="preserve">Anual</t>
  </si>
  <si>
    <t xml:space="preserve">Total de EPI de Servente , Zelador, Limpador de Vidros</t>
  </si>
  <si>
    <t xml:space="preserve">ANEXO X - CUSTO ESTIMATIVO DE INSUMOS DE LIMPEZA</t>
  </si>
  <si>
    <t xml:space="preserve">DESCRIÇÃO DO INSUMO</t>
  </si>
  <si>
    <t xml:space="preserve">OBSERVAÇÕES</t>
  </si>
  <si>
    <t xml:space="preserve">VALORES UNITÁRIOS DO CONTRATO, CORRIGIDOS PELO REAJUSTE DE IPCA.
(SUBSTITUIR/IGUALAR MANUALMENTE OS PREÇOS UNITÁRIOS DA COLUNA "R" NA PLANILHA DE MATERIAIS - QUANDO HOUVER PLANIHA INICIAL DO CONTRATO)</t>
  </si>
  <si>
    <t xml:space="preserve">Quantidade</t>
  </si>
  <si>
    <t xml:space="preserve">Preço Unitário</t>
  </si>
  <si>
    <t xml:space="preserve">VALOR INICIAL DO CONTRATO
(Informar após o término da licitação)</t>
  </si>
  <si>
    <t xml:space="preserve">Água sanitária galão de 5 litros, composição do produto: hipoclorito de sódio 2,5%, hidróxido de sódio e veículo, teor de cloro ativo entre 2,0 e 2,5% p/p.</t>
  </si>
  <si>
    <t xml:space="preserve">galão</t>
  </si>
  <si>
    <t xml:space="preserve">Santa Clara</t>
  </si>
  <si>
    <t xml:space="preserve">Mensal</t>
  </si>
  <si>
    <t xml:space="preserve">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</si>
  <si>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 xml:space="preserve">Asseptgel</t>
  </si>
  <si>
    <t xml:space="preserve">Balde Material: Plástico, Material Alça: Arame Galvanizado, Capacidade: 10 L, Cor: Preta, Características Adicionais: Reforço Fundo E Borda</t>
  </si>
  <si>
    <t xml:space="preserve">unid.</t>
  </si>
  <si>
    <t xml:space="preserve">Sanremo</t>
  </si>
  <si>
    <t xml:space="preserve">Semestral</t>
  </si>
  <si>
    <t xml:space="preserve">Balde plástico em polietileno de alta densidade, alta resistência a impacto, com paredes e fundo reforçados, com reforço no encaixe da alça de aço zincado constando no corpo a marcado fabricante, capacidade de 20 litros.</t>
  </si>
  <si>
    <t xml:space="preserve">Arqplast</t>
  </si>
  <si>
    <t xml:space="preserve">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</si>
  <si>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 xml:space="preserve">Azulim</t>
  </si>
  <si>
    <t xml:space="preserve">Cesto para lixo de 100 litros - tipo balde, com tampa e pedal - confeccionado em material de polipropileno ou poliestireno resistente, atóxico, com tampa sobreposta, duas alças laterais, cesto em formato redondo.</t>
  </si>
  <si>
    <t xml:space="preserve">Desentupidor Pia: Tipo: Sanfonado, Com Alto Poder De Sucção. Material: Borracha Flexível, Composto Por Polipropileno E Borracha Termoplástica. Plástico Resistente, Cabo Longo, mínimo 20 CM.</t>
  </si>
  <si>
    <t xml:space="preserve">Oliveira e Azevedo</t>
  </si>
  <si>
    <t xml:space="preserve">Desentupidor Vaso Sanitário Material: Borracha Flexível, Medidas aproximadas: Comprimento Cabo: 50 CM, Altura: 10 CM, Diâmetro: 16 CM, Material Cabo: Madeira</t>
  </si>
  <si>
    <t xml:space="preserve">Canada</t>
  </si>
  <si>
    <t xml:space="preserve">Desodorizador de ambiente com 360ml. Aromatizador de Ambientes Aerosol, conteúdo 360ml/240g sem Cfc. Essências suaves. Aplicação: aromatizador ambiental. Embalagem deverá conter externamente os dados de identificação, procedência, número do lote, validade e número do registro no Ministério da Saúde. Marca igual ou superior a Bom Ar, Glade ou Ultra Fresh.</t>
  </si>
  <si>
    <t xml:space="preserve">Glade</t>
  </si>
  <si>
    <t xml:space="preserve">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350mm, limpador confeccionado em fibra sintética e mineral abrasivo;</t>
  </si>
  <si>
    <t xml:space="preserve">Mirax Floral Bouquet</t>
  </si>
  <si>
    <t xml:space="preserve">Disco Escova Nylon branco ou verde para enceradeira industrial disco 350mm. Disco para enceradeira industrial, limpador confeccionado em fibra sintética e mineral abrasivo,com diâmetro de 350mm.industrial disco 350mm, limpador confeccionado em fibra sintética e mineral abrasivo;</t>
  </si>
  <si>
    <t xml:space="preserve">Cleaner</t>
  </si>
  <si>
    <t xml:space="preserve">Escova para lavar multiuso, oval, base plástica e cerdas de escova para lavar multiuso, oval, base plástica e cerdas de nylon.para lavar multiuso, oval, base plástica e cerdas de nylon.</t>
  </si>
  <si>
    <t xml:space="preserve">Condor</t>
  </si>
  <si>
    <t xml:space="preserve">Trimestral</t>
  </si>
  <si>
    <t xml:space="preserve">Escova Sanitária Redonda em plástico Branco contendo 01 escova para vaso sanitário e 01 suporte redondo: Branco Tamanho aprox.: 14 x 42 cm</t>
  </si>
  <si>
    <t xml:space="preserve">Limpamania</t>
  </si>
  <si>
    <t xml:space="preserve">Esponja Para Lavagem De Louças E Limpeza Em Geral, Dupla Face Sintética, Um Lado Em Espuma Poliuretano E Outro Em Fibra Sintética Abrasiva, Antibacteriana, Formato Retangular, Medindo Aproximadamente 110mm X 75mm X 20mm De Espessura. Pacote com 4 unidades.</t>
  </si>
  <si>
    <t xml:space="preserve">pacote</t>
  </si>
  <si>
    <t xml:space="preserve">Scotch-Brite</t>
  </si>
  <si>
    <t xml:space="preserve">Esponja de LÃ DE AÇO, composição básica: aço carbono abrasivo, p/ limpeza em geral, acondicionada em embalagem plástica original do fabricante, peso líquido aproximado de 60g, pacote c/ 08 unidades.</t>
  </si>
  <si>
    <t xml:space="preserve">Bombril</t>
  </si>
  <si>
    <t xml:space="preserve">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</si>
  <si>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 xml:space="preserve">Intextil</t>
  </si>
  <si>
    <t xml:space="preserve">Funil, material plástico, uso doméstico, diâmetro nominal 120 mm, características adicionais branco, com pegador.</t>
  </si>
  <si>
    <t xml:space="preserve">Plasútil</t>
  </si>
  <si>
    <t xml:space="preserve">Kit limpador de vidro: Rodo 2 em 1 limpa vidros com cabo telescópico extensor de 06 (seis) metros. Extremidade composta por lavador de acrílico e limpador com lâmina de borracha esponja de limpeza de aproximadamente 35 cm. Utilizado para limpeza de vidros e vidraças.</t>
  </si>
  <si>
    <t xml:space="preserve">Bralimpia</t>
  </si>
  <si>
    <t xml:space="preserve">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t>
  </si>
  <si>
    <t xml:space="preserve">Pedrex</t>
  </si>
  <si>
    <t xml:space="preserve">Lustra Móveis, Embalagem de 200 ml, Emulsão aquosa cremosa, perfumada, para aplicação em móveis e superfícies lisas. aromas diversos. frasco plástico de 200ml com bico econômico. embalagem certificada pelo INMETRO contendo data de fabricação, validade.</t>
  </si>
  <si>
    <t xml:space="preserve">Ypê ou Minuano</t>
  </si>
  <si>
    <t xml:space="preserve">Luva Segurança Com Forro. Material: 100% Látex Nitrílico, Tamanho: M ou G, Aplicação: Manuseio Reagente Químico E Radioativo, Características Adicionais: Com Forro, Sem Talco, Pulso Com Bainha, Modelo: Palma Antiderrapante, Cor: Verde, Tipo: Ambidestra</t>
  </si>
  <si>
    <t xml:space="preserve">Par</t>
  </si>
  <si>
    <t xml:space="preserve">Bettanin</t>
  </si>
  <si>
    <t xml:space="preserve">Mangueira para jardim, com 50 metros de extensão ou mais, antitorção, com engate de torneira e esguicho jato regulável</t>
  </si>
  <si>
    <t xml:space="preserve">Tramontina</t>
  </si>
  <si>
    <t xml:space="preserve">Pá p/ lixo em plástico resistente c/ cabo de madeira de aprox. 60cm de altura na vertical</t>
  </si>
  <si>
    <t xml:space="preserve">Papel higiênico branco, folha dupla, de alta qualidade, com dimensões 10cm X 30m, com a marca do fabricante e indicação na embalagem, absorvente e resistente, fardo com 4 rolos de 30 metros. Tipo Neve ou de melhor qualidade.</t>
  </si>
  <si>
    <t xml:space="preserve">Fardo com 4 rolos</t>
  </si>
  <si>
    <t xml:space="preserve">Neve</t>
  </si>
  <si>
    <t xml:space="preserve">Papel Toalha Interfolhado, 2 dobras, 100% fibras celulósicas, branco extra luxo, sem pintas ou outros tipos de sujidades, boa qualidade , medindo aproximadamente 23cm x 23 cm , acondicionado em caixa c/1000 folhas.</t>
  </si>
  <si>
    <t xml:space="preserve">caixa</t>
  </si>
  <si>
    <t xml:space="preserve">Economy ou similar</t>
  </si>
  <si>
    <t xml:space="preserve">Pedra sanitária c/ 25g - com suporte para fixar no vaso sanitário. Desinfetante sanitário em pedra 25 g</t>
  </si>
  <si>
    <t xml:space="preserve">Harpic, Pato</t>
  </si>
  <si>
    <t xml:space="preserve">Rodo Plástico e borracha dupla expandida de 40cm de largura, acompanha cabo de madeira plastificado de aproximadamente 1,26m, com garras pontiagudas nas laterais para melhor fixar panos de chão.</t>
  </si>
  <si>
    <t xml:space="preserve">Brubalar</t>
  </si>
  <si>
    <t xml:space="preserve">Rodo Plástico e borracha dupla expandida de 60cm, resistente e durável, que puxa e seca a água, feita em EVA e cepo em polipropileno com garras pontiagudas nas laterais para melhor fixar panos de chão.</t>
  </si>
  <si>
    <t xml:space="preserve">Rodo Mop Limpa Vidros Cabo Extensor Telescópio - Dupla Face </t>
  </si>
  <si>
    <t xml:space="preserve">Sabão em barra glicerinado - cor neutra. Pacote com 5 de 200g cada unidade.</t>
  </si>
  <si>
    <t xml:space="preserve">Minuano</t>
  </si>
  <si>
    <t xml:space="preserve">Sabão em Pó – Caixa de 0,8 a 1Kg. Sabão em pó, convencional, de primeira linha. Para lavar roupas e limpeza em geral.</t>
  </si>
  <si>
    <t xml:space="preserve">Omo ou similar</t>
  </si>
  <si>
    <t xml:space="preserve">Sapólio em pó 300g</t>
  </si>
  <si>
    <t xml:space="preserve">Sabonete líquido Concentrado, cremoso perolizado, pronto pra uso, aroma erva-doce, lavanda ou similar, galão de 05 litros.</t>
  </si>
  <si>
    <t xml:space="preserve">Nobre, Start, Ikebana</t>
  </si>
  <si>
    <t xml:space="preserve">Saco de Algodão Tipo: Alvejado, Tamanho: 60 X 80 CM, Cor: Branco, Características Adicionais: Dupla Face</t>
  </si>
  <si>
    <t xml:space="preserve">Santa Margarida</t>
  </si>
  <si>
    <t xml:space="preserve">Saco plástico reforçado para lixo em polietileno, com capacidade de 20 litros, com estanqueidade suficiente para que não haja vazamento de lixo líquido. com espessura mínima de 08 micra, na cor preta. Pacote com 100 unidades.</t>
  </si>
  <si>
    <t xml:space="preserve">Altaplast</t>
  </si>
  <si>
    <t xml:space="preserve">Saco plástico reforçado para lixo em polietileno, com capacidade de 100 litros, com estanqueidade suficiente para que não haja vazamento de lixo líquido. com espessura mínima de 10 micra, na cor preta. Pacote com 100 unidades.</t>
  </si>
  <si>
    <t xml:space="preserve">Pacote</t>
  </si>
  <si>
    <t xml:space="preserve">Polisac</t>
  </si>
  <si>
    <t xml:space="preserve">Vassoura Material Cerdas: Pêlo Sintético, Comprimento Cepa: 60 CM, Tipo Cabo: Reforçado, Material Cabo: Madeira</t>
  </si>
  <si>
    <t xml:space="preserve">Vassoura de nylon, cerdas c/ ponta desfiada, corpo de madeira medindo aproximadamente 25 x 05cm, c/ cabo de no mínimo 1,50m de comprimento</t>
  </si>
  <si>
    <t xml:space="preserve">Vassoura Material Cerdas: Piaçava, Aplicação: Limpeza, Material Cepa: Madeira, Comprimento Cepa: 40 CM, Comprimento Cerdas: 13 CM, Largura Cepa: 5 CM, Altura Cepa: 4 CM, Material Cabo: Madeira</t>
  </si>
  <si>
    <t xml:space="preserve">Noviça</t>
  </si>
  <si>
    <t xml:space="preserve">Limpa Carpetes e Estofados 5 litros, produto líquido para limpeza profunda e remoção de manchas e odores em tecidos como carpetes, tapetes, cortinas e estofados. Embalagem: Galão de 5L com rótulo completo</t>
  </si>
  <si>
    <t xml:space="preserve">Star Spartan</t>
  </si>
  <si>
    <t xml:space="preserve">Saco plástico reforçado para lixo em polietileno, com capacidade de 200 litros, com estanqueidade suficiente para que não haja vazamento de lixo líquido. com espessura mínima de 10 micra, na cor preta. Pacote com 100 unidades.</t>
  </si>
  <si>
    <t xml:space="preserve">Fibra de limpeza multiuso: produto não tecido à base de fibras sintéticas e mineral abrasivo unidos por resina á prova dàgua.</t>
  </si>
  <si>
    <t xml:space="preserve">Scotch Brite</t>
  </si>
  <si>
    <t xml:space="preserve">Detergente líquido para louça, neutro, embalagem de 5 litros. Deverá conter glicerina e ser testado e aprovado por dermatologistas. Com fórmula biodegradável. Deve possuir registro na Anvisa/Ministério da Saúde, o qual deverá estar impresso no rótulo.</t>
  </si>
  <si>
    <t xml:space="preserve">Ypê, Limpol</t>
  </si>
  <si>
    <t xml:space="preserve">Pulverizador plástico 500 ml com regulador no borrifador. características do produto: capacidade: 500 ml. material: corpo e bomba em plástico resistente de alta qualidade (como polietileno ou polipropileno), garantindo durabilidade e resistência ao uso contínuo. borrifador: bico ajustável com regulador de intensidade, permitindo escolha entre pulverização fina ou mais intensa, conforme a necessidade. mangueira: mangueira interna resistente à pressão, com comprimento adequado para facilitar o uso. tampa: tampa de fechamento com vedação segura para evitar vazamentos durante o armazenamento ou transporte.</t>
  </si>
  <si>
    <t xml:space="preserve">Vonder</t>
  </si>
  <si>
    <t xml:space="preserve">Cera Líquida 5 litros. Cera Líquida Autobrilhante. Aplicação: Pisos Cerâmicos, granitos, Mármores e Paviflex. Cores: Incolor/Amarela/Vermelha. Galão de 5 litros. A embalagem deverá conter externamente os dados de identificação, procedência, numero do lote, validade e número do registro no Ministério da saúde. Marca igual ou superior a Brilho Fácil, Inglesa ou Poliflor </t>
  </si>
  <si>
    <t xml:space="preserve">Brilho Fácil,  Inglesa ou Poliflor</t>
  </si>
  <si>
    <t xml:space="preserve">Suporte para fibra abrasiva em polipropileno, com junção articulada e cabo em alumínio</t>
  </si>
  <si>
    <t xml:space="preserve">Limpa vidro 05 litros. Limpa Vidros líquido ou spray com álcool, cor: incolor/azul, embalagem de 05 litros. A embalagem deverá conter externamente os dados de identificação, procedência, número do lote, validade e número do registro no ministério da saúde. Marca igual ou superior Veja, Criviali ou Ypê</t>
  </si>
  <si>
    <t xml:space="preserve">Veja, Criviali ou Ypê</t>
  </si>
  <si>
    <t xml:space="preserve">Multiuso para limpeza diária 05 litros - Limpador Geral Multiuso, para remoção de gorduras, fuligem, poeira, marcas de dedos e de sapatos, riscos de lápis, etc. ingredientes: alquil benzeno sulfonato de sódio, álcool etoxilado, coadjuvantes, sequestrante, fragrância e água. Galão de 05 litros de produto (marca de referência: veja).</t>
  </si>
  <si>
    <t xml:space="preserve">Veja</t>
  </si>
  <si>
    <t xml:space="preserve">Álcool gel para limpeza, 500 g. Álcool etílico hidratado em Gel 62,4º INPM, para limpeza, embalagem de 500 g, fragrância de lavanda</t>
  </si>
  <si>
    <t xml:space="preserve">Start, Coperalcool</t>
  </si>
  <si>
    <t xml:space="preserve">Removedor de cera e película – tenso ativo não iônico, baixo teor espumante, biodegradável, de alto teor de solubilização, com agentes conservantes e veículos, para remover cera, acondicionado em bombona plástica (material opaco e resistente) contendo 05 litros, com validade mínima de 12 meses a contar da data de entrega. O produto deve conter impresso em sua embalagem todas as informações do produto e estar com registro vigente na ANVISA</t>
  </si>
  <si>
    <t xml:space="preserve">Audax Start</t>
  </si>
  <si>
    <t xml:space="preserve">Selador brilho acrílico antiderrapante, aplicado na manutenção de pisos, dando brilho proporciona maior durabilidade, formando filme transparente e resistente a altas rotações, produto não inflamável pronto para uso. em sua composição possuir resina acrílica com aspecto líquido compacto, cor branco leitoso e ph de 7,5 a 9. rendimento mínimo de 80 m² por litro de selador em embalagens de 5 litros (lacrado, inviolável, contendo o número e registro do químico responsável pela empresa e em embalagem própria exclusivamente branca leitosa nunca antes utilizada).</t>
  </si>
  <si>
    <t xml:space="preserve">Start</t>
  </si>
  <si>
    <t xml:space="preserve">Álcool liquido 70%. Galão 05 litros. Álcool etílico hidratado liquido 70% (70º INPM).</t>
  </si>
  <si>
    <t xml:space="preserve">Start, Asseptgel</t>
  </si>
  <si>
    <t xml:space="preserve">Naftalina. Pacotes 50 gramas. Especificação: pedra de naftalina, aspecto físico esferas brancas, peso molecular 128,17 g/mol, fórmula química c10h8, grau de pureza em torno de 95. pacote de 50g.</t>
  </si>
  <si>
    <t xml:space="preserve">pacote 50g</t>
  </si>
  <si>
    <t xml:space="preserve">Politriz</t>
  </si>
  <si>
    <t xml:space="preserve">CUSTO ESTIMATIVO DE INSUMO DE COPA</t>
  </si>
  <si>
    <t xml:space="preserve">Marca de Referência</t>
  </si>
  <si>
    <t xml:space="preserve">Detergente líquido para louça, neutro, embalagem de 500ml, com tampa Push Pool. Deverá conter glicerina e ser testado e aprovado por dermatologistas. Com fórmula biodegradável. Deve possuir registro na Anvisa/Ministério da Saúde, o qual deverá estar impresso no rótulo.</t>
  </si>
  <si>
    <t xml:space="preserve">Limpol ou similar</t>
  </si>
  <si>
    <t xml:space="preserve">Escova para limpeza de mamadeira/garrafa, tipo redonda, base de arame galvanizado, com cerdas 100% polipropileno, medindo 15cm, cabo de arame duplo retorcido e ferro galvanizado, medindo 15cm, mínimo de 30 cerdas por tufos</t>
  </si>
  <si>
    <t xml:space="preserve">Dynasty</t>
  </si>
  <si>
    <t xml:space="preserve">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t>
  </si>
  <si>
    <t xml:space="preserve">Santepel</t>
  </si>
  <si>
    <t xml:space="preserve">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t>
  </si>
  <si>
    <t xml:space="preserve">Pá para lixo, material: plástico com cabo, material cabo: madeira, comprimento cabo: 60cm, tamanho:24x16,5x7cm.</t>
  </si>
  <si>
    <t xml:space="preserve">Pano de copa aberto 100% dimensões mínimas 40x60cm</t>
  </si>
  <si>
    <t xml:space="preserve">Karsten</t>
  </si>
  <si>
    <t xml:space="preserve">Sabão em barra glicerinado - cor neutra. Pacote com 5 de 200g cada unidade</t>
  </si>
  <si>
    <t xml:space="preserve">Saco De Algodão Tipo: Alvejado, Tamanho: 60 X 80 CM, Cor: Branco, Características Adicionais: Dupla Face</t>
  </si>
  <si>
    <t xml:space="preserve">Uzzilim</t>
  </si>
  <si>
    <t xml:space="preserve">Bimestral</t>
  </si>
  <si>
    <t xml:space="preserve">Rodo, Material Cabo: Plástico , Material Suporte: Plástico , Comprimento Suporte: 13 Cm, Características Adicionais: Para Pia</t>
  </si>
  <si>
    <t xml:space="preserve">Plasutil</t>
  </si>
  <si>
    <t xml:space="preserve">CUSTO ESTIMATIVO DE INSUMOS JARDINEIRO</t>
  </si>
  <si>
    <t xml:space="preserve">Herbicida (mata mato) principio ativo glifosato, 01 litro, seletivo de ação sistêmica, com controle total de plantas daninhas, tanto das mono como das dicotiledôneas, atingidas pela ação herbicida não somente na parte aérea, como nas raízes. Possuindo registro no ministério da agricultura, pecuária e abastecimento (mapa).</t>
  </si>
  <si>
    <t xml:space="preserve">unid. 1L</t>
  </si>
  <si>
    <t xml:space="preserve">Randup Tordon</t>
  </si>
  <si>
    <t xml:space="preserve">Inseticida agrícola para pragas em plantas, deltametrina, de contato e ingestão do grupo químico dos piretróides sintéticos; concentração do ingrediente ativo: 25g/l; tipo de formulação: concentração emulsionável, de contato e ingestão do grupo químico piretroide, indicado para o controle de diversas pragas nas culturas do algodão, amendoim, batata, cacau, café, feijão, milho, trigo, modo de ação: contato e ingestão.</t>
  </si>
  <si>
    <t xml:space="preserve">Decis</t>
  </si>
  <si>
    <t xml:space="preserve">Inseticida Líquido. Composição Do Produto Ingrediente Ativo: Deltametrina Grupo Químico: Piretroides Formulação: Sc (Suspensão Concentrada) Embalagem: Frasco De 01 litro</t>
  </si>
  <si>
    <t xml:space="preserve">K-Othrine Sc25, Kelldrin Sc 25, Fipronil</t>
  </si>
  <si>
    <t xml:space="preserve">Fertilizante (Adubo) NPK 20 05 20, aspecto físico granulado</t>
  </si>
  <si>
    <t xml:space="preserve">saco 50kg</t>
  </si>
  <si>
    <t xml:space="preserve">Itale</t>
  </si>
  <si>
    <t xml:space="preserve">Substrato para plantas a base de casca de pinus, turfa, vermiculita expandida, enriquecido com macro e micronutrientes. Embalagem: saco de 25 kg.</t>
  </si>
  <si>
    <t xml:space="preserve">Saco 25kg</t>
  </si>
  <si>
    <t xml:space="preserve">Lâminas para Arco de Serra 12 polegadas, em aço bi-metal, com, no mínimo, 24 Dentes por Polegada , dentes reforçados e lâmina flexível.</t>
  </si>
  <si>
    <t xml:space="preserve">Bico para torneira/mangueira 3/4 x 1/2 em metal</t>
  </si>
  <si>
    <t xml:space="preserve">Esguicho jato regulável para mangueira 3/4 tipo pistola em metal</t>
  </si>
  <si>
    <t xml:space="preserve">Abraçadeira Material: Aço Inoxidável, Tipo: Rosca Sem Fim, Largura: 9Mm, Aplicação: Fixação Mangueira, Diâmetro Amarração: 25 A 38 mm</t>
  </si>
  <si>
    <t xml:space="preserve">Emenda de conexão / adaptador para mangueiras 3/4</t>
  </si>
  <si>
    <t xml:space="preserve">CUSTO ESTIMATIVO DE INSUMOS LIMPEZA VEÍCULO</t>
  </si>
  <si>
    <t xml:space="preserve">Cera Aplicação: Automóvel, Cor: Incolor Leitoso , Tipo: Pastosa , Características Adicionais: Diluível, Pulverizar Veículo Lavado , Composição: Cera Carnaúba E Poli- Tetrafluor-Etileno (Teflon) 200g</t>
  </si>
  <si>
    <t xml:space="preserve">Norton</t>
  </si>
  <si>
    <t xml:space="preserve">Estopa 150g para polimento - Estopa 150g para polimento - Estopa Material: Fio Algodão , Aplicação: Polimento E Limpeza Especial , Cor: Branca</t>
  </si>
  <si>
    <t xml:space="preserve">Detailer</t>
  </si>
  <si>
    <t xml:space="preserve">Limpa Pneu - aspecto físico líquido, composição glicerina, tensoativos, pigmentos, água, aplicação em superfícies emborrachadas e similares, frasco 500ml</t>
  </si>
  <si>
    <t xml:space="preserve">Tecbril</t>
  </si>
  <si>
    <t xml:space="preserve">Shampoo Automotivo - 5 LITROS Especificações Mínimas: tipo neutro; produto concentrado 1 x 40; composto de tensoativo aniônico, coadjuvante, conservante, corante e veículo; produto com validade de 12 (doze) meses. Produto com registro/notificação/isenção na ANVISA/MS.</t>
  </si>
  <si>
    <t xml:space="preserve">Detersid</t>
  </si>
  <si>
    <t xml:space="preserve">Toalha Mágica - Pano Limpeza Material: Microfibra. Aplicação: Uso Geral, Comprimento aprox. 66cm x 43cm, Tipo: Toalha, Características Adicionais: Alto Grau Absorção.</t>
  </si>
  <si>
    <t xml:space="preserve">ANEXO X - CUSTO ESTIMATIVO DE PREÇOS DOS UNIFORMES</t>
  </si>
  <si>
    <t xml:space="preserve">Serviços de Limpeza e Conservação</t>
  </si>
  <si>
    <t xml:space="preserve">CATEGORIA</t>
  </si>
  <si>
    <t xml:space="preserve">QUANT.</t>
  </si>
  <si>
    <t xml:space="preserve">DESCRIÇÃO DE UNIFORME</t>
  </si>
  <si>
    <t xml:space="preserve">CORES</t>
  </si>
  <si>
    <t xml:space="preserve">TOTAL DO QUANTITATIVO</t>
  </si>
  <si>
    <t xml:space="preserve">PREÇO UNITÁRIO</t>
  </si>
  <si>
    <t xml:space="preserve">Fórmula SE, para inclusão após o término do processo licitatório. (INSERIR NA CÉLULA "G9" em diante)</t>
  </si>
  <si>
    <t xml:space="preserve">Calça</t>
  </si>
  <si>
    <t xml:space="preserve">Calça jeans com 2 bolsos na frente e 2 bolsos externos atrás, com passador para cinto, fechamento em ziper e botão. 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t>
  </si>
  <si>
    <t xml:space="preserve">Azul marinho</t>
  </si>
  <si>
    <t xml:space="preserve">TOTAL DE POSTOS</t>
  </si>
  <si>
    <t xml:space="preserve">Camisa</t>
  </si>
  <si>
    <t xml:space="preserve">Camiseta Malha - Modelo unissex, confeccionado em Malha PV, com gramatura de 180g/m² ou superior, em tecido sem transparência, com manga curta, sem punho. Gola redonda e barra reta. Logotipo da empresa em silk screen.</t>
  </si>
  <si>
    <t xml:space="preserve">Azul</t>
  </si>
  <si>
    <t xml:space="preserve">Calçado</t>
  </si>
  <si>
    <t xml:space="preserve">Botina segurança - Material: Couro, Material Sola: Borracha, Modelo: Com Elástico nas Laterais, Características Adicionais: Biqueira Em Polipropileno, Tamanho: Sob Medida</t>
  </si>
  <si>
    <t xml:space="preserve">preto</t>
  </si>
  <si>
    <t xml:space="preserve">Soma</t>
  </si>
  <si>
    <t xml:space="preserve">CÁLCULO VALOR DO REPASSE MENSAL SERVENTE DE LIMPEZA</t>
  </si>
  <si>
    <t xml:space="preserve">Avental</t>
  </si>
  <si>
    <t xml:space="preserve">Avental Pvc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t>
  </si>
  <si>
    <t xml:space="preserve">Branco</t>
  </si>
  <si>
    <t xml:space="preserve">Boné</t>
  </si>
  <si>
    <t xml:space="preserve">Boné - modelo americano confeccionado em brim, 100% algodão, de primeira linha e alta qualidade no tecido e ótimo acabamento, Material Regulador Abertura Tecido Com Fivela/Fecho Metálico</t>
  </si>
  <si>
    <t xml:space="preserve">Preto</t>
  </si>
  <si>
    <t xml:space="preserve">CÁLCULO VALOR DO REPASSE MENSAL LIMPADOR DE VIDRO</t>
  </si>
  <si>
    <t xml:space="preserve">Zelador acúmulo de função Lavador e Jardineiro</t>
  </si>
  <si>
    <t xml:space="preserve">CÁLCULO VALOR DO REPASSE MENSAL ZELADOR</t>
  </si>
  <si>
    <t xml:space="preserve">Feminino: 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Masculino: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t>
  </si>
  <si>
    <t xml:space="preserve">Feminino: modelo social, confeccionada em tricoline com elastano, sendo 3% elastano e no mínimo 40% algodão, tecido não transparente.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sem pence. Traseira: 2 pences. Aviamento e botões na mesma cor do tecido. Etiqueta de composição e instrução de lavagem conforme determinação do INMETRO.
Masculino: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</si>
  <si>
    <t xml:space="preserve">Branca</t>
  </si>
  <si>
    <t xml:space="preserve">Sapato Social
Feminino: Sapatilha Feminina material sintético; sola antiderrapante, confeccionado em couro na cor Preto, palmilha em EVA recoberta com tecido antimicrobiano. Tamanho: Sob Medida
Masculino: modelo social de couro, tipo esporte fino masculino, cabedal em couro natural, com cadarço, palmilha almofadada acolchoado, contraforte, solado em borracha, costurado e colado, sistema anti-impacto para o joelho e antiderrapante.</t>
  </si>
  <si>
    <t xml:space="preserve">CÁLCULO VALOR DO REPASSE MENSAL ASSISTENTE ADMINISTRATIVO</t>
  </si>
  <si>
    <t xml:space="preserve">TOTAL DE POSTOS </t>
  </si>
  <si>
    <t xml:space="preserve">Lenço</t>
  </si>
  <si>
    <t xml:space="preserve">Lenço - em seda, liso, tamanho 1,30 m x 0,13 m, tipo echarpe </t>
  </si>
  <si>
    <t xml:space="preserve">Avental Copeira - 1,20 x 0,60 m (Tecido Oxford). Cor: Preta , Características Adicionais: 2 Bolsos Dianteiros , Tamanho: Longo.</t>
  </si>
  <si>
    <t xml:space="preserve">CÁLCULO VALOR DO REPASSE MENSAL COPEIRA</t>
  </si>
  <si>
    <t xml:space="preserve">CÁLCULO VALOR DO REPASSE MENSAL RECEPCIONISTAS</t>
  </si>
  <si>
    <t xml:space="preserve">
Encarregado Geral
 </t>
  </si>
  <si>
    <t xml:space="preserve">Feminino: Sapatilha Feminina material sintético; sola antiderrapante, confeccionado em couro na cor Preto, palmilha em EVA recoberta com tecido antimicrobiano. Tamanho: Sob Medida
Masculino: modelo social de couro, tipo esporte fino masculino, cabedal em couro natural, com cadarço, palmilha almofadada acolchoado, contraforte, solado em borracha, costurado e colado, sistema anti-impacto para o joelho e antiderrapante.</t>
  </si>
  <si>
    <t xml:space="preserve">CÁLCULO VALOR DO REPASSE MENSAL ENCARREGADO GERAL</t>
  </si>
  <si>
    <t xml:space="preserve">ANEXO X - PLANILHA DE CUSTO E FORMAÇÃO DE PREÇO MENSAL ESTIMATIVO INTEGRAL - RESUMO</t>
  </si>
  <si>
    <t xml:space="preserve">MÊS: </t>
  </si>
  <si>
    <t xml:space="preserve">VALORES EM R$</t>
  </si>
  <si>
    <t xml:space="preserve">ELEMENTO DE DESPESA</t>
  </si>
  <si>
    <t xml:space="preserve">CATEGORIA PROFISSIONAL</t>
  </si>
  <si>
    <t xml:space="preserve">TOTAL DO FATURAMENTO MENSAL</t>
  </si>
  <si>
    <t xml:space="preserve">CUSTO MENSAL</t>
  </si>
  <si>
    <t xml:space="preserve">GLOSA VALE TRANSPORTE</t>
  </si>
  <si>
    <t xml:space="preserve">GLOSA DE ATRASOS, FALTAS E DESCONTO DO TITULAR EM FÉRIAS (sem material)</t>
  </si>
  <si>
    <t xml:space="preserve">GLOSA VALE ALIMENTAÇÃO</t>
  </si>
  <si>
    <t xml:space="preserve">TOTAL GLOSAS</t>
  </si>
  <si>
    <t xml:space="preserve">ACRÉSCIMO DE INSALUBRIDADE</t>
  </si>
  <si>
    <t xml:space="preserve">Homem-Mês</t>
  </si>
  <si>
    <t xml:space="preserve">Custo Mensal  do vale-transporte da categoria com Encargos</t>
  </si>
  <si>
    <t xml:space="preserve">GLOSA </t>
  </si>
  <si>
    <t xml:space="preserve">Glosa de Atrasos e Faltas</t>
  </si>
  <si>
    <t xml:space="preserve">Desconto Mensal do Titular em Férias sem substituição</t>
  </si>
  <si>
    <t xml:space="preserve">Desconto de Vale Alimentação em recesso forense ou ponto facultativo.</t>
  </si>
  <si>
    <t xml:space="preserve">Total da Glosa de Atrasos, Faltas, Desconto do Titular em Férias sem substituição e Desconto de V.A para recessos.</t>
  </si>
  <si>
    <t xml:space="preserve">PAGAMENTO INSALUBRIDADE EM SUBSTITUIÇÃO</t>
  </si>
  <si>
    <t xml:space="preserve">Custo Unitário da categoria</t>
  </si>
  <si>
    <t xml:space="preserve">Custo Mensal da categoria</t>
  </si>
  <si>
    <t xml:space="preserve">Dias de afastamento</t>
  </si>
  <si>
    <t xml:space="preserve">Valor da Glosa do vale transporte da categoria</t>
  </si>
  <si>
    <t xml:space="preserve">Custo Homem-Mês               (sem material)</t>
  </si>
  <si>
    <t xml:space="preserve">Valor da Glosa de Atrasos e Faltas</t>
  </si>
  <si>
    <t xml:space="preserve">Custo Unitário da categoria Planilha de Férias</t>
  </si>
  <si>
    <t xml:space="preserve">Valor do Desconto Mensal </t>
  </si>
  <si>
    <t xml:space="preserve">Custo Mensal  do vale alimentação da categoria com Encargos</t>
  </si>
  <si>
    <t xml:space="preserve">Dias de Recesso e/ou ponto facultativo</t>
  </si>
  <si>
    <t xml:space="preserve">Valor da Glosa do vale alimentação da categoria</t>
  </si>
  <si>
    <t xml:space="preserve">Valor Insalubridade por dia</t>
  </si>
  <si>
    <t xml:space="preserve">Quantidade de Dias</t>
  </si>
  <si>
    <t xml:space="preserve">Valor Devido</t>
  </si>
  <si>
    <t xml:space="preserve">TOTAL DO FATURAMENTO MENSAL </t>
  </si>
  <si>
    <t xml:space="preserve">Valor para Lance - Registro de oferta</t>
  </si>
  <si>
    <t xml:space="preserve">VALOR DO MATERIAL</t>
  </si>
  <si>
    <t xml:space="preserve">TOTAL DO FATURAMENTO ANUAL</t>
  </si>
  <si>
    <t xml:space="preserve">ANEXO X - PLANILHA DE CUSTO E FORMAÇÃO DE PREÇO MENSAL ESTIMATIVO DO PROFISSIONAL SUBSTITUTO DO TITULAR EM FÉRIAS </t>
  </si>
  <si>
    <t xml:space="preserve">DESCRIÇÃO </t>
  </si>
  <si>
    <t xml:space="preserve">Percentual</t>
  </si>
  <si>
    <t xml:space="preserve">Assistente Administrativo 220h</t>
  </si>
  <si>
    <t xml:space="preserve">4.5</t>
  </si>
  <si>
    <t xml:space="preserve">Valor em R$</t>
  </si>
  <si>
    <t xml:space="preserve">Módulo 1 - Total da Remuneração</t>
  </si>
  <si>
    <t xml:space="preserve">A</t>
  </si>
  <si>
    <t xml:space="preserve">G</t>
  </si>
  <si>
    <t xml:space="preserve">Total do Custo MENSAL de Reposição do Profissional Ausente em Férias</t>
  </si>
  <si>
    <t xml:space="preserve">Total do Custo ANUAL de Reposição do Profissional Ausente em Férias</t>
  </si>
  <si>
    <t xml:space="preserve">Módulo 2 - Benefícios Mensais e Diários</t>
  </si>
  <si>
    <t xml:space="preserve">Vale-Alimentação</t>
  </si>
  <si>
    <t xml:space="preserve">B</t>
  </si>
  <si>
    <t xml:space="preserve">Vale-Transporte</t>
  </si>
  <si>
    <t xml:space="preserve">C</t>
  </si>
  <si>
    <t xml:space="preserve">Outros (sem concessão do intervalo intrajornada)</t>
  </si>
  <si>
    <t xml:space="preserve">Total de Benefícios Mensais e Diários</t>
  </si>
  <si>
    <t xml:space="preserve">Módulo 5 - Custos Indiretos, Lucros e Tributos</t>
  </si>
  <si>
    <t xml:space="preserve">Custos Indiretos (Despesas Operacionais e Administrativas)</t>
  </si>
  <si>
    <t xml:space="preserve">Tributos com ISSQN 7.10 - Limpeza</t>
  </si>
  <si>
    <t xml:space="preserve">Tributos com ISSQN 17.05 - Mão de obra</t>
  </si>
  <si>
    <t xml:space="preserve">C.1</t>
  </si>
  <si>
    <t xml:space="preserve">Tributos Federais (PIS E COFINS)</t>
  </si>
  <si>
    <t xml:space="preserve">C.2</t>
  </si>
  <si>
    <t xml:space="preserve">Tributos Estaduais (especificar)</t>
  </si>
  <si>
    <t xml:space="preserve">C.3</t>
  </si>
  <si>
    <t xml:space="preserve">C.4</t>
  </si>
  <si>
    <t xml:space="preserve">Total dos Custos Indiretos e Tributos</t>
  </si>
  <si>
    <t xml:space="preserve">CUSTO TOTAL DO PROFISSIONAL SUBSTITUTO</t>
  </si>
  <si>
    <t xml:space="preserve">Resumo do Custo Por Empregado Substituto do Titular em Férias</t>
  </si>
  <si>
    <t xml:space="preserve">Mão de Obra Vinculada à Execução Contratual  (Valor Por Empregado)</t>
  </si>
  <si>
    <t xml:space="preserve">Módulo 1 - Composição Remuneração * 12 (Anual)</t>
  </si>
  <si>
    <t xml:space="preserve">Subtotal (A+B)</t>
  </si>
  <si>
    <t xml:space="preserve">E</t>
  </si>
  <si>
    <t xml:space="preserve">Módulo 5 - Custos Indiretos, Tributos e Lucro</t>
  </si>
  <si>
    <t xml:space="preserve">Valor Total Mensal Por Empregado Substituto do Titular em Férias </t>
  </si>
  <si>
    <t xml:space="preserve">Planilha de Custo e Formação de Preço Mensal Por Categoria Profissional</t>
  </si>
  <si>
    <t xml:space="preserve">COM MATERIAL</t>
  </si>
  <si>
    <t xml:space="preserve">SEM MATERIAL</t>
  </si>
  <si>
    <t xml:space="preserve">CUSTO DE VALE ALIMENTAÇÃO</t>
  </si>
  <si>
    <t xml:space="preserve">CUSTO DE VALE-TRANSPORTE</t>
  </si>
  <si>
    <t xml:space="preserve">CUSTO INSALUBRIDADE</t>
  </si>
  <si>
    <t xml:space="preserve">33390.37.01 - Apoio Administrativo, técnico e operacional</t>
  </si>
  <si>
    <t xml:space="preserve">MONTANTE "A" - Mão de Obra</t>
  </si>
  <si>
    <t xml:space="preserve">Função</t>
  </si>
  <si>
    <t xml:space="preserve">Carga Horária Mensal</t>
  </si>
  <si>
    <t xml:space="preserve"> Salário Base</t>
  </si>
  <si>
    <t xml:space="preserve">Adicional de Insalubridade</t>
  </si>
  <si>
    <t xml:space="preserve">Adicional Acúmulo de Função</t>
  </si>
  <si>
    <t xml:space="preserve">TOTAL DA REMUNERAÇÃO</t>
  </si>
  <si>
    <t xml:space="preserve">Encargos sociais e trabalhistas                         </t>
  </si>
  <si>
    <t xml:space="preserve">Total do Montante "A" ( Mão de Obra)</t>
  </si>
  <si>
    <t xml:space="preserve">MONTANTE "B" - INSUMOS</t>
  </si>
  <si>
    <t xml:space="preserve">Itens</t>
  </si>
  <si>
    <t xml:space="preserve">Valores Unitarios</t>
  </si>
  <si>
    <t xml:space="preserve">Uniforme</t>
  </si>
  <si>
    <t xml:space="preserve">Seguro de vida  </t>
  </si>
  <si>
    <t xml:space="preserve">Material de Limpeza</t>
  </si>
  <si>
    <t xml:space="preserve">Material de Copa</t>
  </si>
  <si>
    <t xml:space="preserve">Depreciação de Equipamentos</t>
  </si>
  <si>
    <t xml:space="preserve">Total do Montante "B" (Insumos)</t>
  </si>
  <si>
    <t xml:space="preserve">Montante "A" + Montante "B"</t>
  </si>
  <si>
    <t xml:space="preserve">MONTANTE "C" - DEMAIS COMPONENTES</t>
  </si>
  <si>
    <t xml:space="preserve">ITENS</t>
  </si>
  <si>
    <t xml:space="preserve">Despesas administrativas/operacionais</t>
  </si>
  <si>
    <t xml:space="preserve">Base de cálculo do lucro</t>
  </si>
  <si>
    <t xml:space="preserve">Total do Montante "C" (Demais componentes)</t>
  </si>
  <si>
    <t xml:space="preserve">Montante "A" + Montante "B" + Montante "C"</t>
  </si>
  <si>
    <t xml:space="preserve">MONTANTE "D" - TRIBUTOS</t>
  </si>
  <si>
    <t xml:space="preserve">Total do Montante "D" (Tributos)</t>
  </si>
  <si>
    <t xml:space="preserve">FATOR K</t>
  </si>
  <si>
    <t xml:space="preserve">Deslocamento Insalubridade</t>
  </si>
  <si>
    <t xml:space="preserve">33390.37.01 - Serviços Administrativos</t>
  </si>
  <si>
    <t xml:space="preserve">33390.37.05 - Copa e Cozinha</t>
  </si>
  <si>
    <t xml:space="preserve">Material de Jardinagem</t>
  </si>
  <si>
    <t xml:space="preserve">CUSTO PERICULOSIDADE</t>
  </si>
  <si>
    <t xml:space="preserve">33390.37.02 - Limpeza e Conservação</t>
  </si>
  <si>
    <t xml:space="preserve">Adicional de Periculosidade</t>
  </si>
  <si>
    <t xml:space="preserve">Material de Limpeza de Veículo</t>
  </si>
  <si>
    <t xml:space="preserve">Período:</t>
  </si>
  <si>
    <t xml:space="preserve">ÍNDICE </t>
  </si>
  <si>
    <t xml:space="preserve">IPCA/ IBGE</t>
  </si>
  <si>
    <t xml:space="preserve">DIAS</t>
  </si>
  <si>
    <t xml:space="preserve">Pró-rata</t>
  </si>
  <si>
    <t xml:space="preserve">VALOR ATUAL</t>
  </si>
  <si>
    <t xml:space="preserve">ANO</t>
  </si>
  <si>
    <t xml:space="preserve">MÊS</t>
  </si>
  <si>
    <t xml:space="preserve">ÍNDICE %</t>
  </si>
  <si>
    <t xml:space="preserve">%</t>
  </si>
  <si>
    <t xml:space="preserve">AGO</t>
  </si>
  <si>
    <t xml:space="preserve">SET</t>
  </si>
  <si>
    <t xml:space="preserve">OUT</t>
  </si>
  <si>
    <t xml:space="preserve">NOV</t>
  </si>
  <si>
    <t xml:space="preserve">DEZ</t>
  </si>
  <si>
    <t xml:space="preserve">JAN</t>
  </si>
  <si>
    <t xml:space="preserve">FEV</t>
  </si>
  <si>
    <t xml:space="preserve">MAR</t>
  </si>
  <si>
    <t xml:space="preserve">ABR</t>
  </si>
  <si>
    <t xml:space="preserve">MAI</t>
  </si>
  <si>
    <t xml:space="preserve">JUN</t>
  </si>
  <si>
    <t xml:space="preserve">JUL</t>
  </si>
  <si>
    <t xml:space="preserve">INDICE ACUMULADO</t>
  </si>
</sst>
</file>

<file path=xl/styles.xml><?xml version="1.0" encoding="utf-8"?>
<styleSheet xmlns="http://schemas.openxmlformats.org/spreadsheetml/2006/main">
  <numFmts count="18">
    <numFmt numFmtId="164" formatCode="General"/>
    <numFmt numFmtId="165" formatCode="_-&quot;R$&quot;* #,##0.00_-;&quot;-R$&quot;* #,##0.00_-;_-&quot;R$&quot;* \-??_-;_-@_-"/>
    <numFmt numFmtId="166" formatCode="_-&quot;R$ &quot;* #,##0.00_-;&quot;-R$ &quot;* #,##0.00_-;_-&quot;R$ &quot;* \-??_-;_-@_-"/>
    <numFmt numFmtId="167" formatCode="0%"/>
    <numFmt numFmtId="168" formatCode="_(* #,##0.00_);_(* \(#,##0.00\);_(* \-??_);_(@_)"/>
    <numFmt numFmtId="169" formatCode="_-* #,##0.00_-;\-* #,##0.00_-;_-* \-??_-;_-@_-"/>
    <numFmt numFmtId="170" formatCode="_-* #,##0.00_-;\-* #,##0.00_-;_-* \-??_-;_-@_-"/>
    <numFmt numFmtId="171" formatCode="0"/>
    <numFmt numFmtId="172" formatCode="0.00"/>
    <numFmt numFmtId="173" formatCode="#,##0_ ;\-#,##0\ "/>
    <numFmt numFmtId="174" formatCode="0.00%"/>
    <numFmt numFmtId="175" formatCode="#,##0"/>
    <numFmt numFmtId="176" formatCode="@"/>
    <numFmt numFmtId="177" formatCode="d/m/yyyy"/>
    <numFmt numFmtId="178" formatCode="0.0000"/>
    <numFmt numFmtId="179" formatCode="#,##0.00"/>
    <numFmt numFmtId="180" formatCode="_(* #,##0_);_(* \(#,##0\);_(* \-??_);_(@_)"/>
    <numFmt numFmtId="181" formatCode="* #,##0.00\ ;* \(#,##0.00\);* \-#\ ;@\ "/>
  </numFmts>
  <fonts count="53">
    <font>
      <sz val="11"/>
      <color rgb="FF000000"/>
      <name val="Calibri"/>
      <family val="2"/>
      <charset val="1"/>
    </font>
    <font>
      <sz val="10"/>
      <name val="Arial"/>
      <family val="0"/>
    </font>
    <font>
      <sz val="10"/>
      <name val="Arial"/>
      <family val="0"/>
    </font>
    <font>
      <sz val="10"/>
      <name val="Arial"/>
      <family val="0"/>
    </font>
    <font>
      <sz val="10"/>
      <name val="Arial"/>
      <family val="2"/>
      <charset val="1"/>
    </font>
    <font>
      <sz val="10"/>
      <name val="Times New Roman"/>
      <family val="1"/>
      <charset val="1"/>
    </font>
    <font>
      <sz val="11"/>
      <color theme="1"/>
      <name val="Calibri"/>
      <family val="2"/>
      <charset val="1"/>
    </font>
    <font>
      <sz val="11"/>
      <color rgb="FF333333"/>
      <name val="Calibri"/>
      <family val="2"/>
      <charset val="1"/>
    </font>
    <font>
      <sz val="11"/>
      <name val="Calibri"/>
      <family val="2"/>
      <charset val="1"/>
    </font>
    <font>
      <sz val="10"/>
      <color rgb="FF333333"/>
      <name val="Calibri"/>
      <family val="2"/>
      <charset val="1"/>
    </font>
    <font>
      <b val="true"/>
      <sz val="18"/>
      <name val="Calibri"/>
      <family val="2"/>
      <charset val="1"/>
    </font>
    <font>
      <b val="true"/>
      <sz val="16"/>
      <name val="Calibri"/>
      <family val="2"/>
      <charset val="1"/>
    </font>
    <font>
      <b val="true"/>
      <sz val="11"/>
      <name val="Calibri"/>
      <family val="2"/>
      <charset val="1"/>
    </font>
    <font>
      <sz val="12"/>
      <name val="Calibri"/>
      <family val="2"/>
      <charset val="1"/>
    </font>
    <font>
      <b val="true"/>
      <sz val="10"/>
      <name val="Calibri"/>
      <family val="2"/>
      <charset val="1"/>
    </font>
    <font>
      <b val="true"/>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val="true"/>
      <i val="true"/>
      <u val="single"/>
      <sz val="11"/>
      <name val="Calibri"/>
      <family val="2"/>
      <charset val="1"/>
    </font>
    <font>
      <sz val="11"/>
      <color rgb="FFFF0000"/>
      <name val="Calibri"/>
      <family val="2"/>
      <charset val="1"/>
    </font>
    <font>
      <b val="true"/>
      <u val="single"/>
      <sz val="10"/>
      <name val="Calibri"/>
      <family val="2"/>
      <charset val="1"/>
    </font>
    <font>
      <i val="true"/>
      <sz val="11"/>
      <color rgb="FF339966"/>
      <name val="Calibri"/>
      <family val="2"/>
      <charset val="1"/>
    </font>
    <font>
      <sz val="8"/>
      <name val="Calibri"/>
      <family val="2"/>
      <charset val="1"/>
    </font>
    <font>
      <b val="true"/>
      <sz val="12"/>
      <name val="Calibri"/>
      <family val="2"/>
      <charset val="1"/>
    </font>
    <font>
      <b val="true"/>
      <sz val="14"/>
      <name val="Calibri"/>
      <family val="2"/>
      <charset val="1"/>
    </font>
    <font>
      <b val="true"/>
      <sz val="11"/>
      <color rgb="FF000000"/>
      <name val="Calibri"/>
      <family val="2"/>
      <charset val="1"/>
    </font>
    <font>
      <b val="true"/>
      <sz val="11"/>
      <color rgb="FFFF0000"/>
      <name val="Calibri"/>
      <family val="2"/>
      <charset val="1"/>
    </font>
    <font>
      <b val="true"/>
      <sz val="12"/>
      <color rgb="FF333333"/>
      <name val="Calibri"/>
      <family val="2"/>
      <charset val="1"/>
    </font>
    <font>
      <b val="true"/>
      <sz val="11"/>
      <color rgb="FF333333"/>
      <name val="Calibri"/>
      <family val="2"/>
      <charset val="1"/>
    </font>
    <font>
      <b val="true"/>
      <sz val="9"/>
      <color rgb="FF333333"/>
      <name val="Calibri"/>
      <family val="2"/>
      <charset val="1"/>
    </font>
    <font>
      <sz val="11"/>
      <color rgb="FFFFFFFF"/>
      <name val="Calibri"/>
      <family val="2"/>
      <charset val="1"/>
    </font>
    <font>
      <b val="true"/>
      <sz val="9"/>
      <name val="Calibri"/>
      <family val="2"/>
      <charset val="1"/>
    </font>
    <font>
      <b val="true"/>
      <sz val="8"/>
      <name val="Calibri"/>
      <family val="2"/>
      <charset val="1"/>
    </font>
    <font>
      <b val="true"/>
      <sz val="9"/>
      <color rgb="FFFF0000"/>
      <name val="Calibri"/>
      <family val="2"/>
      <charset val="1"/>
    </font>
    <font>
      <sz val="10"/>
      <color rgb="FFFFFFFF"/>
      <name val="Calibri"/>
      <family val="2"/>
      <charset val="1"/>
    </font>
    <font>
      <b val="true"/>
      <sz val="12"/>
      <color rgb="FFBFBFBF"/>
      <name val="Calibri"/>
      <family val="2"/>
      <charset val="1"/>
    </font>
    <font>
      <sz val="8"/>
      <name val="Arial"/>
      <family val="2"/>
      <charset val="1"/>
    </font>
    <font>
      <sz val="9"/>
      <name val="Arial"/>
      <family val="2"/>
      <charset val="1"/>
    </font>
    <font>
      <b val="true"/>
      <sz val="10"/>
      <color rgb="FF000000"/>
      <name val="Calibri"/>
      <family val="2"/>
      <charset val="1"/>
    </font>
    <font>
      <sz val="8"/>
      <color rgb="FF000000"/>
      <name val="Calibri"/>
      <family val="2"/>
      <charset val="1"/>
    </font>
    <font>
      <sz val="10"/>
      <color rgb="FF000000"/>
      <name val="Calibri"/>
      <family val="2"/>
      <charset val="1"/>
    </font>
    <font>
      <sz val="9"/>
      <color rgb="FFFF0000"/>
      <name val="Calibri"/>
      <family val="2"/>
      <charset val="1"/>
    </font>
    <font>
      <b val="true"/>
      <sz val="6"/>
      <name val="Calibri"/>
      <family val="2"/>
      <charset val="1"/>
    </font>
    <font>
      <b val="true"/>
      <sz val="10"/>
      <color rgb="FFC00000"/>
      <name val="Calibri"/>
      <family val="2"/>
      <charset val="1"/>
    </font>
    <font>
      <sz val="10"/>
      <color rgb="FFC00000"/>
      <name val="Calibri"/>
      <family val="2"/>
      <charset val="1"/>
    </font>
    <font>
      <sz val="14"/>
      <name val="Calibri"/>
      <family val="2"/>
      <charset val="1"/>
    </font>
    <font>
      <b val="true"/>
      <sz val="12.5"/>
      <name val="Calibri"/>
      <family val="2"/>
      <charset val="1"/>
    </font>
    <font>
      <b val="true"/>
      <sz val="12"/>
      <color rgb="FF000000"/>
      <name val="Calibri"/>
      <family val="2"/>
      <charset val="1"/>
    </font>
    <font>
      <b val="true"/>
      <sz val="9"/>
      <color rgb="FF000000"/>
      <name val="Calibri"/>
      <family val="2"/>
      <charset val="1"/>
    </font>
    <font>
      <b val="true"/>
      <sz val="10"/>
      <color rgb="FFFFFFFF"/>
      <name val="Calibri"/>
      <family val="2"/>
      <charset val="1"/>
    </font>
    <font>
      <b val="true"/>
      <sz val="8"/>
      <color rgb="FFFF0000"/>
      <name val="Calibri"/>
      <family val="2"/>
      <charset val="1"/>
    </font>
  </fonts>
  <fills count="21">
    <fill>
      <patternFill patternType="none"/>
    </fill>
    <fill>
      <patternFill patternType="gray125"/>
    </fill>
    <fill>
      <patternFill patternType="solid">
        <fgColor rgb="FFFFFF99"/>
        <bgColor rgb="FFFFFFCC"/>
      </patternFill>
    </fill>
    <fill>
      <patternFill patternType="solid">
        <fgColor rgb="FFF8CBAD"/>
        <bgColor rgb="FFFFCCCC"/>
      </patternFill>
    </fill>
    <fill>
      <patternFill patternType="solid">
        <fgColor rgb="FFFFFFCC"/>
        <bgColor rgb="FFFFFFFF"/>
      </patternFill>
    </fill>
    <fill>
      <patternFill patternType="solid">
        <fgColor rgb="FFDCE6F2"/>
        <bgColor rgb="FFDEEBF7"/>
      </patternFill>
    </fill>
    <fill>
      <patternFill patternType="solid">
        <fgColor rgb="FFFFFFFF"/>
        <bgColor rgb="FFF2F2F2"/>
      </patternFill>
    </fill>
    <fill>
      <patternFill patternType="solid">
        <fgColor rgb="FFFFCCCC"/>
        <bgColor rgb="FFFFC7CE"/>
      </patternFill>
    </fill>
    <fill>
      <patternFill patternType="solid">
        <fgColor theme="1" tint="0.3499"/>
        <bgColor rgb="FF606060"/>
      </patternFill>
    </fill>
    <fill>
      <patternFill patternType="solid">
        <fgColor rgb="FF606060"/>
        <bgColor rgb="FF595959"/>
      </patternFill>
    </fill>
    <fill>
      <patternFill patternType="solid">
        <fgColor rgb="FFF2DCDB"/>
        <bgColor rgb="FFD9D9D9"/>
      </patternFill>
    </fill>
    <fill>
      <patternFill patternType="solid">
        <fgColor theme="0" tint="-0.15"/>
        <bgColor rgb="FFDCE6F2"/>
      </patternFill>
    </fill>
    <fill>
      <patternFill patternType="solid">
        <fgColor theme="8" tint="0.3997"/>
        <bgColor rgb="FFBFBFBF"/>
      </patternFill>
    </fill>
    <fill>
      <patternFill patternType="solid">
        <fgColor rgb="FFF2F2F2"/>
        <bgColor rgb="FFDEEBF7"/>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theme="0" tint="-0.25"/>
        <bgColor rgb="FFC0C0C0"/>
      </patternFill>
    </fill>
    <fill>
      <patternFill patternType="solid">
        <fgColor rgb="FF4ADAFC"/>
        <bgColor rgb="FF00CCFF"/>
      </patternFill>
    </fill>
    <fill>
      <patternFill patternType="solid">
        <fgColor rgb="FF808080"/>
        <bgColor rgb="FF969696"/>
      </patternFill>
    </fill>
  </fills>
  <borders count="71">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medium"/>
      <top/>
      <bottom style="thin"/>
      <diagonal/>
    </border>
    <border diagonalUp="false" diagonalDown="false">
      <left style="medium"/>
      <right style="medium"/>
      <top/>
      <bottom style="thin"/>
      <diagonal/>
    </border>
    <border diagonalUp="false" diagonalDown="false">
      <left/>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medium"/>
      <right style="thin"/>
      <top style="thin"/>
      <bottom style="medium"/>
      <diagonal/>
    </border>
    <border diagonalUp="false" diagonalDown="false">
      <left style="thin"/>
      <right/>
      <top/>
      <bottom style="medium"/>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top style="thin"/>
      <bottom style="thin"/>
      <diagonal/>
    </border>
    <border diagonalUp="false" diagonalDown="false">
      <left style="thin"/>
      <right style="medium"/>
      <top style="thin"/>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bottom/>
      <diagonal/>
    </border>
    <border diagonalUp="false" diagonalDown="false">
      <left/>
      <right/>
      <top/>
      <bottom style="thin"/>
      <diagonal/>
    </border>
    <border diagonalUp="false" diagonalDown="false">
      <left/>
      <right style="thin"/>
      <top style="medium"/>
      <bottom style="thin"/>
      <diagonal/>
    </border>
    <border diagonalUp="false" diagonalDown="false">
      <left style="thin"/>
      <right style="thin"/>
      <top style="thin"/>
      <bottom/>
      <diagonal/>
    </border>
    <border diagonalUp="false" diagonalDown="false">
      <left/>
      <right style="thin"/>
      <top/>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thin"/>
      <top style="thin"/>
      <bottom/>
      <diagonal/>
    </border>
    <border diagonalUp="false" diagonalDown="false">
      <left style="medium"/>
      <right style="medium"/>
      <top/>
      <bottom style="medium"/>
      <diagonal/>
    </border>
    <border diagonalUp="false" diagonalDown="false">
      <left style="medium"/>
      <right style="thin"/>
      <top style="medium"/>
      <bottom/>
      <diagonal/>
    </border>
    <border diagonalUp="false" diagonalDown="false">
      <left style="thin"/>
      <right/>
      <top style="medium"/>
      <bottom/>
      <diagonal/>
    </border>
    <border diagonalUp="false" diagonalDown="false">
      <left style="thin"/>
      <right/>
      <top style="thin"/>
      <bottom/>
      <diagonal/>
    </border>
    <border diagonalUp="false" diagonalDown="false">
      <left style="thin"/>
      <right/>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top style="thin"/>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style="medium"/>
      <right style="medium"/>
      <top style="medium"/>
      <bottom/>
      <diagonal/>
    </border>
    <border diagonalUp="false" diagonalDown="false">
      <left style="medium"/>
      <right/>
      <top/>
      <bottom style="thin"/>
      <diagonal/>
    </border>
    <border diagonalUp="false" diagonalDown="false">
      <left/>
      <right/>
      <top style="thin"/>
      <bottom style="thin"/>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medium"/>
      <right/>
      <top style="thin"/>
      <bottom style="medium"/>
      <diagonal/>
    </border>
    <border diagonalUp="false" diagonalDown="false">
      <left style="thin"/>
      <right style="thin"/>
      <top/>
      <bottom/>
      <diagonal/>
    </border>
    <border diagonalUp="false" diagonalDown="false">
      <left/>
      <right style="medium"/>
      <top style="thin"/>
      <bottom style="thin"/>
      <diagonal/>
    </border>
    <border diagonalUp="false" diagonalDown="false">
      <left style="thin"/>
      <right style="medium"/>
      <top/>
      <botto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4"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true" applyProtection="false">
      <alignment horizontal="general" vertical="bottom" textRotation="0" wrapText="false" indent="0" shrinkToFit="false"/>
    </xf>
    <xf numFmtId="167" fontId="4"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4" fillId="0" borderId="0" applyFont="true" applyBorder="false" applyAlignment="true" applyProtection="false">
      <alignment horizontal="general" vertical="bottom" textRotation="0" wrapText="false" indent="0" shrinkToFit="false"/>
    </xf>
    <xf numFmtId="167" fontId="5" fillId="0" borderId="0" applyFont="true" applyBorder="false" applyAlignment="true" applyProtection="false">
      <alignment horizontal="general" vertical="bottom" textRotation="0" wrapText="false" indent="0" shrinkToFit="false"/>
    </xf>
    <xf numFmtId="168" fontId="4" fillId="0" borderId="0" applyFont="true" applyBorder="false" applyAlignment="true" applyProtection="false">
      <alignment horizontal="general" vertical="bottom" textRotation="0" wrapText="false" indent="0" shrinkToFit="false"/>
    </xf>
    <xf numFmtId="168" fontId="4" fillId="0" borderId="0" applyFont="true" applyBorder="false" applyAlignment="true" applyProtection="false">
      <alignment horizontal="general" vertical="bottom" textRotation="0" wrapText="false" indent="0" shrinkToFit="false"/>
    </xf>
    <xf numFmtId="168" fontId="4" fillId="0" borderId="0" applyFont="true" applyBorder="false" applyAlignment="true" applyProtection="false">
      <alignment horizontal="general" vertical="bottom" textRotation="0" wrapText="false" indent="0" shrinkToFit="false"/>
    </xf>
    <xf numFmtId="168" fontId="4" fillId="0" borderId="0" applyFont="true" applyBorder="false" applyAlignment="true" applyProtection="false">
      <alignment horizontal="general" vertical="bottom" textRotation="0" wrapText="false" indent="0" shrinkToFit="false"/>
    </xf>
    <xf numFmtId="169" fontId="5" fillId="0" borderId="0" applyFont="true" applyBorder="false" applyAlignment="true" applyProtection="false">
      <alignment horizontal="general" vertical="bottom" textRotation="0" wrapText="false" indent="0" shrinkToFit="false"/>
    </xf>
    <xf numFmtId="168" fontId="4" fillId="0" borderId="0" applyFont="true" applyBorder="false" applyAlignment="true" applyProtection="false">
      <alignment horizontal="general" vertical="bottom" textRotation="0" wrapText="false" indent="0" shrinkToFit="false"/>
    </xf>
    <xf numFmtId="169" fontId="7" fillId="0" borderId="0" applyFont="true" applyBorder="false" applyAlignment="true" applyProtection="false">
      <alignment horizontal="general" vertical="bottom" textRotation="0" wrapText="false" indent="0" shrinkToFit="false"/>
    </xf>
    <xf numFmtId="170" fontId="0" fillId="0" borderId="0" applyFont="true" applyBorder="false" applyAlignment="true" applyProtection="false">
      <alignment horizontal="general" vertical="bottom" textRotation="0" wrapText="false" indent="0" shrinkToFit="false"/>
    </xf>
    <xf numFmtId="168" fontId="5" fillId="0" borderId="0" applyFont="true" applyBorder="false" applyAlignment="true" applyProtection="false">
      <alignment horizontal="general" vertical="bottom" textRotation="0" wrapText="false" indent="0" shrinkToFit="false"/>
    </xf>
    <xf numFmtId="169" fontId="0" fillId="0" borderId="0" applyFont="true" applyBorder="false" applyAlignment="true" applyProtection="false">
      <alignment horizontal="general" vertical="bottom" textRotation="0" wrapText="false" indent="0" shrinkToFit="false"/>
    </xf>
    <xf numFmtId="164" fontId="23" fillId="0" borderId="0" applyFont="true" applyBorder="false" applyAlignment="true" applyProtection="false">
      <alignment horizontal="general" vertical="bottom" textRotation="0" wrapText="false" indent="0" shrinkToFit="false"/>
    </xf>
    <xf numFmtId="181" fontId="5" fillId="0" borderId="0" applyFont="true" applyBorder="false" applyAlignment="true" applyProtection="false">
      <alignment horizontal="general" vertical="bottom" textRotation="0" wrapText="false" indent="0" shrinkToFit="false"/>
    </xf>
  </cellStyleXfs>
  <cellXfs count="820">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3" applyFont="true" applyBorder="false" applyAlignment="false" applyProtection="false">
      <alignment horizontal="general" vertical="bottom" textRotation="0" wrapText="false" indent="0" shrinkToFit="false"/>
      <protection locked="true" hidden="false"/>
    </xf>
    <xf numFmtId="164" fontId="8" fillId="0" borderId="0" xfId="23" applyFont="true" applyBorder="false" applyAlignment="true" applyProtection="false">
      <alignment horizontal="general" vertical="bottom" textRotation="0" wrapText="true" indent="0" shrinkToFit="false"/>
      <protection locked="true" hidden="false"/>
    </xf>
    <xf numFmtId="164" fontId="8" fillId="0" borderId="0" xfId="23" applyFont="true" applyBorder="false" applyAlignment="true" applyProtection="false">
      <alignment horizontal="center" vertical="bottom" textRotation="0" wrapText="false" indent="0" shrinkToFit="false"/>
      <protection locked="true" hidden="false"/>
    </xf>
    <xf numFmtId="164" fontId="8" fillId="0" borderId="0" xfId="23" applyFont="true" applyBorder="false" applyAlignment="true" applyProtection="false">
      <alignment horizontal="center" vertical="center" textRotation="0" wrapText="false" indent="0" shrinkToFit="false"/>
      <protection locked="true" hidden="false"/>
    </xf>
    <xf numFmtId="164" fontId="8" fillId="0" borderId="1" xfId="23"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10" fillId="0" borderId="0" xfId="23" applyFont="true" applyBorder="false" applyAlignment="true" applyProtection="false">
      <alignment horizontal="general" vertical="center" textRotation="0" wrapText="false" indent="0" shrinkToFit="false"/>
      <protection locked="true" hidden="false"/>
    </xf>
    <xf numFmtId="164" fontId="8" fillId="0" borderId="3" xfId="23"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23" applyFont="true" applyBorder="true" applyAlignment="true" applyProtection="false">
      <alignment horizontal="center" vertical="top" textRotation="0" wrapText="false" indent="0" shrinkToFit="false"/>
      <protection locked="true" hidden="false"/>
    </xf>
    <xf numFmtId="164" fontId="10" fillId="0" borderId="0" xfId="23" applyFont="true" applyBorder="false" applyAlignment="true" applyProtection="false">
      <alignment horizontal="general" vertical="top" textRotation="0" wrapText="false" indent="0" shrinkToFit="false"/>
      <protection locked="true" hidden="false"/>
    </xf>
    <xf numFmtId="164" fontId="8" fillId="0" borderId="0" xfId="23" applyFont="true" applyBorder="false" applyAlignment="true" applyProtection="false">
      <alignment horizontal="center" vertical="top" textRotation="0" wrapText="false" indent="0" shrinkToFit="false"/>
      <protection locked="true" hidden="false"/>
    </xf>
    <xf numFmtId="164" fontId="8" fillId="0" borderId="0" xfId="23"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left" vertical="top" textRotation="0" wrapText="false" indent="0" shrinkToFit="false"/>
      <protection locked="true" hidden="false"/>
    </xf>
    <xf numFmtId="164" fontId="10" fillId="0" borderId="0" xfId="23" applyFont="true" applyBorder="false" applyAlignment="true" applyProtection="false">
      <alignment horizontal="center" vertical="top" textRotation="0" wrapText="false" indent="0" shrinkToFit="false"/>
      <protection locked="true" hidden="false"/>
    </xf>
    <xf numFmtId="164" fontId="11" fillId="2" borderId="4" xfId="23" applyFont="true" applyBorder="true" applyAlignment="true" applyProtection="false">
      <alignment horizontal="center" vertical="center" textRotation="0" wrapText="true" indent="0" shrinkToFit="false"/>
      <protection locked="true" hidden="false"/>
    </xf>
    <xf numFmtId="164" fontId="12" fillId="2" borderId="4" xfId="23" applyFont="true" applyBorder="true" applyAlignment="true" applyProtection="false">
      <alignment horizontal="center" vertical="center" textRotation="0" wrapText="true" indent="0" shrinkToFit="false"/>
      <protection locked="true" hidden="false"/>
    </xf>
    <xf numFmtId="164" fontId="8" fillId="0" borderId="4" xfId="23" applyFont="true" applyBorder="true" applyAlignment="true" applyProtection="false">
      <alignment horizontal="center" vertical="center" textRotation="0" wrapText="true" indent="0" shrinkToFit="false"/>
      <protection locked="true" hidden="false"/>
    </xf>
    <xf numFmtId="164" fontId="8" fillId="0" borderId="0" xfId="23" applyFont="true" applyBorder="false" applyAlignment="true" applyProtection="false">
      <alignment horizontal="left" vertical="center" textRotation="0" wrapText="false" indent="0" shrinkToFit="false"/>
      <protection locked="true" hidden="false"/>
    </xf>
    <xf numFmtId="164" fontId="10" fillId="0" borderId="0" xfId="23" applyFont="true" applyBorder="false" applyAlignment="true" applyProtection="false">
      <alignment horizontal="center" vertical="center" textRotation="0" wrapText="false" indent="0" shrinkToFit="false"/>
      <protection locked="true" hidden="false"/>
    </xf>
    <xf numFmtId="164" fontId="13" fillId="0" borderId="0" xfId="23" applyFont="true" applyBorder="false" applyAlignment="true" applyProtection="false">
      <alignment horizontal="general" vertical="center" textRotation="0" wrapText="false" indent="0" shrinkToFit="false"/>
      <protection locked="true" hidden="false"/>
    </xf>
    <xf numFmtId="164" fontId="13" fillId="0" borderId="0" xfId="23" applyFont="true" applyBorder="false" applyAlignment="true" applyProtection="false">
      <alignment horizontal="center" vertical="center" textRotation="0" wrapText="false" indent="0" shrinkToFit="false"/>
      <protection locked="true" hidden="false"/>
    </xf>
    <xf numFmtId="164" fontId="10" fillId="0" borderId="0" xfId="23" applyFont="true" applyBorder="false" applyAlignment="true" applyProtection="false">
      <alignment horizontal="center" vertical="center" textRotation="0" wrapText="true" indent="0" shrinkToFit="false"/>
      <protection locked="true" hidden="false"/>
    </xf>
    <xf numFmtId="164" fontId="14" fillId="3" borderId="5" xfId="44" applyFont="true" applyBorder="true" applyAlignment="true" applyProtection="true">
      <alignment horizontal="center" vertical="center" textRotation="0" wrapText="true" indent="0" shrinkToFit="false"/>
      <protection locked="true" hidden="false"/>
    </xf>
    <xf numFmtId="164" fontId="16" fillId="3" borderId="6" xfId="44" applyFont="true" applyBorder="true" applyAlignment="true" applyProtection="true">
      <alignment horizontal="center" vertical="center" textRotation="0" wrapText="true" indent="0" shrinkToFit="false"/>
      <protection locked="true" hidden="false"/>
    </xf>
    <xf numFmtId="164" fontId="16" fillId="3" borderId="5" xfId="44" applyFont="true" applyBorder="true" applyAlignment="true" applyProtection="true">
      <alignment horizontal="center" vertical="center" textRotation="0" wrapText="true" indent="0" shrinkToFit="false"/>
      <protection locked="true" hidden="false"/>
    </xf>
    <xf numFmtId="164" fontId="16" fillId="3" borderId="7" xfId="44" applyFont="true" applyBorder="true" applyAlignment="true" applyProtection="true">
      <alignment horizontal="center" vertical="center" textRotation="0" wrapText="true" indent="0" shrinkToFit="false"/>
      <protection locked="true" hidden="false"/>
    </xf>
    <xf numFmtId="164" fontId="16" fillId="3" borderId="8" xfId="44" applyFont="true" applyBorder="true" applyAlignment="true" applyProtection="true">
      <alignment horizontal="center" vertical="center" textRotation="0" wrapText="true" indent="0" shrinkToFit="false"/>
      <protection locked="true" hidden="false"/>
    </xf>
    <xf numFmtId="164" fontId="16" fillId="3" borderId="9" xfId="44" applyFont="true" applyBorder="true" applyAlignment="true" applyProtection="true">
      <alignment horizontal="center" vertical="center" textRotation="0" wrapText="true" indent="0" shrinkToFit="false"/>
      <protection locked="true" hidden="false"/>
    </xf>
    <xf numFmtId="164" fontId="17" fillId="3" borderId="9" xfId="44" applyFont="true" applyBorder="true" applyAlignment="true" applyProtection="true">
      <alignment horizontal="center" vertical="center" textRotation="0" wrapText="true" indent="0" shrinkToFit="false"/>
      <protection locked="true" hidden="false"/>
    </xf>
    <xf numFmtId="164" fontId="16" fillId="3" borderId="10" xfId="44" applyFont="true" applyBorder="true" applyAlignment="true" applyProtection="true">
      <alignment horizontal="center" vertical="center" textRotation="0" wrapText="true" indent="0" shrinkToFit="false"/>
      <protection locked="true" hidden="false"/>
    </xf>
    <xf numFmtId="164" fontId="12" fillId="4" borderId="8" xfId="44" applyFont="true" applyBorder="true" applyAlignment="true" applyProtection="true">
      <alignment horizontal="center" vertical="center" textRotation="0" wrapText="true" indent="0" shrinkToFit="false"/>
      <protection locked="true" hidden="false"/>
    </xf>
    <xf numFmtId="164" fontId="14" fillId="5" borderId="11" xfId="44" applyFont="true" applyBorder="true" applyAlignment="true" applyProtection="true">
      <alignment horizontal="center" vertical="center" textRotation="0" wrapText="true" indent="0" shrinkToFit="false"/>
      <protection locked="true" hidden="false"/>
    </xf>
    <xf numFmtId="164" fontId="14" fillId="5" borderId="12" xfId="44" applyFont="true" applyBorder="true" applyAlignment="true" applyProtection="true">
      <alignment horizontal="center" vertical="center" textRotation="0" wrapText="true" indent="0" shrinkToFit="false"/>
      <protection locked="true" hidden="false"/>
    </xf>
    <xf numFmtId="164" fontId="14" fillId="5" borderId="13" xfId="44" applyFont="true" applyBorder="true" applyAlignment="true" applyProtection="true">
      <alignment horizontal="center" vertical="center" textRotation="0" wrapText="true" indent="0" shrinkToFit="false"/>
      <protection locked="true" hidden="false"/>
    </xf>
    <xf numFmtId="164" fontId="14" fillId="5" borderId="14" xfId="44" applyFont="true" applyBorder="true" applyAlignment="true" applyProtection="true">
      <alignment horizontal="center" vertical="center" textRotation="0" wrapText="true" indent="0" shrinkToFit="false"/>
      <protection locked="true" hidden="false"/>
    </xf>
    <xf numFmtId="164" fontId="14" fillId="5" borderId="15" xfId="44" applyFont="true" applyBorder="true" applyAlignment="true" applyProtection="true">
      <alignment horizontal="center" vertical="center" textRotation="0" wrapText="true" indent="0" shrinkToFit="false"/>
      <protection locked="true" hidden="false"/>
    </xf>
    <xf numFmtId="164" fontId="14" fillId="5" borderId="16" xfId="44" applyFont="true" applyBorder="true" applyAlignment="true" applyProtection="true">
      <alignment horizontal="center" vertical="center" textRotation="0" wrapText="true" indent="0" shrinkToFit="false"/>
      <protection locked="true" hidden="false"/>
    </xf>
    <xf numFmtId="171" fontId="16" fillId="6" borderId="17" xfId="23" applyFont="true" applyBorder="true" applyAlignment="true" applyProtection="false">
      <alignment horizontal="center" vertical="center" textRotation="0" wrapText="false" indent="0" shrinkToFit="false"/>
      <protection locked="true" hidden="false"/>
    </xf>
    <xf numFmtId="164" fontId="16" fillId="6" borderId="4" xfId="23" applyFont="true" applyBorder="true" applyAlignment="true" applyProtection="false">
      <alignment horizontal="general" vertical="center" textRotation="0" wrapText="false" indent="0" shrinkToFit="false"/>
      <protection locked="true" hidden="false"/>
    </xf>
    <xf numFmtId="171" fontId="16" fillId="6" borderId="4" xfId="23" applyFont="true" applyBorder="true" applyAlignment="true" applyProtection="false">
      <alignment horizontal="center" vertical="center" textRotation="0" wrapText="false" indent="0" shrinkToFit="false"/>
      <protection locked="true" hidden="false"/>
    </xf>
    <xf numFmtId="164" fontId="18" fillId="7" borderId="4" xfId="44" applyFont="true" applyBorder="true" applyAlignment="true" applyProtection="true">
      <alignment horizontal="center" vertical="center" textRotation="0" wrapText="false" indent="0" shrinkToFit="false"/>
      <protection locked="false" hidden="false"/>
    </xf>
    <xf numFmtId="171" fontId="16" fillId="6" borderId="17" xfId="23" applyFont="true" applyBorder="true" applyAlignment="true" applyProtection="false">
      <alignment horizontal="center" vertical="center" textRotation="0" wrapText="true" indent="0" shrinkToFit="false"/>
      <protection locked="true" hidden="false"/>
    </xf>
    <xf numFmtId="171" fontId="16" fillId="6" borderId="4" xfId="23" applyFont="true" applyBorder="true" applyAlignment="true" applyProtection="false">
      <alignment horizontal="center" vertical="center" textRotation="0" wrapText="true" indent="0" shrinkToFit="false"/>
      <protection locked="true" hidden="false"/>
    </xf>
    <xf numFmtId="164" fontId="18" fillId="7" borderId="18" xfId="44" applyFont="true" applyBorder="true" applyAlignment="true" applyProtection="true">
      <alignment horizontal="center" vertical="center" textRotation="0" wrapText="false" indent="0" shrinkToFit="false"/>
      <protection locked="false" hidden="false"/>
    </xf>
    <xf numFmtId="172" fontId="18" fillId="7" borderId="17" xfId="44" applyFont="true" applyBorder="true" applyAlignment="true" applyProtection="true">
      <alignment horizontal="center" vertical="center" textRotation="0" wrapText="false" indent="0" shrinkToFit="false"/>
      <protection locked="false" hidden="false"/>
    </xf>
    <xf numFmtId="172" fontId="16" fillId="6" borderId="19" xfId="44" applyFont="true" applyBorder="true" applyAlignment="true" applyProtection="true">
      <alignment horizontal="center" vertical="center" textRotation="0" wrapText="false" indent="0" shrinkToFit="false"/>
      <protection locked="true" hidden="false"/>
    </xf>
    <xf numFmtId="164" fontId="18" fillId="7" borderId="20" xfId="44" applyFont="true" applyBorder="true" applyAlignment="true" applyProtection="true">
      <alignment horizontal="center" vertical="center" textRotation="0" wrapText="false" indent="0" shrinkToFit="false"/>
      <protection locked="false" hidden="false"/>
    </xf>
    <xf numFmtId="169" fontId="19" fillId="8" borderId="20" xfId="23" applyFont="true" applyBorder="true" applyAlignment="true" applyProtection="false">
      <alignment horizontal="center" vertical="center" textRotation="0" wrapText="false" indent="0" shrinkToFit="false"/>
      <protection locked="true" hidden="false"/>
    </xf>
    <xf numFmtId="166" fontId="16" fillId="6" borderId="21" xfId="21" applyFont="true" applyBorder="true" applyAlignment="true" applyProtection="true">
      <alignment horizontal="center" vertical="center" textRotation="0" wrapText="false" indent="0" shrinkToFit="false"/>
      <protection locked="true" hidden="false"/>
    </xf>
    <xf numFmtId="169" fontId="19" fillId="8" borderId="4" xfId="23" applyFont="true" applyBorder="true" applyAlignment="true" applyProtection="false">
      <alignment horizontal="center" vertical="center" textRotation="0" wrapText="false" indent="0" shrinkToFit="false"/>
      <protection locked="true" hidden="false"/>
    </xf>
    <xf numFmtId="166" fontId="16" fillId="6" borderId="4" xfId="21" applyFont="true" applyBorder="true" applyAlignment="true" applyProtection="true">
      <alignment horizontal="center" vertical="center" textRotation="0" wrapText="false" indent="0" shrinkToFit="false"/>
      <protection locked="true" hidden="false"/>
    </xf>
    <xf numFmtId="164" fontId="16" fillId="6" borderId="4" xfId="23" applyFont="true" applyBorder="true" applyAlignment="true" applyProtection="false">
      <alignment horizontal="center" vertical="center" textRotation="0" wrapText="false" indent="0" shrinkToFit="false"/>
      <protection locked="true" hidden="false"/>
    </xf>
    <xf numFmtId="166" fontId="16" fillId="6" borderId="4" xfId="17" applyFont="true" applyBorder="true" applyAlignment="true" applyProtection="true">
      <alignment horizontal="center" vertical="center" textRotation="0" wrapText="false" indent="0" shrinkToFit="false"/>
      <protection locked="true" hidden="false"/>
    </xf>
    <xf numFmtId="164" fontId="13" fillId="6" borderId="0" xfId="23" applyFont="true" applyBorder="false" applyAlignment="true" applyProtection="false">
      <alignment horizontal="general" vertical="center" textRotation="0" wrapText="false" indent="0" shrinkToFit="false"/>
      <protection locked="true" hidden="false"/>
    </xf>
    <xf numFmtId="169" fontId="13" fillId="6" borderId="0" xfId="23" applyFont="true" applyBorder="false" applyAlignment="true" applyProtection="false">
      <alignment horizontal="general" vertical="center" textRotation="0" wrapText="false" indent="0" shrinkToFit="false"/>
      <protection locked="true" hidden="false"/>
    </xf>
    <xf numFmtId="164" fontId="18" fillId="8" borderId="20" xfId="44" applyFont="true" applyBorder="true" applyAlignment="true" applyProtection="true">
      <alignment horizontal="center" vertical="center" textRotation="0" wrapText="false" indent="0" shrinkToFit="false"/>
      <protection locked="false" hidden="false"/>
    </xf>
    <xf numFmtId="169" fontId="19" fillId="9" borderId="4" xfId="23" applyFont="true" applyBorder="true" applyAlignment="true" applyProtection="false">
      <alignment horizontal="center" vertical="center" textRotation="0" wrapText="false" indent="0" shrinkToFit="false"/>
      <protection locked="true" hidden="false"/>
    </xf>
    <xf numFmtId="169" fontId="13" fillId="0" borderId="0" xfId="23" applyFont="true" applyBorder="false" applyAlignment="true" applyProtection="false">
      <alignment horizontal="general" vertical="center" textRotation="0" wrapText="false" indent="0" shrinkToFit="false"/>
      <protection locked="true" hidden="false"/>
    </xf>
    <xf numFmtId="164" fontId="18" fillId="0" borderId="20" xfId="44" applyFont="true" applyBorder="true" applyAlignment="true" applyProtection="true">
      <alignment horizontal="center" vertical="center" textRotation="0" wrapText="false" indent="0" shrinkToFit="false"/>
      <protection locked="false" hidden="false"/>
    </xf>
    <xf numFmtId="169" fontId="19" fillId="0" borderId="4" xfId="23" applyFont="true" applyBorder="true" applyAlignment="true" applyProtection="false">
      <alignment horizontal="center" vertical="center" textRotation="0" wrapText="false" indent="0" shrinkToFit="false"/>
      <protection locked="true" hidden="false"/>
    </xf>
    <xf numFmtId="164" fontId="16" fillId="0" borderId="0" xfId="23" applyFont="true" applyBorder="false" applyAlignment="true" applyProtection="false">
      <alignment horizontal="general" vertical="center" textRotation="0" wrapText="false" indent="0" shrinkToFit="false"/>
      <protection locked="true" hidden="false"/>
    </xf>
    <xf numFmtId="164" fontId="14" fillId="5" borderId="22" xfId="44" applyFont="true" applyBorder="true" applyAlignment="true" applyProtection="true">
      <alignment horizontal="center" vertical="center" textRotation="0" wrapText="true" indent="0" shrinkToFit="false"/>
      <protection locked="true" hidden="false"/>
    </xf>
    <xf numFmtId="166" fontId="14" fillId="5" borderId="23" xfId="21" applyFont="true" applyBorder="true" applyAlignment="true" applyProtection="true">
      <alignment horizontal="center" vertical="center" textRotation="0" wrapText="false" indent="0" shrinkToFit="false"/>
      <protection locked="true" hidden="false"/>
    </xf>
    <xf numFmtId="166" fontId="14" fillId="5" borderId="24" xfId="21" applyFont="true" applyBorder="true" applyAlignment="true" applyProtection="true">
      <alignment horizontal="center" vertical="center" textRotation="0" wrapText="false" indent="0" shrinkToFit="false"/>
      <protection locked="true" hidden="false"/>
    </xf>
    <xf numFmtId="166" fontId="14" fillId="5" borderId="25" xfId="21" applyFont="true" applyBorder="true" applyAlignment="true" applyProtection="true">
      <alignment horizontal="center" vertical="center" textRotation="0" wrapText="false" indent="0" shrinkToFit="false"/>
      <protection locked="true" hidden="false"/>
    </xf>
    <xf numFmtId="166" fontId="14" fillId="5" borderId="9" xfId="21" applyFont="true" applyBorder="true" applyAlignment="true" applyProtection="true">
      <alignment horizontal="center" vertical="center" textRotation="0" wrapText="false" indent="0" shrinkToFit="false"/>
      <protection locked="true" hidden="false"/>
    </xf>
    <xf numFmtId="166" fontId="14" fillId="5" borderId="26" xfId="21" applyFont="true" applyBorder="true" applyAlignment="true" applyProtection="true">
      <alignment horizontal="center" vertical="center" textRotation="0" wrapText="false" indent="0" shrinkToFit="false"/>
      <protection locked="true" hidden="false"/>
    </xf>
    <xf numFmtId="166" fontId="14" fillId="5" borderId="27" xfId="21" applyFont="true" applyBorder="true" applyAlignment="true" applyProtection="true">
      <alignment horizontal="center" vertical="center" textRotation="0" wrapText="false" indent="0" shrinkToFit="false"/>
      <protection locked="true" hidden="false"/>
    </xf>
    <xf numFmtId="166" fontId="14" fillId="5" borderId="28" xfId="21" applyFont="true" applyBorder="true" applyAlignment="true" applyProtection="true">
      <alignment horizontal="center" vertical="center" textRotation="0" wrapText="false" indent="0" shrinkToFit="false"/>
      <protection locked="true" hidden="false"/>
    </xf>
    <xf numFmtId="166" fontId="14" fillId="5" borderId="22" xfId="21" applyFont="true" applyBorder="true" applyAlignment="true" applyProtection="true">
      <alignment horizontal="general" vertical="center" textRotation="0" wrapText="false" indent="0" shrinkToFit="false"/>
      <protection locked="true" hidden="false"/>
    </xf>
    <xf numFmtId="164" fontId="20" fillId="0" borderId="0" xfId="23" applyFont="true" applyBorder="false" applyAlignment="true" applyProtection="false">
      <alignment horizontal="left" vertical="center" textRotation="0" wrapText="false" indent="0" shrinkToFit="false"/>
      <protection locked="true" hidden="false"/>
    </xf>
    <xf numFmtId="164" fontId="8" fillId="0" borderId="0" xfId="23" applyFont="true" applyBorder="false" applyAlignment="true" applyProtection="false">
      <alignment horizontal="left" vertical="center" textRotation="0" wrapText="true" indent="0" shrinkToFit="false"/>
      <protection locked="true" hidden="false"/>
    </xf>
    <xf numFmtId="164" fontId="16" fillId="0" borderId="0" xfId="23" applyFont="true" applyBorder="false" applyAlignment="true" applyProtection="false">
      <alignment horizontal="left" vertical="center" textRotation="0" wrapText="false" indent="0" shrinkToFit="false"/>
      <protection locked="true" hidden="false"/>
    </xf>
    <xf numFmtId="164" fontId="21" fillId="0" borderId="0" xfId="23" applyFont="true" applyBorder="false" applyAlignment="true" applyProtection="false">
      <alignment horizontal="left" vertical="center" textRotation="0" wrapText="false" indent="0" shrinkToFit="false"/>
      <protection locked="true" hidden="false"/>
    </xf>
    <xf numFmtId="164" fontId="21" fillId="0" borderId="0" xfId="23" applyFont="true" applyBorder="false" applyAlignment="true" applyProtection="false">
      <alignment horizontal="left" vertical="center" textRotation="0" wrapText="true" indent="0" shrinkToFit="false"/>
      <protection locked="true" hidden="false"/>
    </xf>
    <xf numFmtId="164" fontId="14" fillId="5" borderId="4" xfId="44" applyFont="true" applyBorder="true" applyAlignment="true" applyProtection="true">
      <alignment horizontal="center" vertical="center" textRotation="0" wrapText="true" indent="0" shrinkToFit="false"/>
      <protection locked="true" hidden="false"/>
    </xf>
    <xf numFmtId="164" fontId="16" fillId="0" borderId="0" xfId="23" applyFont="true" applyBorder="false" applyAlignment="true" applyProtection="false">
      <alignment horizontal="center" vertical="center" textRotation="0" wrapText="false" indent="0" shrinkToFit="false"/>
      <protection locked="true" hidden="false"/>
    </xf>
    <xf numFmtId="172" fontId="16" fillId="0" borderId="0" xfId="23" applyFont="true" applyBorder="false" applyAlignment="true" applyProtection="false">
      <alignment horizontal="left" vertical="center" textRotation="0" wrapText="false" indent="0" shrinkToFit="false"/>
      <protection locked="true" hidden="false"/>
    </xf>
    <xf numFmtId="164" fontId="16" fillId="0" borderId="4" xfId="23" applyFont="true" applyBorder="true" applyAlignment="true" applyProtection="true">
      <alignment horizontal="center" vertical="center" textRotation="0" wrapText="false" indent="0" shrinkToFit="false"/>
      <protection locked="false" hidden="false"/>
    </xf>
    <xf numFmtId="164" fontId="16" fillId="0" borderId="4" xfId="23" applyFont="true" applyBorder="true" applyAlignment="true" applyProtection="true">
      <alignment horizontal="center" vertical="center" textRotation="0" wrapText="true" indent="0" shrinkToFit="false"/>
      <protection locked="false" hidden="false"/>
    </xf>
    <xf numFmtId="172" fontId="16" fillId="0" borderId="4" xfId="23" applyFont="true" applyBorder="true" applyAlignment="true" applyProtection="true">
      <alignment horizontal="center" vertical="center" textRotation="0" wrapText="true" indent="0" shrinkToFit="false"/>
      <protection locked="false" hidden="false"/>
    </xf>
    <xf numFmtId="164" fontId="16" fillId="0" borderId="29" xfId="23" applyFont="true" applyBorder="true" applyAlignment="true" applyProtection="false">
      <alignment horizontal="left" vertical="center" textRotation="0" wrapText="true" indent="0" shrinkToFit="false"/>
      <protection locked="true" hidden="false"/>
    </xf>
    <xf numFmtId="169" fontId="8" fillId="0" borderId="0" xfId="23" applyFont="true" applyBorder="false" applyAlignment="true" applyProtection="false">
      <alignment horizontal="center" vertical="center" textRotation="0" wrapText="false" indent="0" shrinkToFit="false"/>
      <protection locked="true" hidden="false"/>
    </xf>
    <xf numFmtId="164" fontId="14" fillId="0" borderId="0" xfId="33" applyFont="true" applyBorder="false" applyAlignment="true" applyProtection="false">
      <alignment horizontal="center" vertical="center" textRotation="0" wrapText="false" indent="0" shrinkToFit="false"/>
      <protection locked="true" hidden="false"/>
    </xf>
    <xf numFmtId="164" fontId="16" fillId="0" borderId="0" xfId="33" applyFont="true" applyBorder="false" applyAlignment="false" applyProtection="false">
      <alignment horizontal="general" vertical="bottom" textRotation="0" wrapText="false" indent="0" shrinkToFit="false"/>
      <protection locked="true" hidden="false"/>
    </xf>
    <xf numFmtId="164" fontId="14" fillId="5" borderId="30" xfId="44" applyFont="true" applyBorder="true" applyAlignment="true" applyProtection="true">
      <alignment horizontal="center" vertical="center" textRotation="0" wrapText="true" indent="0" shrinkToFit="false"/>
      <protection locked="true" hidden="false"/>
    </xf>
    <xf numFmtId="164" fontId="14" fillId="5" borderId="31" xfId="44" applyFont="true" applyBorder="true" applyAlignment="true" applyProtection="true">
      <alignment horizontal="center" vertical="center" textRotation="0" wrapText="true" indent="0" shrinkToFit="false"/>
      <protection locked="true" hidden="false"/>
    </xf>
    <xf numFmtId="164" fontId="14" fillId="5" borderId="32" xfId="44" applyFont="true" applyBorder="true" applyAlignment="true" applyProtection="true">
      <alignment horizontal="center" vertical="center" textRotation="0" wrapText="true" indent="0" shrinkToFit="false"/>
      <protection locked="true" hidden="false"/>
    </xf>
    <xf numFmtId="164" fontId="22" fillId="4" borderId="33" xfId="33" applyFont="true" applyBorder="true" applyAlignment="true" applyProtection="false">
      <alignment horizontal="center" vertical="center" textRotation="0" wrapText="true" indent="0" shrinkToFit="false"/>
      <protection locked="true" hidden="false"/>
    </xf>
    <xf numFmtId="164" fontId="14" fillId="5" borderId="33" xfId="44" applyFont="true" applyBorder="true" applyAlignment="true" applyProtection="true">
      <alignment horizontal="center" vertical="center" textRotation="0" wrapText="true" indent="0" shrinkToFit="false"/>
      <protection locked="true" hidden="false"/>
    </xf>
    <xf numFmtId="169" fontId="8" fillId="0" borderId="0" xfId="23" applyFont="true" applyBorder="false" applyAlignment="false" applyProtection="false">
      <alignment horizontal="general" vertical="bottom" textRotation="0" wrapText="false" indent="0" shrinkToFit="false"/>
      <protection locked="true" hidden="false"/>
    </xf>
    <xf numFmtId="164" fontId="14" fillId="5" borderId="19" xfId="44" applyFont="true" applyBorder="true" applyAlignment="true" applyProtection="true">
      <alignment horizontal="center" vertical="center" textRotation="0" wrapText="true" indent="0" shrinkToFit="false"/>
      <protection locked="true" hidden="false"/>
    </xf>
    <xf numFmtId="164" fontId="14" fillId="5" borderId="17" xfId="44" applyFont="true" applyBorder="true" applyAlignment="true" applyProtection="true">
      <alignment horizontal="center" vertical="center" textRotation="0" wrapText="true" indent="0" shrinkToFit="false"/>
      <protection locked="true" hidden="false"/>
    </xf>
    <xf numFmtId="171" fontId="9" fillId="0" borderId="17" xfId="30" applyFont="true" applyBorder="true" applyAlignment="true" applyProtection="false">
      <alignment horizontal="center" vertical="center" textRotation="0" wrapText="false" indent="0" shrinkToFit="false"/>
      <protection locked="true" hidden="false"/>
    </xf>
    <xf numFmtId="164" fontId="16" fillId="6" borderId="4" xfId="0" applyFont="true" applyBorder="true" applyAlignment="true" applyProtection="false">
      <alignment horizontal="left" vertical="center" textRotation="0" wrapText="true" indent="0" shrinkToFit="false"/>
      <protection locked="true" hidden="false"/>
    </xf>
    <xf numFmtId="164" fontId="16" fillId="6" borderId="4" xfId="0" applyFont="true" applyBorder="true" applyAlignment="true" applyProtection="false">
      <alignment horizontal="center" vertical="center" textRotation="0" wrapText="true" indent="0" shrinkToFit="false"/>
      <protection locked="true" hidden="false"/>
    </xf>
    <xf numFmtId="164" fontId="18" fillId="10" borderId="12" xfId="44" applyFont="true" applyBorder="true" applyAlignment="true" applyProtection="true">
      <alignment horizontal="center" vertical="center" textRotation="0" wrapText="false" indent="0" shrinkToFit="false"/>
      <protection locked="false" hidden="false"/>
    </xf>
    <xf numFmtId="168" fontId="16" fillId="0" borderId="14" xfId="39" applyFont="true" applyBorder="true" applyAlignment="true" applyProtection="true">
      <alignment horizontal="general" vertical="center" textRotation="0" wrapText="false" indent="0" shrinkToFit="false"/>
      <protection locked="true" hidden="false"/>
    </xf>
    <xf numFmtId="164" fontId="14" fillId="0" borderId="20" xfId="33" applyFont="true" applyBorder="true" applyAlignment="true" applyProtection="false">
      <alignment horizontal="center" vertical="center" textRotation="0" wrapText="false" indent="0" shrinkToFit="false"/>
      <protection locked="true" hidden="false"/>
    </xf>
    <xf numFmtId="164" fontId="16" fillId="0" borderId="11" xfId="0" applyFont="true" applyBorder="true" applyAlignment="true" applyProtection="false">
      <alignment horizontal="center" vertical="center" textRotation="0" wrapText="false" indent="0" shrinkToFit="false"/>
      <protection locked="true" hidden="false"/>
    </xf>
    <xf numFmtId="173" fontId="16" fillId="0" borderId="12" xfId="33" applyFont="true" applyBorder="true" applyAlignment="true" applyProtection="false">
      <alignment horizontal="center" vertical="center" textRotation="0" wrapText="false" indent="0" shrinkToFit="false"/>
      <protection locked="true" hidden="false"/>
    </xf>
    <xf numFmtId="164" fontId="16" fillId="0" borderId="18" xfId="33" applyFont="true" applyBorder="true" applyAlignment="true" applyProtection="false">
      <alignment horizontal="center" vertical="center" textRotation="0" wrapText="false" indent="0" shrinkToFit="false"/>
      <protection locked="true" hidden="false"/>
    </xf>
    <xf numFmtId="164" fontId="16" fillId="0" borderId="19" xfId="33" applyFont="true" applyBorder="true" applyAlignment="true" applyProtection="false">
      <alignment horizontal="center" vertical="center" textRotation="0" wrapText="false" indent="0" shrinkToFit="false"/>
      <protection locked="true" hidden="false"/>
    </xf>
    <xf numFmtId="171" fontId="9" fillId="6" borderId="17" xfId="30" applyFont="true" applyBorder="true" applyAlignment="true" applyProtection="false">
      <alignment horizontal="center" vertical="center" textRotation="0" wrapText="false" indent="0" shrinkToFit="false"/>
      <protection locked="true" hidden="false"/>
    </xf>
    <xf numFmtId="166" fontId="14" fillId="5" borderId="14" xfId="17" applyFont="true" applyBorder="true" applyAlignment="true" applyProtection="true">
      <alignment horizontal="center" vertical="center" textRotation="0" wrapText="false" indent="0" shrinkToFit="false"/>
      <protection locked="true" hidden="false"/>
    </xf>
    <xf numFmtId="164" fontId="16" fillId="0" borderId="0" xfId="33"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4" fillId="5" borderId="34" xfId="44" applyFont="true" applyBorder="true" applyAlignment="true" applyProtection="true">
      <alignment horizontal="right" vertical="center" textRotation="0" wrapText="true" indent="0" shrinkToFit="false"/>
      <protection locked="true" hidden="false"/>
    </xf>
    <xf numFmtId="174" fontId="14" fillId="5" borderId="21" xfId="44" applyFont="true" applyBorder="true" applyAlignment="true" applyProtection="true">
      <alignment horizontal="center" vertical="center" textRotation="0" wrapText="false" indent="0" shrinkToFit="false"/>
      <protection locked="true" hidden="false"/>
    </xf>
    <xf numFmtId="166" fontId="14" fillId="5" borderId="19" xfId="17" applyFont="true" applyBorder="true" applyAlignment="true" applyProtection="true">
      <alignment horizontal="center" vertical="center" textRotation="0" wrapText="false" indent="0" shrinkToFit="false"/>
      <protection locked="true" hidden="false"/>
    </xf>
    <xf numFmtId="169" fontId="16" fillId="0" borderId="0" xfId="33" applyFont="true" applyBorder="false" applyAlignment="true" applyProtection="false">
      <alignment horizontal="general" vertical="center" textRotation="0" wrapText="false" indent="0" shrinkToFit="false"/>
      <protection locked="true" hidden="false"/>
    </xf>
    <xf numFmtId="164" fontId="14" fillId="5" borderId="22" xfId="44" applyFont="true" applyBorder="true" applyAlignment="true" applyProtection="true">
      <alignment horizontal="right" vertical="center" textRotation="0" wrapText="true" indent="0" shrinkToFit="false"/>
      <protection locked="true" hidden="false"/>
    </xf>
    <xf numFmtId="166" fontId="14" fillId="5" borderId="35" xfId="17" applyFont="true" applyBorder="true" applyAlignment="true" applyProtection="true">
      <alignment horizontal="center" vertical="center" textRotation="0" wrapText="false" indent="0" shrinkToFit="false"/>
      <protection locked="true" hidden="false"/>
    </xf>
    <xf numFmtId="164" fontId="16" fillId="0" borderId="0" xfId="33" applyFont="true" applyBorder="false" applyAlignment="true" applyProtection="false">
      <alignment horizontal="center" vertical="center" textRotation="0" wrapText="false" indent="0" shrinkToFit="false"/>
      <protection locked="true" hidden="false"/>
    </xf>
    <xf numFmtId="164" fontId="16" fillId="0" borderId="0" xfId="33" applyFont="true" applyBorder="false" applyAlignment="true" applyProtection="false">
      <alignment horizontal="general" vertical="bottom" textRotation="0" wrapText="true" indent="0" shrinkToFit="false"/>
      <protection locked="true" hidden="false"/>
    </xf>
    <xf numFmtId="164" fontId="14" fillId="5" borderId="36" xfId="44" applyFont="true" applyBorder="true" applyAlignment="true" applyProtection="true">
      <alignment horizontal="center" vertical="center" textRotation="0" wrapText="true" indent="0" shrinkToFit="false"/>
      <protection locked="true" hidden="false"/>
    </xf>
    <xf numFmtId="164" fontId="14" fillId="5" borderId="37" xfId="44" applyFont="true" applyBorder="true" applyAlignment="true" applyProtection="true">
      <alignment horizontal="center" vertical="center" textRotation="0" wrapText="true" indent="0" shrinkToFit="false"/>
      <protection locked="true" hidden="false"/>
    </xf>
    <xf numFmtId="171" fontId="16" fillId="0" borderId="17" xfId="49" applyFont="true" applyBorder="true" applyAlignment="true" applyProtection="true">
      <alignment horizontal="center" vertical="center" textRotation="0" wrapText="false" indent="0" shrinkToFit="false"/>
      <protection locked="true" hidden="false"/>
    </xf>
    <xf numFmtId="164" fontId="16" fillId="6" borderId="4" xfId="49" applyFont="true" applyBorder="true" applyAlignment="true" applyProtection="true">
      <alignment horizontal="left" vertical="center" textRotation="0" wrapText="true" indent="0" shrinkToFit="false"/>
      <protection locked="true" hidden="false"/>
    </xf>
    <xf numFmtId="164" fontId="16" fillId="6" borderId="4" xfId="49" applyFont="true" applyBorder="true" applyAlignment="true" applyProtection="true">
      <alignment horizontal="center" vertical="center" textRotation="0" wrapText="true" indent="0" shrinkToFit="false"/>
      <protection locked="true" hidden="false"/>
    </xf>
    <xf numFmtId="164" fontId="17" fillId="0" borderId="11" xfId="0" applyFont="true" applyBorder="true" applyAlignment="true" applyProtection="false">
      <alignment horizontal="center" vertical="center" textRotation="0" wrapText="false" indent="0" shrinkToFit="false"/>
      <protection locked="true" hidden="false"/>
    </xf>
    <xf numFmtId="171" fontId="16" fillId="0" borderId="4" xfId="32" applyFont="true" applyBorder="true" applyAlignment="true" applyProtection="false">
      <alignment horizontal="center" vertical="center" textRotation="0" wrapText="false" indent="0" shrinkToFit="false"/>
      <protection locked="true" hidden="false"/>
    </xf>
    <xf numFmtId="164" fontId="16" fillId="0" borderId="4" xfId="49" applyFont="true" applyBorder="true" applyAlignment="true" applyProtection="true">
      <alignment horizontal="center" vertical="center" textRotation="0" wrapText="false" indent="0" shrinkToFit="false"/>
      <protection locked="true" hidden="false"/>
    </xf>
    <xf numFmtId="166" fontId="14" fillId="5" borderId="32" xfId="17" applyFont="true" applyBorder="true" applyAlignment="true" applyProtection="true">
      <alignment horizontal="center" vertical="center" textRotation="0" wrapText="false" indent="0" shrinkToFit="false"/>
      <protection locked="true" hidden="false"/>
    </xf>
    <xf numFmtId="164" fontId="8" fillId="0" borderId="4" xfId="23" applyFont="true" applyBorder="true" applyAlignment="true" applyProtection="false">
      <alignment horizontal="center" vertical="bottom" textRotation="0" wrapText="false" indent="0" shrinkToFit="false"/>
      <protection locked="true" hidden="false"/>
    </xf>
    <xf numFmtId="164" fontId="8" fillId="0" borderId="4" xfId="23" applyFont="true" applyBorder="true" applyAlignment="false" applyProtection="false">
      <alignment horizontal="general" vertical="bottom" textRotation="0" wrapText="false" indent="0" shrinkToFit="false"/>
      <protection locked="true" hidden="false"/>
    </xf>
    <xf numFmtId="175" fontId="8" fillId="0" borderId="18" xfId="23" applyFont="true" applyBorder="true" applyAlignment="true" applyProtection="false">
      <alignment horizontal="center" vertical="center" textRotation="0" wrapText="false" indent="0" shrinkToFit="false"/>
      <protection locked="true" hidden="false"/>
    </xf>
    <xf numFmtId="164" fontId="8" fillId="0" borderId="18" xfId="23" applyFont="true" applyBorder="true" applyAlignment="true" applyProtection="false">
      <alignment horizontal="center" vertical="center" textRotation="0" wrapText="false" indent="0" shrinkToFit="false"/>
      <protection locked="true" hidden="false"/>
    </xf>
    <xf numFmtId="164" fontId="8" fillId="0" borderId="4" xfId="23" applyFont="true" applyBorder="tru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24" fillId="0" borderId="1" xfId="31" applyFont="true" applyBorder="true" applyAlignment="false" applyProtection="false">
      <alignment horizontal="general" vertical="bottom" textRotation="0" wrapText="false" indent="0" shrinkToFit="false"/>
      <protection locked="true" hidden="false"/>
    </xf>
    <xf numFmtId="164" fontId="9" fillId="0" borderId="2" xfId="26" applyFont="true" applyBorder="true" applyAlignment="true" applyProtection="false">
      <alignment horizontal="general" vertical="center" textRotation="0" wrapText="false" indent="0" shrinkToFit="false"/>
      <protection locked="true" hidden="false"/>
    </xf>
    <xf numFmtId="164" fontId="24" fillId="0" borderId="3" xfId="31" applyFont="true" applyBorder="true" applyAlignment="false" applyProtection="false">
      <alignment horizontal="general" vertical="bottom" textRotation="0" wrapText="false" indent="0" shrinkToFit="false"/>
      <protection locked="true" hidden="false"/>
    </xf>
    <xf numFmtId="164" fontId="9" fillId="0" borderId="0" xfId="26" applyFont="true" applyBorder="false" applyAlignment="true" applyProtection="false">
      <alignment horizontal="general" vertical="center" textRotation="0" wrapText="false" indent="0" shrinkToFit="false"/>
      <protection locked="true" hidden="false"/>
    </xf>
    <xf numFmtId="164" fontId="16" fillId="0" borderId="0" xfId="26"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6" fillId="2" borderId="9"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6" fillId="2"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6" fontId="16" fillId="0" borderId="0" xfId="0" applyFont="true" applyBorder="false" applyAlignment="false" applyProtection="false">
      <alignment horizontal="general" vertical="bottom" textRotation="0" wrapText="false" indent="0" shrinkToFit="false"/>
      <protection locked="true" hidden="false"/>
    </xf>
    <xf numFmtId="164" fontId="16" fillId="11"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4" fillId="12" borderId="0" xfId="0" applyFont="true" applyBorder="false" applyAlignment="false" applyProtection="false">
      <alignment horizontal="general" vertical="bottom" textRotation="0" wrapText="false" indent="0" shrinkToFit="false"/>
      <protection locked="true" hidden="false"/>
    </xf>
    <xf numFmtId="164" fontId="16" fillId="13" borderId="0" xfId="0" applyFont="true" applyBorder="false" applyAlignment="true" applyProtection="false">
      <alignment horizontal="general" vertical="center" textRotation="0" wrapText="false" indent="0" shrinkToFit="false"/>
      <protection locked="true" hidden="false"/>
    </xf>
    <xf numFmtId="164" fontId="16" fillId="6"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26" fillId="0" borderId="0" xfId="23" applyFont="true" applyBorder="false" applyAlignment="true" applyProtection="false">
      <alignment horizontal="left" vertical="center" textRotation="0" wrapText="false" indent="0" shrinkToFit="false"/>
      <protection locked="true" hidden="false"/>
    </xf>
    <xf numFmtId="166" fontId="16" fillId="0" borderId="0" xfId="21" applyFont="true" applyBorder="true" applyAlignment="false" applyProtection="true">
      <alignment horizontal="general" vertical="bottom" textRotation="0" wrapText="false" indent="0" shrinkToFit="false"/>
      <protection locked="true" hidden="false"/>
    </xf>
    <xf numFmtId="164" fontId="8" fillId="0" borderId="0" xfId="23" applyFont="true" applyBorder="false" applyAlignment="true" applyProtection="false">
      <alignment horizontal="general" vertical="center" textRotation="0" wrapText="false" indent="0" shrinkToFit="false"/>
      <protection locked="true" hidden="false"/>
    </xf>
    <xf numFmtId="177" fontId="12" fillId="0" borderId="0" xfId="23"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2" fillId="0" borderId="0" xfId="23" applyFont="true" applyBorder="false" applyAlignment="true" applyProtection="false">
      <alignment horizontal="general" vertical="center" textRotation="0" wrapText="false" indent="0" shrinkToFit="false"/>
      <protection locked="true" hidden="false"/>
    </xf>
    <xf numFmtId="164" fontId="16" fillId="11" borderId="4" xfId="23" applyFont="true" applyBorder="true" applyAlignment="true" applyProtection="false">
      <alignment horizontal="center" vertical="center" textRotation="0" wrapText="true" indent="0" shrinkToFit="false"/>
      <protection locked="true" hidden="false"/>
    </xf>
    <xf numFmtId="164" fontId="12" fillId="11" borderId="4" xfId="23" applyFont="true" applyBorder="true" applyAlignment="true" applyProtection="false">
      <alignment horizontal="center" vertical="center" textRotation="0" wrapText="true" indent="0" shrinkToFit="false"/>
      <protection locked="true" hidden="false"/>
    </xf>
    <xf numFmtId="178" fontId="13" fillId="0" borderId="0" xfId="23" applyFont="true" applyBorder="false" applyAlignment="true" applyProtection="false">
      <alignment horizontal="general"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71" fontId="8" fillId="0" borderId="4" xfId="23" applyFont="true" applyBorder="true" applyAlignment="true" applyProtection="false">
      <alignment horizontal="center" vertical="center" textRotation="0" wrapText="false" indent="0" shrinkToFit="false"/>
      <protection locked="true" hidden="false"/>
    </xf>
    <xf numFmtId="164" fontId="12" fillId="0" borderId="4" xfId="23" applyFont="true" applyBorder="true" applyAlignment="true" applyProtection="false">
      <alignment horizontal="center" vertical="center" textRotation="0" wrapText="false" indent="0" shrinkToFit="false"/>
      <protection locked="true" hidden="false"/>
    </xf>
    <xf numFmtId="164" fontId="0" fillId="0" borderId="4" xfId="23" applyFont="true" applyBorder="true" applyAlignment="true" applyProtection="false">
      <alignment horizontal="general" vertical="center" textRotation="0" wrapText="true" indent="0" shrinkToFit="false"/>
      <protection locked="true" hidden="false"/>
    </xf>
    <xf numFmtId="179" fontId="8" fillId="2" borderId="4" xfId="15" applyFont="true" applyBorder="true" applyAlignment="true" applyProtection="true">
      <alignment horizontal="center" vertical="center" textRotation="0" wrapText="false" indent="0" shrinkToFit="false"/>
      <protection locked="false" hidden="false"/>
    </xf>
    <xf numFmtId="179" fontId="8" fillId="0" borderId="4" xfId="15" applyFont="true" applyBorder="true" applyAlignment="true" applyProtection="true">
      <alignment horizontal="center" vertical="center" textRotation="0" wrapText="false" indent="0" shrinkToFit="false"/>
      <protection locked="true" hidden="false"/>
    </xf>
    <xf numFmtId="174" fontId="8" fillId="8" borderId="4" xfId="19" applyFont="true" applyBorder="true" applyAlignment="true" applyProtection="true">
      <alignment horizontal="center" vertical="center" textRotation="0" wrapText="false" indent="0" shrinkToFit="false"/>
      <protection locked="true" hidden="false"/>
    </xf>
    <xf numFmtId="179" fontId="8" fillId="8" borderId="4" xfId="15" applyFont="true" applyBorder="true" applyAlignment="true" applyProtection="true">
      <alignment horizontal="center" vertical="center" textRotation="0" wrapText="false" indent="0" shrinkToFit="false"/>
      <protection locked="true" hidden="false"/>
    </xf>
    <xf numFmtId="179" fontId="12" fillId="0" borderId="4" xfId="15" applyFont="true" applyBorder="true" applyAlignment="true" applyProtection="true">
      <alignment horizontal="center" vertical="center" textRotation="0" wrapText="false" indent="0" shrinkToFit="false"/>
      <protection locked="true" hidden="false"/>
    </xf>
    <xf numFmtId="171" fontId="16" fillId="0" borderId="17" xfId="23" applyFont="true" applyBorder="true" applyAlignment="true" applyProtection="false">
      <alignment horizontal="center" vertical="center" textRotation="0" wrapText="false" indent="0" shrinkToFit="false"/>
      <protection locked="true" hidden="false"/>
    </xf>
    <xf numFmtId="169" fontId="19" fillId="9" borderId="4" xfId="15" applyFont="true" applyBorder="true" applyAlignment="true" applyProtection="true">
      <alignment horizontal="center" vertical="center" textRotation="0" wrapText="false" indent="0" shrinkToFit="false"/>
      <protection locked="true" hidden="false"/>
    </xf>
    <xf numFmtId="174" fontId="8" fillId="8" borderId="4" xfId="23" applyFont="true" applyBorder="true" applyAlignment="true" applyProtection="false">
      <alignment horizontal="center" vertical="center" textRotation="0" wrapText="false" indent="0" shrinkToFit="false"/>
      <protection locked="true" hidden="false"/>
    </xf>
    <xf numFmtId="169" fontId="8" fillId="8" borderId="4" xfId="23" applyFont="true" applyBorder="true" applyAlignment="true" applyProtection="false">
      <alignment horizontal="left" vertical="center" textRotation="0" wrapText="false" indent="0" shrinkToFit="false"/>
      <protection locked="true" hidden="false"/>
    </xf>
    <xf numFmtId="169" fontId="8" fillId="6" borderId="4" xfId="23" applyFont="true" applyBorder="true" applyAlignment="true" applyProtection="false">
      <alignment horizontal="center" vertical="center" textRotation="0" wrapText="false" indent="0" shrinkToFit="false"/>
      <protection locked="true" hidden="false"/>
    </xf>
    <xf numFmtId="174" fontId="8" fillId="0" borderId="4" xfId="19" applyFont="true" applyBorder="true" applyAlignment="true" applyProtection="true">
      <alignment horizontal="center" vertical="center" textRotation="0" wrapText="false" indent="0" shrinkToFit="false"/>
      <protection locked="true" hidden="false"/>
    </xf>
    <xf numFmtId="169" fontId="8" fillId="6" borderId="12" xfId="23" applyFont="true" applyBorder="true" applyAlignment="true" applyProtection="false">
      <alignment horizontal="center" vertical="center" textRotation="0" wrapText="false" indent="0" shrinkToFit="false"/>
      <protection locked="true" hidden="false"/>
    </xf>
    <xf numFmtId="174" fontId="8" fillId="2" borderId="4" xfId="23" applyFont="true" applyBorder="true" applyAlignment="true" applyProtection="false">
      <alignment horizontal="center" vertical="center" textRotation="0" wrapText="false" indent="0" shrinkToFit="false"/>
      <protection locked="true" hidden="false"/>
    </xf>
    <xf numFmtId="174" fontId="8" fillId="0" borderId="4" xfId="23" applyFont="true" applyBorder="true" applyAlignment="true" applyProtection="false">
      <alignment horizontal="center" vertical="center" textRotation="0" wrapText="false" indent="0" shrinkToFit="false"/>
      <protection locked="true" hidden="false"/>
    </xf>
    <xf numFmtId="169" fontId="8" fillId="2" borderId="4" xfId="23" applyFont="true" applyBorder="true" applyAlignment="true" applyProtection="false">
      <alignment horizontal="left" vertical="center" textRotation="0" wrapText="false" indent="0" shrinkToFit="false"/>
      <protection locked="true" hidden="false"/>
    </xf>
    <xf numFmtId="164" fontId="12" fillId="0" borderId="12" xfId="23" applyFont="true" applyBorder="true" applyAlignment="true" applyProtection="false">
      <alignment horizontal="center" vertical="center" textRotation="0" wrapText="false" indent="0" shrinkToFit="false"/>
      <protection locked="true" hidden="false"/>
    </xf>
    <xf numFmtId="179" fontId="12" fillId="0" borderId="12" xfId="15" applyFont="true" applyBorder="true" applyAlignment="true" applyProtection="true">
      <alignment horizontal="center" vertical="center" textRotation="0" wrapText="false" indent="0" shrinkToFit="false"/>
      <protection locked="true" hidden="false"/>
    </xf>
    <xf numFmtId="164" fontId="12" fillId="11" borderId="4" xfId="23" applyFont="true" applyBorder="true" applyAlignment="true" applyProtection="false">
      <alignment horizontal="center" vertical="center" textRotation="0" wrapText="false" indent="0" shrinkToFit="false"/>
      <protection locked="true" hidden="false"/>
    </xf>
    <xf numFmtId="164" fontId="8" fillId="0" borderId="4" xfId="23" applyFont="true" applyBorder="true" applyAlignment="true" applyProtection="false">
      <alignment horizontal="center" vertical="center" textRotation="0" wrapText="false" indent="0" shrinkToFit="false"/>
      <protection locked="true" hidden="false"/>
    </xf>
    <xf numFmtId="164" fontId="8" fillId="0" borderId="4" xfId="23" applyFont="true" applyBorder="true" applyAlignment="true" applyProtection="false">
      <alignment horizontal="left" vertical="center" textRotation="0" wrapText="false" indent="0" shrinkToFit="false"/>
      <protection locked="true" hidden="false"/>
    </xf>
    <xf numFmtId="164" fontId="12" fillId="2" borderId="4" xfId="23" applyFont="true" applyBorder="true" applyAlignment="true" applyProtection="true">
      <alignment horizontal="center" vertical="center" textRotation="0" wrapText="false" indent="0" shrinkToFit="false"/>
      <protection locked="false" hidden="false"/>
    </xf>
    <xf numFmtId="164" fontId="8" fillId="0" borderId="38" xfId="23" applyFont="true" applyBorder="true" applyAlignment="true" applyProtection="false">
      <alignment horizontal="general" vertical="center" textRotation="0" wrapText="false" indent="0" shrinkToFit="false"/>
      <protection locked="true" hidden="false"/>
    </xf>
    <xf numFmtId="174" fontId="12" fillId="0" borderId="4" xfId="19" applyFont="true" applyBorder="true" applyAlignment="true" applyProtection="true">
      <alignment horizontal="center" vertical="center" textRotation="0" wrapText="false" indent="0" shrinkToFit="false"/>
      <protection locked="true" hidden="false"/>
    </xf>
    <xf numFmtId="174" fontId="8" fillId="2" borderId="4" xfId="19" applyFont="true" applyBorder="true" applyAlignment="true" applyProtection="true">
      <alignment horizontal="center" vertical="center" textRotation="0" wrapText="false" indent="0" shrinkToFit="false"/>
      <protection locked="false" hidden="false"/>
    </xf>
    <xf numFmtId="172" fontId="8" fillId="2" borderId="4" xfId="23" applyFont="true" applyBorder="true" applyAlignment="true" applyProtection="true">
      <alignment horizontal="center" vertical="center" textRotation="0" wrapText="false" indent="0" shrinkToFit="false"/>
      <protection locked="false" hidden="false"/>
    </xf>
    <xf numFmtId="164" fontId="8" fillId="0" borderId="18" xfId="23" applyFont="true" applyBorder="true" applyAlignment="true" applyProtection="false">
      <alignment horizontal="general" vertical="center" textRotation="0" wrapText="false" indent="0" shrinkToFit="false"/>
      <protection locked="true" hidden="false"/>
    </xf>
    <xf numFmtId="164" fontId="8" fillId="0" borderId="39" xfId="23" applyFont="true" applyBorder="true" applyAlignment="true" applyProtection="false">
      <alignment horizontal="general" vertical="center" textRotation="0" wrapText="false" indent="0" shrinkToFit="false"/>
      <protection locked="true" hidden="false"/>
    </xf>
    <xf numFmtId="169" fontId="8" fillId="0" borderId="21" xfId="15" applyFont="true" applyBorder="true" applyAlignment="true" applyProtection="true">
      <alignment horizontal="general" vertical="center" textRotation="0" wrapText="false" indent="0" shrinkToFit="false"/>
      <protection locked="true" hidden="false"/>
    </xf>
    <xf numFmtId="164" fontId="0" fillId="0" borderId="4" xfId="23" applyFont="true" applyBorder="true" applyAlignment="true" applyProtection="false">
      <alignment horizontal="left" vertical="center" textRotation="0" wrapText="false" indent="0" shrinkToFit="false"/>
      <protection locked="true" hidden="false"/>
    </xf>
    <xf numFmtId="164" fontId="8" fillId="2" borderId="4" xfId="23" applyFont="true" applyBorder="true" applyAlignment="true" applyProtection="true">
      <alignment horizontal="center" vertical="center" textRotation="0" wrapText="false" indent="0" shrinkToFit="false"/>
      <protection locked="false" hidden="false"/>
    </xf>
    <xf numFmtId="164" fontId="8" fillId="0" borderId="38" xfId="23" applyFont="true" applyBorder="true" applyAlignment="true" applyProtection="false">
      <alignment horizontal="center" vertical="center" textRotation="0" wrapText="false" indent="0" shrinkToFit="false"/>
      <protection locked="true" hidden="false"/>
    </xf>
    <xf numFmtId="164" fontId="8" fillId="0" borderId="18" xfId="23" applyFont="true" applyBorder="true" applyAlignment="true" applyProtection="false">
      <alignment horizontal="left" vertical="center" textRotation="0" wrapText="false" indent="0" shrinkToFit="false"/>
      <protection locked="true" hidden="false"/>
    </xf>
    <xf numFmtId="164" fontId="8" fillId="0" borderId="4" xfId="0" applyFont="true" applyBorder="true" applyAlignment="true" applyProtection="false">
      <alignment horizontal="left" vertical="center" textRotation="0" wrapText="false" indent="0" shrinkToFit="false"/>
      <protection locked="true" hidden="false"/>
    </xf>
    <xf numFmtId="172" fontId="8" fillId="2" borderId="4" xfId="0" applyFont="true" applyBorder="true" applyAlignment="true" applyProtection="true">
      <alignment horizontal="center" vertical="center" textRotation="0" wrapText="false" indent="0" shrinkToFit="false"/>
      <protection locked="false" hidden="false"/>
    </xf>
    <xf numFmtId="164" fontId="8" fillId="0" borderId="0" xfId="0" applyFont="true" applyBorder="false" applyAlignment="true" applyProtection="false">
      <alignment horizontal="left" vertical="center" textRotation="0" wrapText="false" indent="0" shrinkToFit="false"/>
      <protection locked="true" hidden="false"/>
    </xf>
    <xf numFmtId="179" fontId="27" fillId="0" borderId="4"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74" fontId="8" fillId="2" borderId="4" xfId="38" applyFont="true" applyBorder="true" applyAlignment="true" applyProtection="true">
      <alignment horizontal="center" vertical="center" textRotation="0" wrapText="false" indent="0" shrinkToFit="false"/>
      <protection locked="false" hidden="false"/>
    </xf>
    <xf numFmtId="172" fontId="8" fillId="2" borderId="4" xfId="38" applyFont="true" applyBorder="true" applyAlignment="true" applyProtection="true">
      <alignment horizontal="center" vertical="center" textRotation="0" wrapText="false" indent="0" shrinkToFit="false"/>
      <protection locked="false" hidden="false"/>
    </xf>
    <xf numFmtId="172" fontId="12" fillId="2" borderId="4" xfId="23" applyFont="true" applyBorder="true" applyAlignment="true" applyProtection="true">
      <alignment horizontal="center" vertical="center" textRotation="0" wrapText="false" indent="0" shrinkToFit="false"/>
      <protection locked="false" hidden="false"/>
    </xf>
    <xf numFmtId="164" fontId="8" fillId="0" borderId="38" xfId="23" applyFont="true" applyBorder="true" applyAlignment="true" applyProtection="false">
      <alignment horizontal="left" vertical="center" textRotation="0" wrapText="true" indent="0" shrinkToFit="false"/>
      <protection locked="true" hidden="false"/>
    </xf>
    <xf numFmtId="164" fontId="8" fillId="2" borderId="4" xfId="23" applyFont="true" applyBorder="true" applyAlignment="true" applyProtection="true">
      <alignment horizontal="left" vertical="center" textRotation="0" wrapText="false" indent="0" shrinkToFit="false"/>
      <protection locked="false" hidden="false"/>
    </xf>
    <xf numFmtId="169" fontId="8" fillId="0" borderId="0" xfId="15" applyFont="true" applyBorder="true" applyAlignment="false" applyProtection="true">
      <alignment horizontal="general" vertical="bottom" textRotation="0" wrapText="false" indent="0" shrinkToFit="false"/>
      <protection locked="true" hidden="false"/>
    </xf>
    <xf numFmtId="164" fontId="8" fillId="0" borderId="4" xfId="23" applyFont="true" applyBorder="true" applyAlignment="true" applyProtection="false">
      <alignment horizontal="general" vertical="center" textRotation="0" wrapText="false" indent="0" shrinkToFit="false"/>
      <protection locked="true" hidden="false"/>
    </xf>
    <xf numFmtId="174" fontId="12" fillId="0" borderId="4" xfId="23" applyFont="true" applyBorder="true" applyAlignment="true" applyProtection="false">
      <alignment horizontal="center" vertical="center" textRotation="0" wrapText="false" indent="0" shrinkToFit="false"/>
      <protection locked="true" hidden="false"/>
    </xf>
    <xf numFmtId="164" fontId="12" fillId="11" borderId="18" xfId="23" applyFont="true" applyBorder="true" applyAlignment="true" applyProtection="false">
      <alignment horizontal="general" vertical="center" textRotation="0" wrapText="true" indent="0" shrinkToFit="false"/>
      <protection locked="true" hidden="false"/>
    </xf>
    <xf numFmtId="164" fontId="12" fillId="11" borderId="0" xfId="23" applyFont="true" applyBorder="false" applyAlignment="true" applyProtection="false">
      <alignment horizontal="center" vertical="center" textRotation="0" wrapText="false" indent="0" shrinkToFit="false"/>
      <protection locked="true" hidden="false"/>
    </xf>
    <xf numFmtId="164" fontId="12" fillId="0" borderId="0" xfId="23" applyFont="true" applyBorder="false" applyAlignment="true" applyProtection="false">
      <alignment horizontal="center" vertical="center" textRotation="0" wrapText="false" indent="0" shrinkToFit="false"/>
      <protection locked="true" hidden="false"/>
    </xf>
    <xf numFmtId="174" fontId="21" fillId="0" borderId="4" xfId="23" applyFont="true" applyBorder="true" applyAlignment="true" applyProtection="false">
      <alignment horizontal="center" vertical="center" textRotation="0" wrapText="false" indent="0" shrinkToFit="false"/>
      <protection locked="true" hidden="false"/>
    </xf>
    <xf numFmtId="164" fontId="21" fillId="0" borderId="4" xfId="23" applyFont="true" applyBorder="true" applyAlignment="true" applyProtection="false">
      <alignment horizontal="center" vertical="center" textRotation="0" wrapText="false" indent="0" shrinkToFit="false"/>
      <protection locked="true" hidden="false"/>
    </xf>
    <xf numFmtId="172" fontId="8" fillId="13" borderId="18" xfId="23" applyFont="true" applyBorder="true" applyAlignment="true" applyProtection="false">
      <alignment horizontal="general" vertical="center" textRotation="0" wrapText="false" indent="0" shrinkToFit="false"/>
      <protection locked="true" hidden="false"/>
    </xf>
    <xf numFmtId="177" fontId="8" fillId="0" borderId="4" xfId="23" applyFont="true" applyBorder="true" applyAlignment="true" applyProtection="false">
      <alignment horizontal="center" vertical="center" textRotation="0" wrapText="false" indent="0" shrinkToFit="false"/>
      <protection locked="true" hidden="false"/>
    </xf>
    <xf numFmtId="172" fontId="8" fillId="0" borderId="4" xfId="23" applyFont="true" applyBorder="true" applyAlignment="true" applyProtection="false">
      <alignment horizontal="center" vertical="center" textRotation="0" wrapText="false" indent="0" shrinkToFit="false"/>
      <protection locked="true" hidden="false"/>
    </xf>
    <xf numFmtId="172" fontId="8" fillId="0" borderId="0" xfId="23" applyFont="true" applyBorder="false" applyAlignment="true" applyProtection="false">
      <alignment horizontal="center" vertical="center" textRotation="0" wrapText="false" indent="0" shrinkToFit="false"/>
      <protection locked="true" hidden="false"/>
    </xf>
    <xf numFmtId="177" fontId="8" fillId="0" borderId="0" xfId="23" applyFont="true" applyBorder="false" applyAlignment="true" applyProtection="false">
      <alignment horizontal="center" vertical="center" textRotation="0" wrapText="false" indent="0" shrinkToFit="false"/>
      <protection locked="true" hidden="false"/>
    </xf>
    <xf numFmtId="164" fontId="8" fillId="0" borderId="0" xfId="23" applyFont="true" applyBorder="false" applyAlignment="true" applyProtection="false">
      <alignment horizontal="left" vertical="bottom" textRotation="0" wrapText="false" indent="0" shrinkToFit="false"/>
      <protection locked="true" hidden="false"/>
    </xf>
    <xf numFmtId="164" fontId="12" fillId="11" borderId="4" xfId="44" applyFont="true" applyBorder="true" applyAlignment="true" applyProtection="true">
      <alignment horizontal="center" vertical="center" textRotation="0" wrapText="true" indent="0" shrinkToFit="false"/>
      <protection locked="true" hidden="false"/>
    </xf>
    <xf numFmtId="164" fontId="28" fillId="11" borderId="4" xfId="44" applyFont="true" applyBorder="true" applyAlignment="true" applyProtection="true">
      <alignment horizontal="center" vertical="center" textRotation="0" wrapText="true" indent="0" shrinkToFit="false"/>
      <protection locked="true" hidden="false"/>
    </xf>
    <xf numFmtId="166" fontId="21" fillId="0" borderId="4" xfId="21" applyFont="true" applyBorder="true" applyAlignment="true" applyProtection="true">
      <alignment horizontal="center" vertical="center" textRotation="0" wrapText="false" indent="0" shrinkToFit="false"/>
      <protection locked="true" hidden="false"/>
    </xf>
    <xf numFmtId="166" fontId="8" fillId="0" borderId="4" xfId="21" applyFont="true" applyBorder="true" applyAlignment="true" applyProtection="true">
      <alignment horizontal="center" vertical="center" textRotation="0" wrapText="false" indent="0" shrinkToFit="false"/>
      <protection locked="true" hidden="false"/>
    </xf>
    <xf numFmtId="166" fontId="8" fillId="0" borderId="0" xfId="23" applyFont="true" applyBorder="false" applyAlignment="true" applyProtection="false">
      <alignment horizontal="center" vertical="bottom" textRotation="0" wrapText="false" indent="0" shrinkToFit="false"/>
      <protection locked="true" hidden="false"/>
    </xf>
    <xf numFmtId="164" fontId="12" fillId="11" borderId="28" xfId="23" applyFont="true" applyBorder="true" applyAlignment="true" applyProtection="false">
      <alignment horizontal="center" vertical="center" textRotation="0" wrapText="true" indent="0" shrinkToFit="false"/>
      <protection locked="true" hidden="false"/>
    </xf>
    <xf numFmtId="164" fontId="12" fillId="0" borderId="31" xfId="23" applyFont="true" applyBorder="true" applyAlignment="true" applyProtection="false">
      <alignment horizontal="left" vertical="center" textRotation="0" wrapText="false" indent="0" shrinkToFit="false"/>
      <protection locked="true" hidden="false"/>
    </xf>
    <xf numFmtId="164" fontId="8" fillId="0" borderId="40" xfId="23" applyFont="true" applyBorder="true" applyAlignment="true" applyProtection="false">
      <alignment horizontal="center" vertical="bottom" textRotation="0" wrapText="false" indent="0" shrinkToFit="false"/>
      <protection locked="true" hidden="false"/>
    </xf>
    <xf numFmtId="164" fontId="8" fillId="0" borderId="31" xfId="23" applyFont="true" applyBorder="true" applyAlignment="false" applyProtection="false">
      <alignment horizontal="general" vertical="bottom" textRotation="0" wrapText="false" indent="0" shrinkToFit="false"/>
      <protection locked="true" hidden="false"/>
    </xf>
    <xf numFmtId="164" fontId="8" fillId="0" borderId="28" xfId="23" applyFont="true" applyBorder="true" applyAlignment="true" applyProtection="false">
      <alignment horizontal="left" vertical="center" textRotation="0" wrapText="false" indent="0" shrinkToFit="false"/>
      <protection locked="true" hidden="false"/>
    </xf>
    <xf numFmtId="164" fontId="8" fillId="0" borderId="41" xfId="23" applyFont="true" applyBorder="true" applyAlignment="true" applyProtection="false">
      <alignment horizontal="left" vertical="center" textRotation="0" wrapText="false" indent="0" shrinkToFit="false"/>
      <protection locked="true" hidden="false"/>
    </xf>
    <xf numFmtId="164" fontId="12" fillId="0" borderId="12" xfId="23" applyFont="true" applyBorder="true" applyAlignment="true" applyProtection="false">
      <alignment horizontal="left" vertical="center" textRotation="0" wrapText="false" indent="0" shrinkToFit="false"/>
      <protection locked="true" hidden="false"/>
    </xf>
    <xf numFmtId="164" fontId="8" fillId="0" borderId="12" xfId="23" applyFont="true" applyBorder="true" applyAlignment="false" applyProtection="false">
      <alignment horizontal="general" vertical="bottom" textRotation="0" wrapText="false" indent="0" shrinkToFit="false"/>
      <protection locked="true" hidden="false"/>
    </xf>
    <xf numFmtId="164" fontId="8" fillId="0" borderId="38" xfId="23" applyFont="true" applyBorder="true" applyAlignment="false" applyProtection="false">
      <alignment horizontal="general" vertical="bottom" textRotation="0" wrapText="false" indent="0" shrinkToFit="false"/>
      <protection locked="true" hidden="false"/>
    </xf>
    <xf numFmtId="164" fontId="8" fillId="0" borderId="42" xfId="23" applyFont="tru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general" vertical="center" textRotation="0" wrapText="false" indent="0" shrinkToFit="false"/>
      <protection locked="true" hidden="false"/>
    </xf>
    <xf numFmtId="164" fontId="7" fillId="0" borderId="43" xfId="0" applyFont="true" applyBorder="true" applyAlignment="true" applyProtection="false">
      <alignment horizontal="general" vertical="center"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7" fillId="0" borderId="44" xfId="0" applyFont="true" applyBorder="true" applyAlignment="true" applyProtection="false">
      <alignment horizontal="general" vertical="center" textRotation="0" wrapText="false" indent="0" shrinkToFit="false"/>
      <protection locked="true" hidden="false"/>
    </xf>
    <xf numFmtId="164" fontId="17" fillId="0" borderId="3" xfId="0" applyFont="true" applyBorder="true" applyAlignment="false" applyProtection="false">
      <alignment horizontal="general" vertical="bottom" textRotation="0" wrapText="false" indent="0" shrinkToFit="false"/>
      <protection locked="true" hidden="false"/>
    </xf>
    <xf numFmtId="164" fontId="29" fillId="11" borderId="45" xfId="0" applyFont="true" applyBorder="true" applyAlignment="true" applyProtection="false">
      <alignment horizontal="center" vertical="center" textRotation="0" wrapText="false" indent="0" shrinkToFit="false"/>
      <protection locked="true" hidden="false"/>
    </xf>
    <xf numFmtId="164" fontId="14" fillId="14" borderId="15" xfId="0" applyFont="true" applyBorder="true" applyAlignment="true" applyProtection="false">
      <alignment horizontal="center" vertical="bottom" textRotation="0" wrapText="true" indent="0" shrinkToFit="false"/>
      <protection locked="true" hidden="false"/>
    </xf>
    <xf numFmtId="164" fontId="14" fillId="11" borderId="20" xfId="0" applyFont="true" applyBorder="true" applyAlignment="true" applyProtection="false">
      <alignment horizontal="center" vertical="center" textRotation="0" wrapText="false" indent="0" shrinkToFit="false"/>
      <protection locked="true" hidden="false"/>
    </xf>
    <xf numFmtId="164" fontId="30" fillId="0" borderId="17" xfId="0" applyFont="true" applyBorder="true" applyAlignment="true" applyProtection="false">
      <alignment horizontal="center" vertical="bottom" textRotation="0" wrapText="false" indent="0" shrinkToFit="false"/>
      <protection locked="true" hidden="false"/>
    </xf>
    <xf numFmtId="164" fontId="30" fillId="0" borderId="4" xfId="0" applyFont="true" applyBorder="true" applyAlignment="true" applyProtection="false">
      <alignment horizontal="center" vertical="bottom" textRotation="0" wrapText="false" indent="0" shrinkToFit="false"/>
      <protection locked="true" hidden="false"/>
    </xf>
    <xf numFmtId="164" fontId="30" fillId="0" borderId="19" xfId="0" applyFont="true" applyBorder="true" applyAlignment="true" applyProtection="false">
      <alignment horizontal="center" vertical="bottom" textRotation="0" wrapText="false" indent="0" shrinkToFit="false"/>
      <protection locked="true" hidden="false"/>
    </xf>
    <xf numFmtId="164" fontId="31" fillId="11" borderId="17" xfId="0" applyFont="true" applyBorder="true" applyAlignment="true" applyProtection="false">
      <alignment horizontal="center" vertical="center" textRotation="0" wrapText="false" indent="0" shrinkToFit="false"/>
      <protection locked="true" hidden="false"/>
    </xf>
    <xf numFmtId="164" fontId="31" fillId="11" borderId="19" xfId="0" applyFont="true" applyBorder="true" applyAlignment="true" applyProtection="false">
      <alignment horizontal="left" vertical="center" textRotation="0" wrapText="false" indent="0" shrinkToFit="false"/>
      <protection locked="true" hidden="false"/>
    </xf>
    <xf numFmtId="164" fontId="17" fillId="0" borderId="17" xfId="0" applyFont="true" applyBorder="true" applyAlignment="true" applyProtection="false">
      <alignment horizontal="center" vertical="center" textRotation="0" wrapText="false" indent="0" shrinkToFit="false"/>
      <protection locked="true" hidden="false"/>
    </xf>
    <xf numFmtId="164" fontId="17" fillId="0" borderId="4" xfId="0" applyFont="true" applyBorder="true" applyAlignment="true" applyProtection="false">
      <alignment horizontal="general" vertical="center" textRotation="0" wrapText="false" indent="0" shrinkToFit="false"/>
      <protection locked="true" hidden="false"/>
    </xf>
    <xf numFmtId="174" fontId="8" fillId="2" borderId="19" xfId="24" applyFont="true" applyBorder="true" applyAlignment="true" applyProtection="true">
      <alignment horizontal="center" vertical="center" textRotation="0" wrapText="false" indent="0" shrinkToFit="false"/>
      <protection locked="false" hidden="false"/>
    </xf>
    <xf numFmtId="174" fontId="8" fillId="0" borderId="19" xfId="24" applyFont="true" applyBorder="true" applyAlignment="true" applyProtection="false">
      <alignment horizontal="center" vertical="center" textRotation="0" wrapText="false" indent="0" shrinkToFit="false"/>
      <protection locked="true" hidden="false"/>
    </xf>
    <xf numFmtId="172" fontId="0" fillId="0" borderId="0" xfId="0" applyFont="true" applyBorder="false" applyAlignment="false" applyProtection="false">
      <alignment horizontal="general" vertical="bottom" textRotation="0" wrapText="false" indent="0" shrinkToFit="false"/>
      <protection locked="true" hidden="false"/>
    </xf>
    <xf numFmtId="164" fontId="31" fillId="11" borderId="17" xfId="0" applyFont="true" applyBorder="true" applyAlignment="true" applyProtection="false">
      <alignment horizontal="left" vertical="center" textRotation="0" wrapText="false" indent="0" shrinkToFit="false"/>
      <protection locked="true" hidden="false"/>
    </xf>
    <xf numFmtId="174" fontId="30" fillId="11" borderId="19" xfId="37" applyFont="true" applyBorder="true" applyAlignment="true" applyProtection="true">
      <alignment horizontal="center" vertical="center" textRotation="0" wrapText="false" indent="0" shrinkToFit="false"/>
      <protection locked="true" hidden="false"/>
    </xf>
    <xf numFmtId="164" fontId="31" fillId="11" borderId="20" xfId="0" applyFont="true" applyBorder="true" applyAlignment="true" applyProtection="false">
      <alignment horizontal="left" vertical="center" textRotation="0" wrapText="false" indent="0" shrinkToFit="false"/>
      <protection locked="true" hidden="false"/>
    </xf>
    <xf numFmtId="164" fontId="17" fillId="0" borderId="18" xfId="0" applyFont="true" applyBorder="true" applyAlignment="true" applyProtection="false">
      <alignment horizontal="general" vertical="center" textRotation="0" wrapText="false" indent="0" shrinkToFit="false"/>
      <protection locked="true" hidden="false"/>
    </xf>
    <xf numFmtId="174" fontId="32" fillId="15" borderId="19" xfId="19" applyFont="true" applyBorder="true" applyAlignment="true" applyProtection="true">
      <alignment horizontal="center" vertical="center" textRotation="0" wrapText="false" indent="0" shrinkToFit="false"/>
      <protection locked="true" hidden="false"/>
    </xf>
    <xf numFmtId="164" fontId="31" fillId="0" borderId="17" xfId="0" applyFont="true" applyBorder="true" applyAlignment="true" applyProtection="false">
      <alignment horizontal="left" vertical="center" textRotation="0" wrapText="false" indent="0" shrinkToFit="false"/>
      <protection locked="true" hidden="false"/>
    </xf>
    <xf numFmtId="174" fontId="12" fillId="0" borderId="19" xfId="24" applyFont="true" applyBorder="true" applyAlignment="true" applyProtection="false">
      <alignment horizontal="center" vertical="center" textRotation="0" wrapText="false" indent="0" shrinkToFit="false"/>
      <protection locked="true" hidden="false"/>
    </xf>
    <xf numFmtId="164" fontId="17" fillId="0" borderId="17" xfId="0" applyFont="true" applyBorder="true" applyAlignment="true" applyProtection="false">
      <alignment horizontal="left" vertical="center" textRotation="0" wrapText="true" indent="0" shrinkToFit="false"/>
      <protection locked="true" hidden="false"/>
    </xf>
    <xf numFmtId="174" fontId="8" fillId="2" borderId="19" xfId="24" applyFont="true" applyBorder="true" applyAlignment="true" applyProtection="false">
      <alignment horizontal="center" vertical="center" textRotation="0" wrapText="false" indent="0" shrinkToFit="false"/>
      <protection locked="true" hidden="false"/>
    </xf>
    <xf numFmtId="174" fontId="0" fillId="0" borderId="14" xfId="0" applyFont="false" applyBorder="true" applyAlignment="true" applyProtection="false">
      <alignment horizontal="center" vertical="center" textRotation="0" wrapText="false" indent="0" shrinkToFit="false"/>
      <protection locked="true" hidden="false"/>
    </xf>
    <xf numFmtId="174" fontId="27" fillId="0" borderId="19" xfId="0" applyFont="true" applyBorder="true" applyAlignment="true" applyProtection="false">
      <alignment horizontal="center" vertical="center" textRotation="0" wrapText="false" indent="0" shrinkToFit="false"/>
      <protection locked="true" hidden="false"/>
    </xf>
    <xf numFmtId="164" fontId="17" fillId="0" borderId="17" xfId="0" applyFont="true" applyBorder="true" applyAlignment="true" applyProtection="false">
      <alignment horizontal="left" vertical="center" textRotation="0" wrapText="false" indent="0" shrinkToFit="false"/>
      <protection locked="true" hidden="false"/>
    </xf>
    <xf numFmtId="164" fontId="33" fillId="0" borderId="17" xfId="0" applyFont="true" applyBorder="true" applyAlignment="true" applyProtection="false">
      <alignment horizontal="left" vertical="center" textRotation="0" wrapText="false" indent="0" shrinkToFit="false"/>
      <protection locked="true" hidden="false"/>
    </xf>
    <xf numFmtId="164" fontId="34" fillId="16" borderId="33" xfId="22" applyFont="true" applyBorder="true" applyAlignment="true" applyProtection="false">
      <alignment horizontal="center" vertical="center" textRotation="0" wrapText="true" indent="0" shrinkToFit="false"/>
      <protection locked="true" hidden="false"/>
    </xf>
    <xf numFmtId="164" fontId="24" fillId="0" borderId="17" xfId="22" applyFont="true" applyBorder="true" applyAlignment="true" applyProtection="false">
      <alignment horizontal="center" vertical="center" textRotation="0" wrapText="true" indent="0" shrinkToFit="false"/>
      <protection locked="true" hidden="false"/>
    </xf>
    <xf numFmtId="164" fontId="24" fillId="0" borderId="19" xfId="22" applyFont="true" applyBorder="true" applyAlignment="true" applyProtection="false">
      <alignment horizontal="center" vertical="center" textRotation="0" wrapText="true" indent="0" shrinkToFit="false"/>
      <protection locked="true" hidden="false"/>
    </xf>
    <xf numFmtId="164" fontId="33" fillId="0" borderId="17" xfId="0" applyFont="true" applyBorder="true" applyAlignment="true" applyProtection="false">
      <alignment horizontal="center" vertical="center" textRotation="0" wrapText="false" indent="0" shrinkToFit="false"/>
      <protection locked="true" hidden="false"/>
    </xf>
    <xf numFmtId="164" fontId="33" fillId="0" borderId="4" xfId="0" applyFont="true" applyBorder="true" applyAlignment="true" applyProtection="false">
      <alignment horizontal="left" vertical="center" textRotation="0" wrapText="false" indent="0" shrinkToFit="false"/>
      <protection locked="true" hidden="false"/>
    </xf>
    <xf numFmtId="174" fontId="12" fillId="0" borderId="19" xfId="37" applyFont="true" applyBorder="true" applyAlignment="true" applyProtection="true">
      <alignment horizontal="center" vertical="center" textRotation="0" wrapText="false" indent="0" shrinkToFit="false"/>
      <protection locked="true" hidden="false"/>
    </xf>
    <xf numFmtId="164" fontId="16" fillId="16" borderId="17" xfId="22" applyFont="true" applyBorder="true" applyAlignment="true" applyProtection="false">
      <alignment horizontal="center" vertical="center" textRotation="0" wrapText="true" indent="0" shrinkToFit="false"/>
      <protection locked="true" hidden="false"/>
    </xf>
    <xf numFmtId="164" fontId="16" fillId="16" borderId="4" xfId="22" applyFont="true" applyBorder="true" applyAlignment="true" applyProtection="false">
      <alignment horizontal="center" vertical="center" textRotation="0" wrapText="true" indent="0" shrinkToFit="false"/>
      <protection locked="true" hidden="false"/>
    </xf>
    <xf numFmtId="164" fontId="15" fillId="16" borderId="19" xfId="22" applyFont="true" applyBorder="true" applyAlignment="true" applyProtection="false">
      <alignment horizontal="center" vertical="center" textRotation="0" wrapText="true" indent="0" shrinkToFit="false"/>
      <protection locked="true" hidden="false"/>
    </xf>
    <xf numFmtId="174" fontId="16" fillId="16" borderId="4" xfId="22" applyFont="true" applyBorder="true" applyAlignment="true" applyProtection="false">
      <alignment horizontal="center" vertical="center" textRotation="0" wrapText="false" indent="0" shrinkToFit="false"/>
      <protection locked="true" hidden="false"/>
    </xf>
    <xf numFmtId="174" fontId="18" fillId="16" borderId="19" xfId="22" applyFont="true" applyBorder="true" applyAlignment="true" applyProtection="false">
      <alignment horizontal="center" vertical="center" textRotation="0" wrapText="false" indent="0" shrinkToFit="false"/>
      <protection locked="true" hidden="false"/>
    </xf>
    <xf numFmtId="164" fontId="31" fillId="11" borderId="20" xfId="0" applyFont="true" applyBorder="true" applyAlignment="true" applyProtection="false">
      <alignment horizontal="center" vertical="center" textRotation="0" wrapText="false" indent="0" shrinkToFit="false"/>
      <protection locked="true" hidden="false"/>
    </xf>
    <xf numFmtId="164" fontId="17" fillId="0" borderId="17" xfId="22" applyFont="true" applyBorder="true" applyAlignment="true" applyProtection="false">
      <alignment horizontal="center" vertical="center" textRotation="0" wrapText="true" indent="0" shrinkToFit="false"/>
      <protection locked="true" hidden="false"/>
    </xf>
    <xf numFmtId="174" fontId="17" fillId="0" borderId="4" xfId="22" applyFont="true" applyBorder="true" applyAlignment="true" applyProtection="false">
      <alignment horizontal="center" vertical="center" textRotation="0" wrapText="false" indent="0" shrinkToFit="false"/>
      <protection locked="true" hidden="false"/>
    </xf>
    <xf numFmtId="174" fontId="17" fillId="0" borderId="19" xfId="22" applyFont="true" applyBorder="true" applyAlignment="true" applyProtection="false">
      <alignment horizontal="center" vertical="center" textRotation="0" wrapText="false" indent="0" shrinkToFit="false"/>
      <protection locked="true" hidden="false"/>
    </xf>
    <xf numFmtId="164" fontId="33" fillId="16" borderId="17" xfId="22" applyFont="true" applyBorder="true" applyAlignment="true" applyProtection="false">
      <alignment horizontal="center" vertical="center" textRotation="0" wrapText="true" indent="0" shrinkToFit="false"/>
      <protection locked="true" hidden="false"/>
    </xf>
    <xf numFmtId="174" fontId="33" fillId="16" borderId="4" xfId="22" applyFont="true" applyBorder="true" applyAlignment="true" applyProtection="false">
      <alignment horizontal="center" vertical="center" textRotation="0" wrapText="false" indent="0" shrinkToFit="false"/>
      <protection locked="true" hidden="false"/>
    </xf>
    <xf numFmtId="174" fontId="33" fillId="16" borderId="19" xfId="22" applyFont="true" applyBorder="true" applyAlignment="true" applyProtection="false">
      <alignment horizontal="center" vertical="center" textRotation="0" wrapText="false" indent="0" shrinkToFit="false"/>
      <protection locked="true" hidden="false"/>
    </xf>
    <xf numFmtId="164" fontId="31" fillId="11" borderId="46" xfId="0" applyFont="true" applyBorder="true" applyAlignment="true" applyProtection="false">
      <alignment horizontal="left" vertical="center" textRotation="0" wrapText="false" indent="0" shrinkToFit="false"/>
      <protection locked="true" hidden="false"/>
    </xf>
    <xf numFmtId="164" fontId="33" fillId="0" borderId="17" xfId="22" applyFont="true" applyBorder="true" applyAlignment="true" applyProtection="false">
      <alignment horizontal="center" vertical="center" textRotation="0" wrapText="true" indent="0" shrinkToFit="false"/>
      <protection locked="true" hidden="false"/>
    </xf>
    <xf numFmtId="174" fontId="33" fillId="0" borderId="4" xfId="22" applyFont="true" applyBorder="true" applyAlignment="true" applyProtection="false">
      <alignment horizontal="center" vertical="center" textRotation="0" wrapText="false" indent="0" shrinkToFit="false"/>
      <protection locked="true" hidden="false"/>
    </xf>
    <xf numFmtId="174" fontId="35" fillId="0" borderId="19" xfId="22" applyFont="true" applyBorder="true" applyAlignment="true" applyProtection="false">
      <alignment horizontal="center" vertical="center" textRotation="0" wrapText="false" indent="0" shrinkToFit="false"/>
      <protection locked="true" hidden="false"/>
    </xf>
    <xf numFmtId="164" fontId="36" fillId="15" borderId="3" xfId="0" applyFont="true" applyBorder="true" applyAlignment="true" applyProtection="false">
      <alignment horizontal="left" vertical="center" textRotation="0" wrapText="false" indent="0" shrinkToFit="false"/>
      <protection locked="true" hidden="false"/>
    </xf>
    <xf numFmtId="164" fontId="36" fillId="15" borderId="0" xfId="0" applyFont="true" applyBorder="false" applyAlignment="false" applyProtection="false">
      <alignment horizontal="general" vertical="bottom" textRotation="0" wrapText="false" indent="0" shrinkToFit="false"/>
      <protection locked="true" hidden="false"/>
    </xf>
    <xf numFmtId="164" fontId="32" fillId="15" borderId="44" xfId="0" applyFont="true" applyBorder="true" applyAlignment="false" applyProtection="false">
      <alignment horizontal="general" vertical="bottom" textRotation="0" wrapText="false" indent="0" shrinkToFit="false"/>
      <protection locked="true" hidden="false"/>
    </xf>
    <xf numFmtId="174" fontId="17" fillId="0" borderId="4" xfId="22" applyFont="true" applyBorder="true" applyAlignment="true" applyProtection="false">
      <alignment horizontal="center" vertical="center" textRotation="0" wrapText="true" indent="0" shrinkToFit="false"/>
      <protection locked="true" hidden="false"/>
    </xf>
    <xf numFmtId="174" fontId="17" fillId="0" borderId="19" xfId="22" applyFont="true" applyBorder="true" applyAlignment="true" applyProtection="false">
      <alignment horizontal="center" vertical="center" textRotation="0" wrapText="true" indent="0" shrinkToFit="false"/>
      <protection locked="true" hidden="false"/>
    </xf>
    <xf numFmtId="164" fontId="36" fillId="15" borderId="47" xfId="0" applyFont="true" applyBorder="true" applyAlignment="true" applyProtection="false">
      <alignment horizontal="justify" vertical="bottom" textRotation="0" wrapText="true" indent="0" shrinkToFit="false"/>
      <protection locked="true" hidden="false"/>
    </xf>
    <xf numFmtId="164" fontId="33" fillId="16" borderId="22" xfId="22" applyFont="true" applyBorder="true" applyAlignment="true" applyProtection="false">
      <alignment horizontal="center" vertical="center" textRotation="0" wrapText="true" indent="0" shrinkToFit="false"/>
      <protection locked="true" hidden="false"/>
    </xf>
    <xf numFmtId="174" fontId="33" fillId="16" borderId="28" xfId="22" applyFont="true" applyBorder="true" applyAlignment="true" applyProtection="false">
      <alignment horizontal="center" vertical="center" textRotation="0" wrapText="false" indent="0" shrinkToFit="false"/>
      <protection locked="true" hidden="false"/>
    </xf>
    <xf numFmtId="174" fontId="35" fillId="16" borderId="35" xfId="22"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2" xfId="26" applyFont="true" applyBorder="true" applyAlignment="true" applyProtection="false">
      <alignment horizontal="center" vertical="bottom" textRotation="0" wrapText="false" indent="0" shrinkToFit="false"/>
      <protection locked="true" hidden="false"/>
    </xf>
    <xf numFmtId="164" fontId="13" fillId="0" borderId="2" xfId="26" applyFont="true" applyBorder="true" applyAlignment="false" applyProtection="false">
      <alignment horizontal="general" vertical="bottom" textRotation="0" wrapText="false" indent="0" shrinkToFit="false"/>
      <protection locked="true" hidden="false"/>
    </xf>
    <xf numFmtId="164" fontId="13" fillId="0" borderId="43" xfId="26" applyFont="true" applyBorder="true" applyAlignment="fals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13" fillId="0" borderId="0" xfId="26" applyFont="true" applyBorder="false" applyAlignment="true" applyProtection="false">
      <alignment horizontal="center" vertical="center" textRotation="0" wrapText="false" indent="0" shrinkToFit="false"/>
      <protection locked="true" hidden="false"/>
    </xf>
    <xf numFmtId="164" fontId="13" fillId="0" borderId="0" xfId="26" applyFont="true" applyBorder="false" applyAlignment="true" applyProtection="false">
      <alignment horizontal="general" vertical="center" textRotation="0" wrapText="false" indent="0" shrinkToFit="false"/>
      <protection locked="true" hidden="false"/>
    </xf>
    <xf numFmtId="164" fontId="13" fillId="0" borderId="44" xfId="26"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13" fillId="0" borderId="0" xfId="26" applyFont="true" applyBorder="false" applyAlignment="true" applyProtection="false">
      <alignment horizontal="center" vertical="bottom" textRotation="0" wrapText="false" indent="0" shrinkToFit="false"/>
      <protection locked="true" hidden="false"/>
    </xf>
    <xf numFmtId="164" fontId="13" fillId="0" borderId="0" xfId="26" applyFont="true" applyBorder="false" applyAlignment="false" applyProtection="false">
      <alignment horizontal="general" vertical="bottom" textRotation="0" wrapText="false" indent="0" shrinkToFit="false"/>
      <protection locked="true" hidden="false"/>
    </xf>
    <xf numFmtId="164" fontId="13" fillId="0" borderId="44" xfId="26" applyFont="true" applyBorder="true" applyAlignment="false" applyProtection="false">
      <alignment horizontal="general" vertical="bottom" textRotation="0" wrapText="false" indent="0" shrinkToFit="false"/>
      <protection locked="true" hidden="false"/>
    </xf>
    <xf numFmtId="164" fontId="25" fillId="11" borderId="0" xfId="26" applyFont="true" applyBorder="true" applyAlignment="true" applyProtection="false">
      <alignment horizontal="center" vertical="center" textRotation="0" wrapText="false" indent="0" shrinkToFit="false"/>
      <protection locked="true" hidden="false"/>
    </xf>
    <xf numFmtId="164" fontId="14" fillId="14" borderId="15" xfId="0" applyFont="true" applyBorder="true" applyAlignment="true" applyProtection="false">
      <alignment horizontal="center" vertical="center" textRotation="0" wrapText="true" indent="0" shrinkToFit="false"/>
      <protection locked="true" hidden="false"/>
    </xf>
    <xf numFmtId="164" fontId="25" fillId="0" borderId="3" xfId="26" applyFont="true" applyBorder="true" applyAlignment="true" applyProtection="false">
      <alignment horizontal="center" vertical="center" textRotation="0" wrapText="false" indent="0" shrinkToFit="false"/>
      <protection locked="true" hidden="false"/>
    </xf>
    <xf numFmtId="164" fontId="25" fillId="0" borderId="0" xfId="26" applyFont="true" applyBorder="false" applyAlignment="true" applyProtection="false">
      <alignment horizontal="center" vertical="center" textRotation="0" wrapText="false" indent="0" shrinkToFit="false"/>
      <protection locked="true" hidden="false"/>
    </xf>
    <xf numFmtId="167" fontId="37" fillId="0" borderId="44" xfId="26" applyFont="true" applyBorder="true" applyAlignment="true" applyProtection="false">
      <alignment horizontal="center" vertical="center" textRotation="0" wrapText="false" indent="0" shrinkToFit="false"/>
      <protection locked="true" hidden="false"/>
    </xf>
    <xf numFmtId="164" fontId="14" fillId="11" borderId="48" xfId="26" applyFont="true" applyBorder="true" applyAlignment="true" applyProtection="false">
      <alignment horizontal="center" vertical="center" textRotation="0" wrapText="true" indent="0" shrinkToFit="false"/>
      <protection locked="true" hidden="false"/>
    </xf>
    <xf numFmtId="164" fontId="14" fillId="11" borderId="36" xfId="26" applyFont="true" applyBorder="true" applyAlignment="true" applyProtection="false">
      <alignment horizontal="center" vertical="center" textRotation="0" wrapText="true" indent="0" shrinkToFit="false"/>
      <protection locked="true" hidden="false"/>
    </xf>
    <xf numFmtId="179" fontId="14" fillId="11" borderId="36" xfId="26" applyFont="true" applyBorder="true" applyAlignment="true" applyProtection="false">
      <alignment horizontal="center" vertical="center" textRotation="0" wrapText="true" indent="0" shrinkToFit="false"/>
      <protection locked="true" hidden="false"/>
    </xf>
    <xf numFmtId="179" fontId="14" fillId="11" borderId="49" xfId="26" applyFont="true" applyBorder="true" applyAlignment="true" applyProtection="false">
      <alignment horizontal="center" vertical="center" textRotation="0" wrapText="true" indent="0" shrinkToFit="false"/>
      <protection locked="true" hidden="false"/>
    </xf>
    <xf numFmtId="164" fontId="16" fillId="0" borderId="4" xfId="33" applyFont="true" applyBorder="true" applyAlignment="true" applyProtection="false">
      <alignment horizontal="center" vertical="center" textRotation="0" wrapText="true" indent="0" shrinkToFit="false"/>
      <protection locked="true" hidden="false"/>
    </xf>
    <xf numFmtId="164" fontId="12" fillId="0" borderId="30" xfId="33" applyFont="true" applyBorder="true" applyAlignment="true" applyProtection="false">
      <alignment horizontal="center" vertical="center" textRotation="0" wrapText="false" indent="0" shrinkToFit="false"/>
      <protection locked="true" hidden="false"/>
    </xf>
    <xf numFmtId="180" fontId="38" fillId="0" borderId="11" xfId="48" applyFont="true" applyBorder="true" applyAlignment="true" applyProtection="true">
      <alignment horizontal="center" vertical="center" textRotation="0" wrapText="false" indent="0" shrinkToFit="false"/>
      <protection locked="true" hidden="false"/>
    </xf>
    <xf numFmtId="164" fontId="17" fillId="6" borderId="12" xfId="0" applyFont="true" applyBorder="true" applyAlignment="true" applyProtection="false">
      <alignment horizontal="justify" vertical="center" textRotation="0" wrapText="true" indent="0" shrinkToFit="false"/>
      <protection locked="true" hidden="false"/>
    </xf>
    <xf numFmtId="180" fontId="39" fillId="6" borderId="12" xfId="48" applyFont="true" applyBorder="true" applyAlignment="true" applyProtection="true">
      <alignment horizontal="center" vertical="center" textRotation="0" wrapText="false" indent="0" shrinkToFit="false"/>
      <protection locked="true" hidden="false"/>
    </xf>
    <xf numFmtId="179" fontId="16" fillId="2" borderId="12" xfId="15" applyFont="true" applyBorder="true" applyAlignment="true" applyProtection="true">
      <alignment horizontal="center" vertical="center" textRotation="0" wrapText="false" indent="0" shrinkToFit="false"/>
      <protection locked="false" hidden="false"/>
    </xf>
    <xf numFmtId="179" fontId="16" fillId="0" borderId="12" xfId="15" applyFont="true" applyBorder="true" applyAlignment="true" applyProtection="true">
      <alignment horizontal="center" vertical="center" textRotation="0" wrapText="false" indent="0" shrinkToFit="false"/>
      <protection locked="true" hidden="false"/>
    </xf>
    <xf numFmtId="179" fontId="16" fillId="0" borderId="13" xfId="15" applyFont="true" applyBorder="true" applyAlignment="true" applyProtection="true">
      <alignment horizontal="center" vertical="center" textRotation="0" wrapText="false" indent="0" shrinkToFit="false"/>
      <protection locked="true" hidden="false"/>
    </xf>
    <xf numFmtId="180" fontId="38" fillId="0" borderId="17" xfId="48" applyFont="true" applyBorder="true" applyAlignment="true" applyProtection="true">
      <alignment horizontal="center" vertical="center" textRotation="0" wrapText="false" indent="0" shrinkToFit="false"/>
      <protection locked="true" hidden="false"/>
    </xf>
    <xf numFmtId="164" fontId="17" fillId="6" borderId="4" xfId="0" applyFont="true" applyBorder="true" applyAlignment="true" applyProtection="false">
      <alignment horizontal="justify" vertical="center" textRotation="0" wrapText="true" indent="0" shrinkToFit="false"/>
      <protection locked="true" hidden="false"/>
    </xf>
    <xf numFmtId="180" fontId="39" fillId="6" borderId="4" xfId="48" applyFont="true" applyBorder="true" applyAlignment="true" applyProtection="true">
      <alignment horizontal="center" vertical="center" textRotation="0" wrapText="false" indent="0" shrinkToFit="false"/>
      <protection locked="true" hidden="false"/>
    </xf>
    <xf numFmtId="179" fontId="16" fillId="2" borderId="4" xfId="15" applyFont="true" applyBorder="true" applyAlignment="true" applyProtection="true">
      <alignment horizontal="center" vertical="center" textRotation="0" wrapText="false" indent="0" shrinkToFit="false"/>
      <protection locked="false" hidden="false"/>
    </xf>
    <xf numFmtId="179" fontId="16" fillId="0" borderId="4" xfId="15" applyFont="true" applyBorder="true" applyAlignment="true" applyProtection="true">
      <alignment horizontal="center" vertical="center" textRotation="0" wrapText="false" indent="0" shrinkToFit="false"/>
      <protection locked="true" hidden="false"/>
    </xf>
    <xf numFmtId="179" fontId="16" fillId="0" borderId="18" xfId="15" applyFont="true" applyBorder="true" applyAlignment="true" applyProtection="true">
      <alignment horizontal="center" vertical="center" textRotation="0" wrapText="false" indent="0" shrinkToFit="false"/>
      <protection locked="true" hidden="false"/>
    </xf>
    <xf numFmtId="176" fontId="12" fillId="11" borderId="46" xfId="33" applyFont="true" applyBorder="true" applyAlignment="true" applyProtection="false">
      <alignment horizontal="left" vertical="center" textRotation="0" wrapText="true" indent="0" shrinkToFit="false"/>
      <protection locked="true" hidden="false"/>
    </xf>
    <xf numFmtId="179" fontId="40" fillId="11" borderId="50" xfId="15" applyFont="true" applyBorder="true" applyAlignment="true" applyProtection="true">
      <alignment horizontal="center" vertical="center" textRotation="0" wrapText="false" indent="0" shrinkToFit="false"/>
      <protection locked="true" hidden="false"/>
    </xf>
    <xf numFmtId="171" fontId="16" fillId="0" borderId="41" xfId="33" applyFont="true" applyBorder="true" applyAlignment="true" applyProtection="false">
      <alignment horizontal="center" vertical="center" textRotation="0" wrapText="false" indent="0" shrinkToFit="false"/>
      <protection locked="true" hidden="false"/>
    </xf>
    <xf numFmtId="164" fontId="12" fillId="0" borderId="4" xfId="33" applyFont="true" applyBorder="true" applyAlignment="true" applyProtection="false">
      <alignment horizontal="center" vertical="center" textRotation="0" wrapText="false" indent="0" shrinkToFit="false"/>
      <protection locked="true" hidden="false"/>
    </xf>
    <xf numFmtId="164" fontId="41" fillId="6" borderId="11" xfId="0" applyFont="true" applyBorder="true" applyAlignment="true" applyProtection="false">
      <alignment horizontal="center" vertical="center" textRotation="0" wrapText="false" indent="0" shrinkToFit="false"/>
      <protection locked="true" hidden="false"/>
    </xf>
    <xf numFmtId="164" fontId="17" fillId="6" borderId="12" xfId="0" applyFont="true" applyBorder="true" applyAlignment="true" applyProtection="false">
      <alignment horizontal="general" vertical="center" textRotation="0" wrapText="true" indent="0" shrinkToFit="false"/>
      <protection locked="true" hidden="false"/>
    </xf>
    <xf numFmtId="164" fontId="8" fillId="6" borderId="12" xfId="0" applyFont="true" applyBorder="true" applyAlignment="true" applyProtection="false">
      <alignment horizontal="center" vertical="center" textRotation="0" wrapText="false" indent="0" shrinkToFit="false"/>
      <protection locked="true" hidden="false"/>
    </xf>
    <xf numFmtId="164" fontId="42" fillId="0" borderId="12" xfId="0" applyFont="true" applyBorder="true" applyAlignment="true" applyProtection="false">
      <alignment horizontal="center" vertical="center" textRotation="0" wrapText="true" indent="0" shrinkToFit="false"/>
      <protection locked="true" hidden="false"/>
    </xf>
    <xf numFmtId="176" fontId="12" fillId="11" borderId="22" xfId="33" applyFont="true" applyBorder="true" applyAlignment="true" applyProtection="false">
      <alignment horizontal="left" vertical="center" textRotation="0" wrapText="true" indent="0" shrinkToFit="false"/>
      <protection locked="true" hidden="false"/>
    </xf>
    <xf numFmtId="179" fontId="40" fillId="11" borderId="51" xfId="15" applyFont="true" applyBorder="true" applyAlignment="true" applyProtection="true">
      <alignment horizontal="center" vertical="center" textRotation="0" wrapText="false" indent="0" shrinkToFit="false"/>
      <protection locked="true" hidden="false"/>
    </xf>
    <xf numFmtId="171" fontId="0" fillId="0" borderId="4" xfId="0" applyFont="false" applyBorder="true" applyAlignment="true" applyProtection="false">
      <alignment horizontal="center" vertical="center" textRotation="0" wrapText="false" indent="0" shrinkToFit="false"/>
      <protection locked="true" hidden="false"/>
    </xf>
    <xf numFmtId="164" fontId="25" fillId="0" borderId="45" xfId="0" applyFont="true" applyBorder="true" applyAlignment="true" applyProtection="false">
      <alignment horizontal="center" vertical="center" textRotation="0" wrapText="false" indent="0" shrinkToFit="false"/>
      <protection locked="true" hidden="false"/>
    </xf>
    <xf numFmtId="164" fontId="14" fillId="14" borderId="20" xfId="0" applyFont="true" applyBorder="true" applyAlignment="true" applyProtection="false">
      <alignment horizontal="center" vertical="center" textRotation="0" wrapText="true" indent="0" shrinkToFit="false"/>
      <protection locked="true" hidden="false"/>
    </xf>
    <xf numFmtId="164" fontId="25" fillId="0" borderId="3"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7" fontId="37" fillId="0" borderId="44" xfId="0" applyFont="true" applyBorder="true" applyAlignment="true" applyProtection="false">
      <alignment horizontal="center" vertical="center" textRotation="0" wrapText="false" indent="0" shrinkToFit="false"/>
      <protection locked="true" hidden="false"/>
    </xf>
    <xf numFmtId="164" fontId="14" fillId="17" borderId="4" xfId="0" applyFont="true" applyBorder="true" applyAlignment="true" applyProtection="false">
      <alignment horizontal="center" vertical="center" textRotation="0" wrapText="true" indent="0" shrinkToFit="false"/>
      <protection locked="true" hidden="false"/>
    </xf>
    <xf numFmtId="164" fontId="14" fillId="11" borderId="17" xfId="0" applyFont="true" applyBorder="true" applyAlignment="true" applyProtection="false">
      <alignment horizontal="center" vertical="center" textRotation="0" wrapText="true" indent="0" shrinkToFit="false"/>
      <protection locked="true" hidden="false"/>
    </xf>
    <xf numFmtId="164" fontId="14" fillId="11" borderId="4" xfId="0" applyFont="true" applyBorder="true" applyAlignment="true" applyProtection="false">
      <alignment horizontal="center" vertical="center" textRotation="0" wrapText="true" indent="0" shrinkToFit="false"/>
      <protection locked="true" hidden="false"/>
    </xf>
    <xf numFmtId="179" fontId="14" fillId="11" borderId="4" xfId="0" applyFont="true" applyBorder="true" applyAlignment="true" applyProtection="false">
      <alignment horizontal="center" vertical="center" textRotation="0" wrapText="true" indent="0" shrinkToFit="false"/>
      <protection locked="true" hidden="false"/>
    </xf>
    <xf numFmtId="179" fontId="14" fillId="11" borderId="19" xfId="0" applyFont="true" applyBorder="true" applyAlignment="true" applyProtection="false">
      <alignment horizontal="center" vertical="center" textRotation="0" wrapText="true" indent="0" shrinkToFit="false"/>
      <protection locked="true" hidden="false"/>
    </xf>
    <xf numFmtId="164" fontId="14" fillId="17" borderId="12" xfId="0" applyFont="true" applyBorder="true" applyAlignment="true" applyProtection="false">
      <alignment horizontal="center" vertical="center" textRotation="0" wrapText="true" indent="0" shrinkToFit="false"/>
      <protection locked="true" hidden="false"/>
    </xf>
    <xf numFmtId="164" fontId="14" fillId="17" borderId="13" xfId="0" applyFont="true" applyBorder="true" applyAlignment="true" applyProtection="false">
      <alignment horizontal="center" vertical="center" textRotation="0" wrapText="true" indent="0" shrinkToFit="false"/>
      <protection locked="true" hidden="false"/>
    </xf>
    <xf numFmtId="164" fontId="14" fillId="0" borderId="17" xfId="15" applyFont="true" applyBorder="true" applyAlignment="true" applyProtection="true">
      <alignment horizontal="center" vertical="center" textRotation="0" wrapText="false" indent="0" shrinkToFit="false"/>
      <protection locked="true" hidden="false"/>
    </xf>
    <xf numFmtId="164" fontId="42" fillId="0" borderId="4" xfId="0" applyFont="true" applyBorder="true" applyAlignment="true" applyProtection="false">
      <alignment horizontal="justify" vertical="bottom" textRotation="0" wrapText="true" indent="0" shrinkToFit="false"/>
      <protection locked="true" hidden="false"/>
    </xf>
    <xf numFmtId="171" fontId="16" fillId="0" borderId="4" xfId="15" applyFont="true" applyBorder="true" applyAlignment="true" applyProtection="true">
      <alignment horizontal="center" vertical="center" textRotation="0" wrapText="false" indent="0" shrinkToFit="false"/>
      <protection locked="true" hidden="false"/>
    </xf>
    <xf numFmtId="179" fontId="16" fillId="2" borderId="4" xfId="15" applyFont="true" applyBorder="true" applyAlignment="true" applyProtection="true">
      <alignment horizontal="center" vertical="center" textRotation="0" wrapText="true" indent="0" shrinkToFit="false"/>
      <protection locked="false" hidden="false"/>
    </xf>
    <xf numFmtId="164" fontId="16" fillId="0" borderId="4" xfId="0" applyFont="true" applyBorder="true" applyAlignment="true" applyProtection="false">
      <alignment horizontal="center" vertical="center" textRotation="0" wrapText="true" indent="0" shrinkToFit="false"/>
      <protection locked="true" hidden="false"/>
    </xf>
    <xf numFmtId="179" fontId="16" fillId="0" borderId="19" xfId="15" applyFont="true" applyBorder="true" applyAlignment="true" applyProtection="true">
      <alignment horizontal="center" vertical="center" textRotation="0" wrapText="false" indent="0" shrinkToFit="false"/>
      <protection locked="true" hidden="false"/>
    </xf>
    <xf numFmtId="172" fontId="16" fillId="0" borderId="4" xfId="0" applyFont="true" applyBorder="true" applyAlignment="true" applyProtection="false">
      <alignment horizontal="center" vertical="center" textRotation="0" wrapText="true" indent="0" shrinkToFit="false"/>
      <protection locked="true" hidden="false"/>
    </xf>
    <xf numFmtId="176" fontId="12" fillId="11" borderId="22" xfId="0" applyFont="true" applyBorder="true" applyAlignment="true" applyProtection="false">
      <alignment horizontal="center" vertical="center" textRotation="0" wrapText="true" indent="0" shrinkToFit="false"/>
      <protection locked="true" hidden="false"/>
    </xf>
    <xf numFmtId="179" fontId="40" fillId="11" borderId="35" xfId="15" applyFont="true" applyBorder="true" applyAlignment="true" applyProtection="true">
      <alignment horizontal="center" vertical="center" textRotation="0" wrapText="false" indent="0" shrinkToFit="false"/>
      <protection locked="true" hidden="false"/>
    </xf>
    <xf numFmtId="164" fontId="17" fillId="0" borderId="0" xfId="33" applyFont="true" applyBorder="false" applyAlignment="false" applyProtection="false">
      <alignment horizontal="general" vertical="bottom" textRotation="0" wrapText="false" indent="0" shrinkToFit="false"/>
      <protection locked="true" hidden="false"/>
    </xf>
    <xf numFmtId="164" fontId="17" fillId="0" borderId="0" xfId="33" applyFont="true" applyBorder="false" applyAlignment="true" applyProtection="false">
      <alignment horizontal="center" vertical="center" textRotation="0" wrapText="false" indent="0" shrinkToFit="false"/>
      <protection locked="true" hidden="false"/>
    </xf>
    <xf numFmtId="164" fontId="14" fillId="0" borderId="0" xfId="33" applyFont="true" applyBorder="false" applyAlignment="false" applyProtection="false">
      <alignment horizontal="general" vertical="bottom" textRotation="0" wrapText="false" indent="0" shrinkToFit="false"/>
      <protection locked="true" hidden="false"/>
    </xf>
    <xf numFmtId="164" fontId="16" fillId="0" borderId="1" xfId="26" applyFont="true" applyBorder="true" applyAlignment="false" applyProtection="false">
      <alignment horizontal="general" vertical="bottom" textRotation="0" wrapText="false" indent="0" shrinkToFit="false"/>
      <protection locked="true" hidden="false"/>
    </xf>
    <xf numFmtId="164" fontId="17" fillId="0" borderId="2" xfId="33" applyFont="true" applyBorder="true" applyAlignment="false" applyProtection="false">
      <alignment horizontal="general" vertical="bottom" textRotation="0" wrapText="false" indent="0" shrinkToFit="false"/>
      <protection locked="true" hidden="false"/>
    </xf>
    <xf numFmtId="164" fontId="17" fillId="0" borderId="2" xfId="33" applyFont="true" applyBorder="true" applyAlignment="true" applyProtection="false">
      <alignment horizontal="center" vertical="center" textRotation="0" wrapText="false" indent="0" shrinkToFit="false"/>
      <protection locked="true" hidden="false"/>
    </xf>
    <xf numFmtId="164" fontId="14" fillId="0" borderId="2" xfId="33" applyFont="true" applyBorder="true" applyAlignment="false" applyProtection="false">
      <alignment horizontal="general" vertical="bottom" textRotation="0" wrapText="false" indent="0" shrinkToFit="false"/>
      <protection locked="true" hidden="false"/>
    </xf>
    <xf numFmtId="164" fontId="16" fillId="0" borderId="2" xfId="33" applyFont="true" applyBorder="true" applyAlignment="false" applyProtection="false">
      <alignment horizontal="general" vertical="bottom" textRotation="0" wrapText="false" indent="0" shrinkToFit="false"/>
      <protection locked="true" hidden="false"/>
    </xf>
    <xf numFmtId="164" fontId="16" fillId="0" borderId="43" xfId="33" applyFont="true" applyBorder="true" applyAlignment="false" applyProtection="false">
      <alignment horizontal="general" vertical="bottom" textRotation="0" wrapText="false" indent="0" shrinkToFit="false"/>
      <protection locked="true" hidden="false"/>
    </xf>
    <xf numFmtId="164" fontId="16" fillId="0" borderId="3" xfId="26" applyFont="true" applyBorder="true" applyAlignment="false" applyProtection="false">
      <alignment horizontal="general" vertical="bottom" textRotation="0" wrapText="false" indent="0" shrinkToFit="false"/>
      <protection locked="true" hidden="false"/>
    </xf>
    <xf numFmtId="164" fontId="16" fillId="0" borderId="44" xfId="33" applyFont="true" applyBorder="true" applyAlignment="false" applyProtection="false">
      <alignment horizontal="general" vertical="bottom" textRotation="0" wrapText="false" indent="0" shrinkToFit="false"/>
      <protection locked="true" hidden="false"/>
    </xf>
    <xf numFmtId="164" fontId="26" fillId="11" borderId="45" xfId="26" applyFont="true" applyBorder="true" applyAlignment="true" applyProtection="false">
      <alignment horizontal="center" vertical="center" textRotation="0" wrapText="false" indent="0" shrinkToFit="false"/>
      <protection locked="true" hidden="false"/>
    </xf>
    <xf numFmtId="164" fontId="26" fillId="0" borderId="0" xfId="26" applyFont="true" applyBorder="false" applyAlignment="true" applyProtection="false">
      <alignment horizontal="center" vertical="center" textRotation="0" wrapText="false" indent="0" shrinkToFit="false"/>
      <protection locked="true" hidden="false"/>
    </xf>
    <xf numFmtId="164" fontId="12" fillId="14" borderId="15" xfId="0" applyFont="true" applyBorder="true" applyAlignment="true" applyProtection="false">
      <alignment horizontal="center" vertical="center" textRotation="0" wrapText="true" indent="0" shrinkToFit="false"/>
      <protection locked="true" hidden="false"/>
    </xf>
    <xf numFmtId="164" fontId="8" fillId="0" borderId="0" xfId="33" applyFont="true" applyBorder="false" applyAlignment="false" applyProtection="false">
      <alignment horizontal="general" vertical="bottom" textRotation="0" wrapText="false" indent="0" shrinkToFit="false"/>
      <protection locked="true" hidden="false"/>
    </xf>
    <xf numFmtId="164" fontId="12" fillId="0" borderId="0" xfId="33" applyFont="true" applyBorder="false" applyAlignment="true" applyProtection="false">
      <alignment horizontal="center" vertical="center" textRotation="0" wrapText="false" indent="0" shrinkToFit="false"/>
      <protection locked="true" hidden="false"/>
    </xf>
    <xf numFmtId="164" fontId="34" fillId="11" borderId="17" xfId="33" applyFont="true" applyBorder="true" applyAlignment="true" applyProtection="false">
      <alignment horizontal="center" vertical="center" textRotation="0" wrapText="true" indent="0" shrinkToFit="false"/>
      <protection locked="true" hidden="false"/>
    </xf>
    <xf numFmtId="164" fontId="14" fillId="11" borderId="4" xfId="33" applyFont="true" applyBorder="true" applyAlignment="true" applyProtection="false">
      <alignment horizontal="center" vertical="center" textRotation="0" wrapText="true" indent="0" shrinkToFit="false"/>
      <protection locked="true" hidden="false"/>
    </xf>
    <xf numFmtId="164" fontId="14" fillId="11" borderId="4" xfId="33" applyFont="true" applyBorder="true" applyAlignment="true" applyProtection="false">
      <alignment horizontal="center" vertical="center" textRotation="0" wrapText="false" indent="0" shrinkToFit="false"/>
      <protection locked="true" hidden="false"/>
    </xf>
    <xf numFmtId="164" fontId="14" fillId="11" borderId="19" xfId="33" applyFont="true" applyBorder="true" applyAlignment="true" applyProtection="false">
      <alignment horizontal="center" vertical="center" textRotation="0" wrapText="true" indent="0" shrinkToFit="false"/>
      <protection locked="true" hidden="false"/>
    </xf>
    <xf numFmtId="164" fontId="14" fillId="17" borderId="4" xfId="33" applyFont="true" applyBorder="true" applyAlignment="true" applyProtection="false">
      <alignment horizontal="center" vertical="center" textRotation="0" wrapText="true" indent="0" shrinkToFit="false"/>
      <protection locked="true" hidden="false"/>
    </xf>
    <xf numFmtId="164" fontId="33" fillId="11" borderId="4" xfId="33" applyFont="true" applyBorder="true" applyAlignment="true" applyProtection="false">
      <alignment horizontal="center" vertical="center" textRotation="0" wrapText="true" indent="0" shrinkToFit="false"/>
      <protection locked="true" hidden="false"/>
    </xf>
    <xf numFmtId="164" fontId="14" fillId="17" borderId="12" xfId="33" applyFont="true" applyBorder="true" applyAlignment="true" applyProtection="false">
      <alignment horizontal="center" vertical="center" textRotation="0" wrapText="true" indent="0" shrinkToFit="false"/>
      <protection locked="true" hidden="false"/>
    </xf>
    <xf numFmtId="164" fontId="14" fillId="17" borderId="13" xfId="33" applyFont="true" applyBorder="true" applyAlignment="true" applyProtection="false">
      <alignment horizontal="center" vertical="center" textRotation="0" wrapText="true" indent="0" shrinkToFit="false"/>
      <protection locked="true" hidden="false"/>
    </xf>
    <xf numFmtId="164" fontId="15" fillId="5" borderId="17" xfId="44" applyFont="true" applyBorder="true" applyAlignment="true" applyProtection="true">
      <alignment horizontal="center" vertical="center" textRotation="0" wrapText="true" indent="0" shrinkToFit="false"/>
      <protection locked="true" hidden="false"/>
    </xf>
    <xf numFmtId="164" fontId="17" fillId="6" borderId="4" xfId="0" applyFont="true" applyBorder="true" applyAlignment="true" applyProtection="false">
      <alignment horizontal="center" vertical="center" textRotation="0" wrapText="true" indent="0" shrinkToFit="false"/>
      <protection locked="true" hidden="false"/>
    </xf>
    <xf numFmtId="164" fontId="17" fillId="6" borderId="4" xfId="0" applyFont="true" applyBorder="true" applyAlignment="true" applyProtection="false">
      <alignment horizontal="center" vertical="center" textRotation="0" wrapText="false" indent="0" shrinkToFit="false"/>
      <protection locked="true" hidden="false"/>
    </xf>
    <xf numFmtId="164" fontId="14" fillId="6" borderId="4" xfId="0" applyFont="true" applyBorder="true" applyAlignment="true" applyProtection="false">
      <alignment horizontal="center" vertical="center" textRotation="0" wrapText="false" indent="0" shrinkToFit="false"/>
      <protection locked="true" hidden="false"/>
    </xf>
    <xf numFmtId="172" fontId="16" fillId="2" borderId="4" xfId="28" applyFont="true" applyBorder="true" applyAlignment="true" applyProtection="true">
      <alignment horizontal="center" vertical="center" textRotation="0" wrapText="false" indent="0" shrinkToFit="false"/>
      <protection locked="false" hidden="false"/>
    </xf>
    <xf numFmtId="164" fontId="16" fillId="2" borderId="19" xfId="33" applyFont="true" applyBorder="true" applyAlignment="true" applyProtection="true">
      <alignment horizontal="general" vertical="center" textRotation="0" wrapText="false" indent="0" shrinkToFit="false"/>
      <protection locked="false" hidden="false"/>
    </xf>
    <xf numFmtId="164" fontId="16" fillId="6" borderId="4" xfId="0" applyFont="true" applyBorder="true" applyAlignment="true" applyProtection="false">
      <alignment horizontal="center" vertical="center" textRotation="0" wrapText="false" indent="0" shrinkToFit="false"/>
      <protection locked="true" hidden="false"/>
    </xf>
    <xf numFmtId="179" fontId="16" fillId="0" borderId="4" xfId="39" applyFont="true" applyBorder="true" applyAlignment="true" applyProtection="true">
      <alignment horizontal="center" vertical="center" textRotation="0" wrapText="false" indent="0" shrinkToFit="false"/>
      <protection locked="true" hidden="false"/>
    </xf>
    <xf numFmtId="166" fontId="0" fillId="0" borderId="17" xfId="17" applyFont="true" applyBorder="true" applyAlignment="false" applyProtection="true">
      <alignment horizontal="general" vertical="bottom" textRotation="0" wrapText="false" indent="0" shrinkToFit="false"/>
      <protection locked="false" hidden="false"/>
    </xf>
    <xf numFmtId="166" fontId="16" fillId="0" borderId="4" xfId="21" applyFont="true" applyBorder="true" applyAlignment="true" applyProtection="true">
      <alignment horizontal="center" vertical="center" textRotation="0" wrapText="false" indent="0" shrinkToFit="false"/>
      <protection locked="true" hidden="false"/>
    </xf>
    <xf numFmtId="166" fontId="16" fillId="0" borderId="19" xfId="21" applyFont="true" applyBorder="true" applyAlignment="true" applyProtection="true">
      <alignment horizontal="center" vertical="center" textRotation="0" wrapText="false" indent="0" shrinkToFit="false"/>
      <protection locked="true" hidden="false"/>
    </xf>
    <xf numFmtId="164" fontId="17" fillId="0" borderId="4" xfId="0" applyFont="true" applyBorder="true" applyAlignment="true" applyProtection="false">
      <alignment horizontal="justify" vertical="center" textRotation="0" wrapText="true" indent="0" shrinkToFit="false"/>
      <protection locked="true" hidden="false"/>
    </xf>
    <xf numFmtId="164" fontId="17" fillId="6" borderId="0" xfId="0" applyFont="true" applyBorder="false" applyAlignment="true" applyProtection="false">
      <alignment horizontal="center" vertical="center" textRotation="0" wrapText="false" indent="0" shrinkToFit="false"/>
      <protection locked="true" hidden="false"/>
    </xf>
    <xf numFmtId="164" fontId="14" fillId="0" borderId="4" xfId="0" applyFont="true" applyBorder="true" applyAlignment="true" applyProtection="false">
      <alignment horizontal="center" vertical="center" textRotation="0" wrapText="false" indent="0" shrinkToFit="false"/>
      <protection locked="true" hidden="false"/>
    </xf>
    <xf numFmtId="172" fontId="42" fillId="2" borderId="4" xfId="28" applyFont="true" applyBorder="true" applyAlignment="true" applyProtection="true">
      <alignment horizontal="center" vertical="center" textRotation="0" wrapText="false" indent="0" shrinkToFit="false"/>
      <protection locked="false" hidden="false"/>
    </xf>
    <xf numFmtId="164" fontId="17" fillId="6" borderId="4" xfId="49" applyFont="true" applyBorder="true" applyAlignment="true" applyProtection="true">
      <alignment horizontal="justify" vertical="center" textRotation="0" wrapText="true" indent="0" shrinkToFit="false"/>
      <protection locked="true" hidden="false"/>
    </xf>
    <xf numFmtId="164" fontId="17" fillId="6" borderId="4" xfId="49" applyFont="true" applyBorder="true" applyAlignment="true" applyProtection="true">
      <alignment horizontal="center" vertical="center" textRotation="0" wrapText="false" indent="0" shrinkToFit="false"/>
      <protection locked="true" hidden="false"/>
    </xf>
    <xf numFmtId="164" fontId="14" fillId="6" borderId="4" xfId="49" applyFont="true" applyBorder="true" applyAlignment="true" applyProtection="true">
      <alignment horizontal="center" vertical="center" textRotation="0" wrapText="false" indent="0" shrinkToFit="false"/>
      <protection locked="true" hidden="false"/>
    </xf>
    <xf numFmtId="164" fontId="16" fillId="6" borderId="4" xfId="49" applyFont="true" applyBorder="true" applyAlignment="true" applyProtection="true">
      <alignment horizontal="center" vertical="center" textRotation="0" wrapText="false" indent="0" shrinkToFit="false"/>
      <protection locked="true" hidden="false"/>
    </xf>
    <xf numFmtId="164" fontId="43" fillId="6" borderId="4" xfId="0" applyFont="true" applyBorder="true" applyAlignment="true" applyProtection="false">
      <alignment horizontal="center" vertical="center" textRotation="0" wrapText="false" indent="0" shrinkToFit="false"/>
      <protection locked="true" hidden="false"/>
    </xf>
    <xf numFmtId="172" fontId="42" fillId="2" borderId="52" xfId="28" applyFont="true" applyBorder="true" applyAlignment="true" applyProtection="true">
      <alignment horizontal="center" vertical="center" textRotation="0" wrapText="false" indent="0" shrinkToFit="false"/>
      <protection locked="false" hidden="false"/>
    </xf>
    <xf numFmtId="166" fontId="0" fillId="0" borderId="46" xfId="17" applyFont="true" applyBorder="true" applyAlignment="false" applyProtection="true">
      <alignment horizontal="general" vertical="bottom" textRotation="0" wrapText="false" indent="0" shrinkToFit="false"/>
      <protection locked="false" hidden="false"/>
    </xf>
    <xf numFmtId="172" fontId="16" fillId="2" borderId="52" xfId="28" applyFont="true" applyBorder="true" applyAlignment="true" applyProtection="true">
      <alignment horizontal="center" vertical="center" textRotation="0" wrapText="false" indent="0" shrinkToFit="false"/>
      <protection locked="false" hidden="false"/>
    </xf>
    <xf numFmtId="164" fontId="16" fillId="2" borderId="53" xfId="33" applyFont="true" applyBorder="true" applyAlignment="true" applyProtection="true">
      <alignment horizontal="general" vertical="center" textRotation="0" wrapText="false" indent="0" shrinkToFit="false"/>
      <protection locked="false" hidden="false"/>
    </xf>
    <xf numFmtId="164" fontId="17" fillId="0" borderId="4" xfId="0" applyFont="true" applyBorder="true" applyAlignment="true" applyProtection="false">
      <alignment horizontal="center" vertical="center" textRotation="0" wrapText="true" indent="0" shrinkToFit="false"/>
      <protection locked="true" hidden="false"/>
    </xf>
    <xf numFmtId="164" fontId="17" fillId="0" borderId="4" xfId="49" applyFont="true" applyBorder="true" applyAlignment="true" applyProtection="true">
      <alignment horizontal="justify" vertical="center" textRotation="0" wrapText="true" indent="0" shrinkToFit="false"/>
      <protection locked="true" hidden="false"/>
    </xf>
    <xf numFmtId="164" fontId="25" fillId="11" borderId="22" xfId="33" applyFont="true" applyBorder="true" applyAlignment="true" applyProtection="false">
      <alignment horizontal="center" vertical="center" textRotation="0" wrapText="false" indent="0" shrinkToFit="false"/>
      <protection locked="true" hidden="false"/>
    </xf>
    <xf numFmtId="168" fontId="14" fillId="11" borderId="35" xfId="33" applyFont="true" applyBorder="true" applyAlignment="true" applyProtection="false">
      <alignment horizontal="general" vertical="center" textRotation="0" wrapText="false" indent="0" shrinkToFit="false"/>
      <protection locked="true" hidden="false"/>
    </xf>
    <xf numFmtId="164" fontId="14" fillId="18" borderId="4" xfId="33" applyFont="true" applyBorder="true" applyAlignment="true" applyProtection="false">
      <alignment horizontal="center" vertical="center" textRotation="0" wrapText="false" indent="0" shrinkToFit="false"/>
      <protection locked="true" hidden="false"/>
    </xf>
    <xf numFmtId="179" fontId="25" fillId="18" borderId="4" xfId="33" applyFont="true" applyBorder="true" applyAlignment="true" applyProtection="false">
      <alignment horizontal="center" vertical="center" textRotation="0" wrapText="false" indent="0" shrinkToFit="false"/>
      <protection locked="true" hidden="false"/>
    </xf>
    <xf numFmtId="164" fontId="16" fillId="0" borderId="3" xfId="33" applyFont="true" applyBorder="true" applyAlignment="true" applyProtection="false">
      <alignment horizontal="center" vertical="center" textRotation="0" wrapText="false" indent="0" shrinkToFit="false"/>
      <protection locked="true" hidden="false"/>
    </xf>
    <xf numFmtId="164" fontId="0" fillId="0" borderId="44" xfId="0" applyFont="false" applyBorder="true" applyAlignment="false" applyProtection="false">
      <alignment horizontal="general" vertical="bottom" textRotation="0" wrapText="false" indent="0" shrinkToFit="false"/>
      <protection locked="true" hidden="false"/>
    </xf>
    <xf numFmtId="164" fontId="26" fillId="11" borderId="9" xfId="26" applyFont="true" applyBorder="true" applyAlignment="true" applyProtection="false">
      <alignment horizontal="center" vertical="center" textRotation="0" wrapText="false" indent="0" shrinkToFit="false"/>
      <protection locked="true" hidden="false"/>
    </xf>
    <xf numFmtId="164" fontId="14" fillId="0" borderId="3" xfId="33" applyFont="true" applyBorder="true" applyAlignment="true" applyProtection="false">
      <alignment horizontal="center" vertical="center" textRotation="0" wrapText="false" indent="0" shrinkToFit="false"/>
      <protection locked="true" hidden="false"/>
    </xf>
    <xf numFmtId="164" fontId="33" fillId="0" borderId="0" xfId="33" applyFont="true" applyBorder="false" applyAlignment="true" applyProtection="false">
      <alignment horizontal="center" vertical="center" textRotation="0" wrapText="false" indent="0" shrinkToFit="false"/>
      <protection locked="true" hidden="false"/>
    </xf>
    <xf numFmtId="164" fontId="14" fillId="0" borderId="44" xfId="33" applyFont="true" applyBorder="true" applyAlignment="true" applyProtection="false">
      <alignment horizontal="center" vertical="center" textRotation="0" wrapText="false" indent="0" shrinkToFit="false"/>
      <protection locked="true" hidden="false"/>
    </xf>
    <xf numFmtId="164" fontId="44" fillId="11" borderId="17" xfId="33" applyFont="true" applyBorder="true" applyAlignment="true" applyProtection="false">
      <alignment horizontal="center" vertical="center" textRotation="0" wrapText="true" indent="0" shrinkToFit="false"/>
      <protection locked="true" hidden="false"/>
    </xf>
    <xf numFmtId="164" fontId="33" fillId="17" borderId="12" xfId="33" applyFont="true" applyBorder="true" applyAlignment="true" applyProtection="false">
      <alignment horizontal="center" vertical="center" textRotation="0" wrapText="true" indent="0" shrinkToFit="false"/>
      <protection locked="true" hidden="false"/>
    </xf>
    <xf numFmtId="164" fontId="17" fillId="6" borderId="4" xfId="49" applyFont="true" applyBorder="true" applyAlignment="true" applyProtection="true">
      <alignment horizontal="general" vertical="center" textRotation="0" wrapText="true" indent="0" shrinkToFit="false"/>
      <protection locked="true" hidden="false"/>
    </xf>
    <xf numFmtId="171" fontId="14" fillId="0" borderId="4" xfId="32" applyFont="true" applyBorder="true" applyAlignment="true" applyProtection="false">
      <alignment horizontal="center" vertical="center" textRotation="0" wrapText="false" indent="0" shrinkToFit="false"/>
      <protection locked="true" hidden="false"/>
    </xf>
    <xf numFmtId="164" fontId="16" fillId="0" borderId="4" xfId="49" applyFont="true" applyBorder="true" applyAlignment="true" applyProtection="true">
      <alignment horizontal="center" vertical="center" textRotation="0" wrapText="true" indent="0" shrinkToFit="false"/>
      <protection locked="true" hidden="false"/>
    </xf>
    <xf numFmtId="164" fontId="14" fillId="2" borderId="19" xfId="33" applyFont="true" applyBorder="true" applyAlignment="true" applyProtection="true">
      <alignment horizontal="center" vertical="center" textRotation="0" wrapText="false" indent="0" shrinkToFit="false"/>
      <protection locked="false" hidden="false"/>
    </xf>
    <xf numFmtId="166" fontId="0" fillId="0" borderId="4" xfId="17" applyFont="true" applyBorder="true" applyAlignment="false" applyProtection="true">
      <alignment horizontal="general" vertical="bottom" textRotation="0" wrapText="false" indent="0" shrinkToFit="false"/>
      <protection locked="false" hidden="false"/>
    </xf>
    <xf numFmtId="166" fontId="16" fillId="0" borderId="41" xfId="21" applyFont="true" applyBorder="true" applyAlignment="true" applyProtection="true">
      <alignment horizontal="center" vertical="center" textRotation="0" wrapText="false" indent="0" shrinkToFit="false"/>
      <protection locked="true" hidden="false"/>
    </xf>
    <xf numFmtId="166" fontId="16" fillId="0" borderId="53" xfId="21" applyFont="true" applyBorder="true" applyAlignment="true" applyProtection="true">
      <alignment horizontal="center" vertical="center" textRotation="0" wrapText="false" indent="0" shrinkToFit="false"/>
      <protection locked="true" hidden="false"/>
    </xf>
    <xf numFmtId="164" fontId="14" fillId="18" borderId="4" xfId="33" applyFont="true" applyBorder="true" applyAlignment="true" applyProtection="false">
      <alignment horizontal="center" vertical="bottom" textRotation="0" wrapText="false" indent="0" shrinkToFit="false"/>
      <protection locked="true" hidden="false"/>
    </xf>
    <xf numFmtId="179" fontId="14" fillId="18" borderId="4" xfId="33" applyFont="true" applyBorder="true" applyAlignment="true" applyProtection="false">
      <alignment horizontal="center" vertical="bottom" textRotation="0" wrapText="false" indent="0" shrinkToFit="false"/>
      <protection locked="true" hidden="false"/>
    </xf>
    <xf numFmtId="164" fontId="8" fillId="6" borderId="4" xfId="0" applyFont="true" applyBorder="true" applyAlignment="true" applyProtection="false">
      <alignment horizontal="center" vertical="center" textRotation="0" wrapText="false" indent="0" shrinkToFit="false"/>
      <protection locked="true" hidden="false"/>
    </xf>
    <xf numFmtId="164" fontId="17" fillId="0" borderId="4" xfId="49" applyFont="true" applyBorder="true" applyAlignment="true" applyProtection="true">
      <alignment horizontal="general" vertical="center" textRotation="0" wrapText="true" indent="0" shrinkToFit="false"/>
      <protection locked="true" hidden="false"/>
    </xf>
    <xf numFmtId="166" fontId="0" fillId="0" borderId="22" xfId="17" applyFont="true" applyBorder="true" applyAlignment="false" applyProtection="true">
      <alignment horizontal="general" vertical="bottom" textRotation="0" wrapText="false" indent="0" shrinkToFit="false"/>
      <protection locked="false" hidden="false"/>
    </xf>
    <xf numFmtId="166" fontId="16" fillId="0" borderId="28" xfId="21" applyFont="true" applyBorder="true" applyAlignment="true" applyProtection="true">
      <alignment horizontal="center" vertical="center" textRotation="0" wrapText="false" indent="0" shrinkToFit="false"/>
      <protection locked="true" hidden="false"/>
    </xf>
    <xf numFmtId="166" fontId="16" fillId="0" borderId="35" xfId="21" applyFont="true" applyBorder="true" applyAlignment="true" applyProtection="true">
      <alignment horizontal="center" vertical="center" textRotation="0" wrapText="false" indent="0" shrinkToFit="false"/>
      <protection locked="true" hidden="false"/>
    </xf>
    <xf numFmtId="164" fontId="8" fillId="0" borderId="0" xfId="26" applyFont="true" applyBorder="false" applyAlignment="true" applyProtection="false">
      <alignment horizontal="center" vertical="center" textRotation="0" wrapText="false" indent="0" shrinkToFit="false"/>
      <protection locked="true" hidden="false"/>
    </xf>
    <xf numFmtId="164" fontId="8" fillId="0" borderId="0" xfId="26" applyFont="true" applyBorder="false" applyAlignment="true" applyProtection="false">
      <alignment horizontal="center" vertical="bottom" textRotation="0" wrapText="false" indent="0" shrinkToFit="false"/>
      <protection locked="true" hidden="false"/>
    </xf>
    <xf numFmtId="171" fontId="8" fillId="0" borderId="0" xfId="26" applyFont="true" applyBorder="false" applyAlignment="true" applyProtection="false">
      <alignment horizontal="center" vertical="center" textRotation="0" wrapText="false" indent="0" shrinkToFit="false"/>
      <protection locked="true" hidden="false"/>
    </xf>
    <xf numFmtId="164" fontId="8" fillId="0" borderId="0" xfId="26" applyFont="true" applyBorder="false" applyAlignment="true" applyProtection="false">
      <alignment horizontal="justify" vertical="bottom" textRotation="0" wrapText="false" indent="0" shrinkToFit="false"/>
      <protection locked="true" hidden="false"/>
    </xf>
    <xf numFmtId="164" fontId="8" fillId="0" borderId="0" xfId="26" applyFont="true" applyBorder="false" applyAlignment="false" applyProtection="false">
      <alignment horizontal="general" vertical="bottom" textRotation="0" wrapText="false" indent="0" shrinkToFit="false"/>
      <protection locked="true" hidden="false"/>
    </xf>
    <xf numFmtId="171" fontId="8" fillId="0" borderId="0" xfId="26" applyFont="true" applyBorder="false" applyAlignment="true" applyProtection="false">
      <alignment horizontal="center" vertical="bottom" textRotation="0" wrapText="false" indent="0" shrinkToFit="false"/>
      <protection locked="true" hidden="false"/>
    </xf>
    <xf numFmtId="172" fontId="8" fillId="0" borderId="0" xfId="26" applyFont="true" applyBorder="false" applyAlignment="true" applyProtection="false">
      <alignment horizontal="center" vertical="bottom" textRotation="0" wrapText="false" indent="0" shrinkToFit="false"/>
      <protection locked="true" hidden="false"/>
    </xf>
    <xf numFmtId="179" fontId="8" fillId="0" borderId="0" xfId="26"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4" fillId="0" borderId="54" xfId="26" applyFont="true" applyBorder="true" applyAlignment="true" applyProtection="false">
      <alignment horizontal="left" vertical="bottom" textRotation="0" wrapText="false" indent="0" shrinkToFit="false"/>
      <protection locked="true" hidden="false"/>
    </xf>
    <xf numFmtId="164" fontId="24" fillId="0" borderId="29" xfId="26" applyFont="true" applyBorder="true" applyAlignment="true" applyProtection="false">
      <alignment horizontal="left" vertical="bottom" textRotation="0" wrapText="false" indent="0" shrinkToFit="false"/>
      <protection locked="true" hidden="false"/>
    </xf>
    <xf numFmtId="171" fontId="24" fillId="0" borderId="29" xfId="26" applyFont="true" applyBorder="true" applyAlignment="true" applyProtection="false">
      <alignment horizontal="center" vertical="bottom" textRotation="0" wrapText="false" indent="0" shrinkToFit="false"/>
      <protection locked="true" hidden="false"/>
    </xf>
    <xf numFmtId="164" fontId="24" fillId="0" borderId="29" xfId="26" applyFont="true" applyBorder="true" applyAlignment="true" applyProtection="false">
      <alignment horizontal="justify" vertical="bottom" textRotation="0" wrapText="false" indent="0" shrinkToFit="false"/>
      <protection locked="true" hidden="false"/>
    </xf>
    <xf numFmtId="164" fontId="8" fillId="0" borderId="29" xfId="26" applyFont="true" applyBorder="true" applyAlignment="false" applyProtection="false">
      <alignment horizontal="general" vertical="bottom" textRotation="0" wrapText="false" indent="0" shrinkToFit="false"/>
      <protection locked="true" hidden="false"/>
    </xf>
    <xf numFmtId="171" fontId="8" fillId="0" borderId="29" xfId="26" applyFont="true" applyBorder="true" applyAlignment="true" applyProtection="false">
      <alignment horizontal="center" vertical="bottom" textRotation="0" wrapText="false" indent="0" shrinkToFit="false"/>
      <protection locked="true" hidden="false"/>
    </xf>
    <xf numFmtId="172" fontId="8" fillId="0" borderId="29" xfId="26" applyFont="true" applyBorder="true" applyAlignment="true" applyProtection="false">
      <alignment horizontal="center" vertical="bottom" textRotation="0" wrapText="false" indent="0" shrinkToFit="false"/>
      <protection locked="true" hidden="false"/>
    </xf>
    <xf numFmtId="164" fontId="14" fillId="14" borderId="4" xfId="33" applyFont="true" applyBorder="true" applyAlignment="true" applyProtection="false">
      <alignment horizontal="center" vertical="center" textRotation="0" wrapText="true" indent="0" shrinkToFit="false"/>
      <protection locked="true" hidden="false"/>
    </xf>
    <xf numFmtId="164" fontId="24" fillId="0" borderId="3" xfId="26" applyFont="true" applyBorder="true" applyAlignment="true" applyProtection="false">
      <alignment horizontal="left" vertical="center" textRotation="0" wrapText="false" indent="0" shrinkToFit="false"/>
      <protection locked="true" hidden="false"/>
    </xf>
    <xf numFmtId="164" fontId="24" fillId="0" borderId="0" xfId="26" applyFont="true" applyBorder="false" applyAlignment="true" applyProtection="false">
      <alignment horizontal="left" vertical="center" textRotation="0" wrapText="false" indent="0" shrinkToFit="false"/>
      <protection locked="true" hidden="false"/>
    </xf>
    <xf numFmtId="171" fontId="24" fillId="0" borderId="0" xfId="26" applyFont="true" applyBorder="false" applyAlignment="true" applyProtection="false">
      <alignment horizontal="center" vertical="center" textRotation="0" wrapText="false" indent="0" shrinkToFit="false"/>
      <protection locked="true" hidden="false"/>
    </xf>
    <xf numFmtId="164" fontId="24" fillId="0" borderId="0" xfId="26" applyFont="true" applyBorder="false" applyAlignment="true" applyProtection="false">
      <alignment horizontal="justify" vertical="center" textRotation="0" wrapText="false" indent="0" shrinkToFit="false"/>
      <protection locked="true" hidden="false"/>
    </xf>
    <xf numFmtId="164" fontId="8" fillId="0" borderId="0" xfId="26" applyFont="true" applyBorder="false" applyAlignment="true" applyProtection="false">
      <alignment horizontal="general" vertical="center" textRotation="0" wrapText="false" indent="0" shrinkToFit="false"/>
      <protection locked="true" hidden="false"/>
    </xf>
    <xf numFmtId="172" fontId="8" fillId="0" borderId="0" xfId="26" applyFont="true" applyBorder="false" applyAlignment="true" applyProtection="false">
      <alignment horizontal="center" vertical="center" textRotation="0" wrapText="false" indent="0" shrinkToFit="false"/>
      <protection locked="true" hidden="false"/>
    </xf>
    <xf numFmtId="179" fontId="8" fillId="0" borderId="0" xfId="26" applyFont="true" applyBorder="false" applyAlignment="true" applyProtection="false">
      <alignment horizontal="center" vertical="center" textRotation="0" wrapText="false" indent="0" shrinkToFit="false"/>
      <protection locked="true" hidden="false"/>
    </xf>
    <xf numFmtId="164" fontId="24" fillId="0" borderId="3" xfId="26" applyFont="true" applyBorder="true" applyAlignment="true" applyProtection="false">
      <alignment horizontal="left" vertical="top" textRotation="0" wrapText="false" indent="0" shrinkToFit="false"/>
      <protection locked="true" hidden="false"/>
    </xf>
    <xf numFmtId="164" fontId="24" fillId="0" borderId="0" xfId="26" applyFont="true" applyBorder="false" applyAlignment="true" applyProtection="false">
      <alignment horizontal="left" vertical="top" textRotation="0" wrapText="false" indent="0" shrinkToFit="false"/>
      <protection locked="true" hidden="false"/>
    </xf>
    <xf numFmtId="171" fontId="24" fillId="0" borderId="0" xfId="26" applyFont="true" applyBorder="false" applyAlignment="true" applyProtection="false">
      <alignment horizontal="center" vertical="top" textRotation="0" wrapText="false" indent="0" shrinkToFit="false"/>
      <protection locked="true" hidden="false"/>
    </xf>
    <xf numFmtId="164" fontId="24" fillId="0" borderId="0" xfId="26" applyFont="true" applyBorder="false" applyAlignment="true" applyProtection="false">
      <alignment horizontal="justify" vertical="top" textRotation="0" wrapText="false" indent="0" shrinkToFit="false"/>
      <protection locked="true" hidden="false"/>
    </xf>
    <xf numFmtId="164" fontId="8" fillId="0" borderId="0" xfId="26" applyFont="true" applyBorder="false" applyAlignment="true" applyProtection="false">
      <alignment horizontal="general" vertical="top" textRotation="0" wrapText="false" indent="0" shrinkToFit="false"/>
      <protection locked="true" hidden="false"/>
    </xf>
    <xf numFmtId="171" fontId="8" fillId="0" borderId="0" xfId="26" applyFont="true" applyBorder="false" applyAlignment="true" applyProtection="false">
      <alignment horizontal="center" vertical="top" textRotation="0" wrapText="false" indent="0" shrinkToFit="false"/>
      <protection locked="true" hidden="false"/>
    </xf>
    <xf numFmtId="172" fontId="8" fillId="0" borderId="0" xfId="26" applyFont="true" applyBorder="false" applyAlignment="true" applyProtection="false">
      <alignment horizontal="center" vertical="top" textRotation="0" wrapText="false" indent="0" shrinkToFit="false"/>
      <protection locked="true" hidden="false"/>
    </xf>
    <xf numFmtId="179" fontId="8" fillId="0" borderId="0" xfId="26" applyFont="true" applyBorder="false" applyAlignment="true" applyProtection="false">
      <alignment horizontal="center" vertical="top" textRotation="0" wrapText="false" indent="0" shrinkToFit="false"/>
      <protection locked="true" hidden="false"/>
    </xf>
    <xf numFmtId="164" fontId="14" fillId="14" borderId="0" xfId="0" applyFont="true" applyBorder="true" applyAlignment="true" applyProtection="false">
      <alignment horizontal="center" vertical="center" textRotation="0" wrapText="true" indent="0" shrinkToFit="false"/>
      <protection locked="true" hidden="false"/>
    </xf>
    <xf numFmtId="164" fontId="45" fillId="5" borderId="4" xfId="44" applyFont="true" applyBorder="true" applyAlignment="true" applyProtection="true">
      <alignment horizontal="center" vertical="center" textRotation="0" wrapText="true" indent="0" shrinkToFit="false"/>
      <protection locked="true" hidden="false"/>
    </xf>
    <xf numFmtId="164" fontId="16" fillId="0" borderId="0" xfId="26" applyFont="true" applyBorder="true" applyAlignment="true" applyProtection="false">
      <alignment horizontal="left" vertical="center" textRotation="0" wrapText="false" indent="0" shrinkToFit="false"/>
      <protection locked="true" hidden="false"/>
    </xf>
    <xf numFmtId="164" fontId="8" fillId="0" borderId="3" xfId="26" applyFont="true" applyBorder="true" applyAlignment="true" applyProtection="false">
      <alignment horizontal="center" vertical="center" textRotation="0" wrapText="false" indent="0" shrinkToFit="false"/>
      <protection locked="true" hidden="false"/>
    </xf>
    <xf numFmtId="164" fontId="8" fillId="0" borderId="0" xfId="26" applyFont="true" applyBorder="false" applyAlignment="true" applyProtection="false">
      <alignment horizontal="left" vertical="center" textRotation="0" wrapText="false" indent="0" shrinkToFit="false"/>
      <protection locked="true" hidden="false"/>
    </xf>
    <xf numFmtId="164" fontId="33" fillId="0" borderId="30" xfId="26" applyFont="true" applyBorder="true" applyAlignment="true" applyProtection="false">
      <alignment horizontal="center" vertical="center" textRotation="0" wrapText="false" indent="0" shrinkToFit="false"/>
      <protection locked="true" hidden="false"/>
    </xf>
    <xf numFmtId="164" fontId="33" fillId="0" borderId="31" xfId="26" applyFont="true" applyBorder="true" applyAlignment="true" applyProtection="false">
      <alignment horizontal="center" vertical="center" textRotation="0" wrapText="false" indent="0" shrinkToFit="false"/>
      <protection locked="true" hidden="false"/>
    </xf>
    <xf numFmtId="171" fontId="33" fillId="0" borderId="31" xfId="26" applyFont="true" applyBorder="true" applyAlignment="true" applyProtection="false">
      <alignment horizontal="center" vertical="center" textRotation="0" wrapText="false" indent="0" shrinkToFit="false"/>
      <protection locked="true" hidden="false"/>
    </xf>
    <xf numFmtId="164" fontId="33" fillId="0" borderId="31" xfId="26" applyFont="true" applyBorder="true" applyAlignment="true" applyProtection="false">
      <alignment horizontal="center" vertical="center" textRotation="0" wrapText="true" indent="0" shrinkToFit="false"/>
      <protection locked="true" hidden="false"/>
    </xf>
    <xf numFmtId="171" fontId="33" fillId="0" borderId="31" xfId="26" applyFont="true" applyBorder="true" applyAlignment="true" applyProtection="false">
      <alignment horizontal="center" vertical="center" textRotation="0" wrapText="true" indent="0" shrinkToFit="false"/>
      <protection locked="true" hidden="false"/>
    </xf>
    <xf numFmtId="172" fontId="33" fillId="0" borderId="31" xfId="26" applyFont="true" applyBorder="true" applyAlignment="true" applyProtection="false">
      <alignment horizontal="center" vertical="center" textRotation="0" wrapText="true" indent="0" shrinkToFit="false"/>
      <protection locked="true" hidden="false"/>
    </xf>
    <xf numFmtId="179" fontId="33" fillId="0" borderId="32" xfId="26" applyFont="true" applyBorder="true" applyAlignment="true" applyProtection="false">
      <alignment horizontal="center" vertical="center" textRotation="0" wrapText="false" indent="0" shrinkToFit="false"/>
      <protection locked="true" hidden="false"/>
    </xf>
    <xf numFmtId="164" fontId="12" fillId="14" borderId="17" xfId="26" applyFont="true" applyBorder="true" applyAlignment="true" applyProtection="false">
      <alignment horizontal="center" vertical="center" textRotation="0" wrapText="true" indent="0" shrinkToFit="false"/>
      <protection locked="true" hidden="false"/>
    </xf>
    <xf numFmtId="180" fontId="16" fillId="6" borderId="4" xfId="15" applyFont="true" applyBorder="true" applyAlignment="true" applyProtection="true">
      <alignment horizontal="general" vertical="center" textRotation="0" wrapText="false" indent="0" shrinkToFit="false"/>
      <protection locked="true" hidden="false"/>
    </xf>
    <xf numFmtId="164" fontId="17" fillId="6" borderId="0" xfId="0" applyFont="true" applyBorder="false" applyAlignment="true" applyProtection="false">
      <alignment horizontal="justify" vertical="bottom" textRotation="0" wrapText="true" indent="0" shrinkToFit="false"/>
      <protection locked="true" hidden="false"/>
    </xf>
    <xf numFmtId="164" fontId="17" fillId="6" borderId="4" xfId="49" applyFont="true" applyBorder="true" applyAlignment="true" applyProtection="true">
      <alignment horizontal="center" vertical="center" textRotation="0" wrapText="true" indent="0" shrinkToFit="false"/>
      <protection locked="true" hidden="false"/>
    </xf>
    <xf numFmtId="172" fontId="16" fillId="2" borderId="4" xfId="15" applyFont="true" applyBorder="true" applyAlignment="true" applyProtection="true">
      <alignment horizontal="center" vertical="center" textRotation="0" wrapText="false" indent="0" shrinkToFit="false"/>
      <protection locked="false" hidden="false"/>
    </xf>
    <xf numFmtId="166" fontId="46" fillId="0" borderId="4" xfId="21" applyFont="true" applyBorder="true" applyAlignment="true" applyProtection="true">
      <alignment horizontal="center" vertical="center" textRotation="0" wrapText="false" indent="0" shrinkToFit="false"/>
      <protection locked="true" hidden="false"/>
    </xf>
    <xf numFmtId="164" fontId="16" fillId="0" borderId="17" xfId="26" applyFont="true" applyBorder="true" applyAlignment="true" applyProtection="false">
      <alignment horizontal="center" vertical="center" textRotation="0" wrapText="true" indent="0" shrinkToFit="false"/>
      <protection locked="true" hidden="false"/>
    </xf>
    <xf numFmtId="164" fontId="17" fillId="6" borderId="4" xfId="49" applyFont="true" applyBorder="true" applyAlignment="true" applyProtection="true">
      <alignment horizontal="justify" vertical="top" textRotation="0" wrapText="true" indent="0" shrinkToFit="false"/>
      <protection locked="true" hidden="false"/>
    </xf>
    <xf numFmtId="171" fontId="25" fillId="0" borderId="11" xfId="26" applyFont="true" applyBorder="true" applyAlignment="true" applyProtection="false">
      <alignment horizontal="center" vertical="center" textRotation="0" wrapText="false" indent="0" shrinkToFit="false"/>
      <protection locked="true" hidden="false"/>
    </xf>
    <xf numFmtId="164" fontId="17" fillId="6" borderId="4" xfId="49" applyFont="true" applyBorder="true" applyAlignment="true" applyProtection="true">
      <alignment horizontal="justify" vertical="bottom" textRotation="0" wrapText="true" indent="0" shrinkToFit="false"/>
      <protection locked="true" hidden="false"/>
    </xf>
    <xf numFmtId="179" fontId="14" fillId="0" borderId="17" xfId="26" applyFont="true" applyBorder="true" applyAlignment="true" applyProtection="false">
      <alignment horizontal="center" vertical="center" textRotation="0" wrapText="false" indent="0" shrinkToFit="false"/>
      <protection locked="true" hidden="false"/>
    </xf>
    <xf numFmtId="179" fontId="14" fillId="0" borderId="19" xfId="15" applyFont="true" applyBorder="true" applyAlignment="true" applyProtection="true">
      <alignment horizontal="center" vertical="center" textRotation="0" wrapText="false" indent="0" shrinkToFit="false"/>
      <protection locked="true" hidden="false"/>
    </xf>
    <xf numFmtId="164" fontId="25" fillId="11" borderId="55" xfId="26" applyFont="true" applyBorder="true" applyAlignment="true" applyProtection="false">
      <alignment horizontal="left" vertical="center" textRotation="0" wrapText="false" indent="0" shrinkToFit="false"/>
      <protection locked="true" hidden="false"/>
    </xf>
    <xf numFmtId="172" fontId="25" fillId="11" borderId="56" xfId="26" applyFont="true" applyBorder="true" applyAlignment="true" applyProtection="false">
      <alignment horizontal="center" vertical="center" textRotation="0" wrapText="false" indent="0" shrinkToFit="false"/>
      <protection locked="true" hidden="false"/>
    </xf>
    <xf numFmtId="179" fontId="25" fillId="11" borderId="25" xfId="15" applyFont="true" applyBorder="true" applyAlignment="true" applyProtection="true">
      <alignment horizontal="center" vertical="center" textRotation="0" wrapText="false" indent="0" shrinkToFit="false"/>
      <protection locked="true" hidden="false"/>
    </xf>
    <xf numFmtId="164" fontId="25" fillId="0" borderId="3" xfId="26" applyFont="true" applyBorder="true" applyAlignment="true" applyProtection="false">
      <alignment horizontal="left" vertical="center" textRotation="0" wrapText="false" indent="0" shrinkToFit="false"/>
      <protection locked="true" hidden="false"/>
    </xf>
    <xf numFmtId="164" fontId="25" fillId="0" borderId="0" xfId="26" applyFont="true" applyBorder="false" applyAlignment="true" applyProtection="false">
      <alignment horizontal="left" vertical="center" textRotation="0" wrapText="false" indent="0" shrinkToFit="false"/>
      <protection locked="true" hidden="false"/>
    </xf>
    <xf numFmtId="172" fontId="25" fillId="0" borderId="0" xfId="26" applyFont="true" applyBorder="false" applyAlignment="true" applyProtection="false">
      <alignment horizontal="center" vertical="center" textRotation="0" wrapText="false" indent="0" shrinkToFit="false"/>
      <protection locked="true" hidden="false"/>
    </xf>
    <xf numFmtId="179" fontId="25" fillId="0" borderId="0" xfId="15" applyFont="true" applyBorder="true" applyAlignment="true" applyProtection="true">
      <alignment horizontal="center" vertical="center" textRotation="0" wrapText="false" indent="0" shrinkToFit="false"/>
      <protection locked="true" hidden="false"/>
    </xf>
    <xf numFmtId="164" fontId="16" fillId="0" borderId="3" xfId="26" applyFont="true" applyBorder="true" applyAlignment="true" applyProtection="false">
      <alignment horizontal="center" vertical="center" textRotation="0" wrapText="false" indent="0" shrinkToFit="false"/>
      <protection locked="true" hidden="false"/>
    </xf>
    <xf numFmtId="164" fontId="16" fillId="0" borderId="0" xfId="26" applyFont="true" applyBorder="false" applyAlignment="true" applyProtection="false">
      <alignment horizontal="left" vertical="center" textRotation="0" wrapText="false" indent="0" shrinkToFit="false"/>
      <protection locked="true" hidden="false"/>
    </xf>
    <xf numFmtId="171" fontId="16" fillId="0" borderId="0" xfId="15" applyFont="true" applyBorder="true" applyAlignment="true" applyProtection="true">
      <alignment horizontal="center" vertical="center" textRotation="0" wrapText="false" indent="0" shrinkToFit="false"/>
      <protection locked="true" hidden="false"/>
    </xf>
    <xf numFmtId="164" fontId="16" fillId="0" borderId="0" xfId="26" applyFont="true" applyBorder="false" applyAlignment="true" applyProtection="false">
      <alignment horizontal="justify" vertical="bottom" textRotation="0" wrapText="false" indent="0" shrinkToFit="false"/>
      <protection locked="true" hidden="false"/>
    </xf>
    <xf numFmtId="164" fontId="16" fillId="0" borderId="0" xfId="26" applyFont="true" applyBorder="false" applyAlignment="true" applyProtection="false">
      <alignment horizontal="general" vertical="center" textRotation="0" wrapText="false" indent="0" shrinkToFit="false"/>
      <protection locked="true" hidden="false"/>
    </xf>
    <xf numFmtId="172" fontId="16" fillId="0" borderId="0" xfId="15" applyFont="true" applyBorder="true" applyAlignment="true" applyProtection="true">
      <alignment horizontal="center" vertical="center" textRotation="0" wrapText="false" indent="0" shrinkToFit="false"/>
      <protection locked="true" hidden="false"/>
    </xf>
    <xf numFmtId="179" fontId="16" fillId="0" borderId="0" xfId="15" applyFont="true" applyBorder="true" applyAlignment="true" applyProtection="true">
      <alignment horizontal="center" vertical="center" textRotation="0" wrapText="false" indent="0" shrinkToFit="false"/>
      <protection locked="true" hidden="false"/>
    </xf>
    <xf numFmtId="164" fontId="45" fillId="5" borderId="41" xfId="44" applyFont="true" applyBorder="true" applyAlignment="true" applyProtection="true">
      <alignment horizontal="center" vertical="center" textRotation="0" wrapText="true" indent="0" shrinkToFit="false"/>
      <protection locked="true" hidden="false"/>
    </xf>
    <xf numFmtId="164" fontId="14" fillId="5" borderId="41" xfId="44" applyFont="true" applyBorder="true" applyAlignment="true" applyProtection="true">
      <alignment horizontal="center" vertical="center" textRotation="0" wrapText="true" indent="0" shrinkToFit="false"/>
      <protection locked="true" hidden="false"/>
    </xf>
    <xf numFmtId="180" fontId="16" fillId="6" borderId="4" xfId="15" applyFont="true" applyBorder="true" applyAlignment="true" applyProtection="true">
      <alignment horizontal="center" vertical="center" textRotation="0" wrapText="false" indent="0" shrinkToFit="false"/>
      <protection locked="true" hidden="false"/>
    </xf>
    <xf numFmtId="171" fontId="14" fillId="0" borderId="4" xfId="26" applyFont="true" applyBorder="true" applyAlignment="true" applyProtection="false">
      <alignment horizontal="center" vertical="center" textRotation="0" wrapText="false" indent="0" shrinkToFit="false"/>
      <protection locked="true" hidden="false"/>
    </xf>
    <xf numFmtId="172" fontId="16" fillId="2" borderId="4" xfId="0" applyFont="true" applyBorder="true" applyAlignment="true" applyProtection="true">
      <alignment horizontal="center" vertical="center" textRotation="0" wrapText="false" indent="0" shrinkToFit="false"/>
      <protection locked="false" hidden="false"/>
    </xf>
    <xf numFmtId="164" fontId="14" fillId="0" borderId="17" xfId="26" applyFont="true" applyBorder="true" applyAlignment="true" applyProtection="false">
      <alignment horizontal="center" vertical="center" textRotation="0" wrapText="true" indent="0" shrinkToFit="false"/>
      <protection locked="true" hidden="false"/>
    </xf>
    <xf numFmtId="164" fontId="16" fillId="6" borderId="4" xfId="49" applyFont="true" applyBorder="true" applyAlignment="true" applyProtection="true">
      <alignment horizontal="justify" vertical="top" textRotation="0" wrapText="true" indent="0" shrinkToFit="false"/>
      <protection locked="true" hidden="false"/>
    </xf>
    <xf numFmtId="172" fontId="16" fillId="2" borderId="12" xfId="0" applyFont="true" applyBorder="true" applyAlignment="true" applyProtection="true">
      <alignment horizontal="center" vertical="center" textRotation="0" wrapText="false" indent="0" shrinkToFit="false"/>
      <protection locked="false" hidden="false"/>
    </xf>
    <xf numFmtId="179" fontId="14" fillId="0" borderId="24" xfId="0" applyFont="true" applyBorder="true" applyAlignment="true" applyProtection="false">
      <alignment horizontal="center" vertical="center" textRotation="0" wrapText="false" indent="0" shrinkToFit="false"/>
      <protection locked="true" hidden="false"/>
    </xf>
    <xf numFmtId="179" fontId="14" fillId="0" borderId="35" xfId="15" applyFont="true" applyBorder="true" applyAlignment="true" applyProtection="true">
      <alignment horizontal="center" vertical="center" textRotation="0" wrapText="false" indent="0" shrinkToFit="false"/>
      <protection locked="true" hidden="false"/>
    </xf>
    <xf numFmtId="171" fontId="25" fillId="0" borderId="0" xfId="26" applyFont="true" applyBorder="false" applyAlignment="true" applyProtection="false">
      <alignment horizontal="center" vertical="center" textRotation="0" wrapText="false" indent="0" shrinkToFit="false"/>
      <protection locked="true" hidden="false"/>
    </xf>
    <xf numFmtId="164" fontId="25" fillId="0" borderId="0" xfId="26" applyFont="true" applyBorder="false" applyAlignment="true" applyProtection="false">
      <alignment horizontal="justify" vertical="bottom" textRotation="0" wrapText="false" indent="0" shrinkToFit="false"/>
      <protection locked="true" hidden="false"/>
    </xf>
    <xf numFmtId="164" fontId="16" fillId="6" borderId="4" xfId="26" applyFont="true" applyBorder="true" applyAlignment="true" applyProtection="false">
      <alignment horizontal="center" vertical="center" textRotation="0" wrapText="false" indent="0" shrinkToFit="false"/>
      <protection locked="true" hidden="false"/>
    </xf>
    <xf numFmtId="164" fontId="17" fillId="6" borderId="4" xfId="0" applyFont="true" applyBorder="true" applyAlignment="true" applyProtection="false">
      <alignment horizontal="justify" vertical="top" textRotation="0" wrapText="true" indent="0" shrinkToFit="false"/>
      <protection locked="true" hidden="false"/>
    </xf>
    <xf numFmtId="164" fontId="16" fillId="6" borderId="4" xfId="26" applyFont="true" applyBorder="true" applyAlignment="true" applyProtection="false">
      <alignment horizontal="center" vertical="center" textRotation="0" wrapText="true" indent="0" shrinkToFit="false"/>
      <protection locked="true" hidden="false"/>
    </xf>
    <xf numFmtId="164" fontId="17" fillId="6" borderId="4" xfId="0" applyFont="true" applyBorder="true" applyAlignment="true" applyProtection="false">
      <alignment horizontal="justify" vertical="bottom" textRotation="0" wrapText="true" indent="0" shrinkToFit="false"/>
      <protection locked="true" hidden="false"/>
    </xf>
    <xf numFmtId="164" fontId="16" fillId="6" borderId="18" xfId="26" applyFont="true" applyBorder="true" applyAlignment="true" applyProtection="false">
      <alignment horizontal="center" vertical="center" textRotation="0" wrapText="false" indent="0" shrinkToFit="false"/>
      <protection locked="true" hidden="false"/>
    </xf>
    <xf numFmtId="180" fontId="16" fillId="6" borderId="18" xfId="15" applyFont="true" applyBorder="true" applyAlignment="true" applyProtection="true">
      <alignment horizontal="general" vertical="center" textRotation="0" wrapText="false" indent="0" shrinkToFit="false"/>
      <protection locked="true" hidden="false"/>
    </xf>
    <xf numFmtId="164" fontId="17" fillId="6" borderId="18" xfId="0" applyFont="true" applyBorder="true" applyAlignment="true" applyProtection="false">
      <alignment horizontal="justify" vertical="center" textRotation="0" wrapText="true" indent="0" shrinkToFit="false"/>
      <protection locked="true" hidden="false"/>
    </xf>
    <xf numFmtId="164" fontId="16" fillId="6" borderId="18" xfId="26" applyFont="true" applyBorder="true" applyAlignment="true" applyProtection="false">
      <alignment horizontal="center" vertical="center" textRotation="0" wrapText="true" indent="0" shrinkToFit="false"/>
      <protection locked="true" hidden="false"/>
    </xf>
    <xf numFmtId="172" fontId="16" fillId="2" borderId="18" xfId="0" applyFont="true" applyBorder="true" applyAlignment="true" applyProtection="true">
      <alignment horizontal="center" vertical="center" textRotation="0" wrapText="false" indent="0" shrinkToFit="false"/>
      <protection locked="false" hidden="false"/>
    </xf>
    <xf numFmtId="171" fontId="25" fillId="0" borderId="17" xfId="26" applyFont="true" applyBorder="true" applyAlignment="true" applyProtection="false">
      <alignment horizontal="center" vertical="center" textRotation="0" wrapText="false" indent="0" shrinkToFit="false"/>
      <protection locked="true" hidden="false"/>
    </xf>
    <xf numFmtId="164" fontId="16" fillId="6" borderId="18" xfId="26" applyFont="true" applyBorder="true" applyAlignment="true" applyProtection="false">
      <alignment horizontal="general" vertical="center" textRotation="0" wrapText="false" indent="0" shrinkToFit="false"/>
      <protection locked="true" hidden="false"/>
    </xf>
    <xf numFmtId="164" fontId="16" fillId="6" borderId="18" xfId="26" applyFont="true" applyBorder="true" applyAlignment="true" applyProtection="false">
      <alignment horizontal="general" vertical="center" textRotation="0" wrapText="true" indent="0" shrinkToFit="false"/>
      <protection locked="true" hidden="false"/>
    </xf>
    <xf numFmtId="179" fontId="14" fillId="0" borderId="22" xfId="0" applyFont="true" applyBorder="true" applyAlignment="true" applyProtection="false">
      <alignment horizontal="center" vertical="center" textRotation="0" wrapText="false" indent="0" shrinkToFit="false"/>
      <protection locked="true" hidden="false"/>
    </xf>
    <xf numFmtId="179" fontId="14" fillId="0" borderId="25" xfId="15" applyFont="true" applyBorder="true" applyAlignment="true" applyProtection="true">
      <alignment horizontal="center" vertical="center" textRotation="0" wrapText="false" indent="0" shrinkToFit="false"/>
      <protection locked="true" hidden="false"/>
    </xf>
    <xf numFmtId="164" fontId="16" fillId="6" borderId="4" xfId="49" applyFont="true" applyBorder="true" applyAlignment="true" applyProtection="true">
      <alignment horizontal="justify" vertical="center" textRotation="0" wrapText="tru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8" fillId="0" borderId="2" xfId="23" applyFont="true" applyBorder="true" applyAlignment="false" applyProtection="false">
      <alignment horizontal="general" vertical="bottom" textRotation="0" wrapText="false" indent="0" shrinkToFit="false"/>
      <protection locked="true" hidden="false"/>
    </xf>
    <xf numFmtId="164" fontId="8" fillId="0" borderId="43" xfId="23" applyFont="true" applyBorder="true" applyAlignment="false" applyProtection="false">
      <alignment horizontal="general" vertical="bottom" textRotation="0" wrapText="false" indent="0" shrinkToFit="false"/>
      <protection locked="true" hidden="false"/>
    </xf>
    <xf numFmtId="164" fontId="8" fillId="0" borderId="3" xfId="23" applyFont="true" applyBorder="true" applyAlignment="false" applyProtection="false">
      <alignment horizontal="general" vertical="bottom" textRotation="0" wrapText="false" indent="0" shrinkToFit="false"/>
      <protection locked="true" hidden="false"/>
    </xf>
    <xf numFmtId="164" fontId="8" fillId="0" borderId="44" xfId="23"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8" fillId="0" borderId="44" xfId="23" applyFont="tru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26" fillId="14" borderId="20" xfId="23" applyFont="true" applyBorder="true" applyAlignment="true" applyProtection="false">
      <alignment horizontal="center" vertical="center" textRotation="0" wrapText="true" indent="0" shrinkToFit="false"/>
      <protection locked="true" hidden="false"/>
    </xf>
    <xf numFmtId="164" fontId="47" fillId="0" borderId="0" xfId="23" applyFont="true" applyBorder="false" applyAlignment="true" applyProtection="false">
      <alignment horizontal="general" vertical="center" textRotation="0" wrapText="false" indent="0" shrinkToFit="false"/>
      <protection locked="true" hidden="false"/>
    </xf>
    <xf numFmtId="164" fontId="12" fillId="0" borderId="20" xfId="23" applyFont="true" applyBorder="true" applyAlignment="true" applyProtection="false">
      <alignment horizontal="center" vertical="center" textRotation="0" wrapText="false" indent="0" shrinkToFit="false"/>
      <protection locked="true" hidden="false"/>
    </xf>
    <xf numFmtId="164" fontId="16" fillId="6" borderId="57" xfId="23" applyFont="true" applyBorder="true" applyAlignment="true" applyProtection="false">
      <alignment horizontal="center" vertical="center" textRotation="0" wrapText="false" indent="0" shrinkToFit="false"/>
      <protection locked="true" hidden="false"/>
    </xf>
    <xf numFmtId="164" fontId="13" fillId="11" borderId="58" xfId="23" applyFont="true" applyBorder="true" applyAlignment="true" applyProtection="false">
      <alignment horizontal="general" vertical="center" textRotation="0" wrapText="false" indent="0" shrinkToFit="false"/>
      <protection locked="true" hidden="false"/>
    </xf>
    <xf numFmtId="164" fontId="48" fillId="11" borderId="59" xfId="23" applyFont="true" applyBorder="true" applyAlignment="true" applyProtection="false">
      <alignment horizontal="general" vertical="center" textRotation="0" wrapText="false" indent="0" shrinkToFit="false"/>
      <protection locked="true" hidden="false"/>
    </xf>
    <xf numFmtId="164" fontId="26" fillId="11" borderId="59" xfId="23" applyFont="true" applyBorder="true" applyAlignment="true" applyProtection="false">
      <alignment horizontal="general" vertical="center" textRotation="0" wrapText="false" indent="0" shrinkToFit="false"/>
      <protection locked="true" hidden="false"/>
    </xf>
    <xf numFmtId="164" fontId="25" fillId="11" borderId="59" xfId="23" applyFont="true" applyBorder="true" applyAlignment="true" applyProtection="false">
      <alignment horizontal="general" vertical="center" textRotation="0" wrapText="false" indent="0" shrinkToFit="false"/>
      <protection locked="true" hidden="false"/>
    </xf>
    <xf numFmtId="164" fontId="13" fillId="11" borderId="59" xfId="23" applyFont="true" applyBorder="true" applyAlignment="true" applyProtection="false">
      <alignment horizontal="general" vertical="center" textRotation="0" wrapText="false" indent="0" shrinkToFit="false"/>
      <protection locked="true" hidden="false"/>
    </xf>
    <xf numFmtId="164" fontId="25" fillId="11" borderId="60" xfId="23" applyFont="true" applyBorder="true" applyAlignment="true" applyProtection="false">
      <alignment horizontal="center" vertical="center" textRotation="0" wrapText="true" indent="0" shrinkToFit="false"/>
      <protection locked="true" hidden="false"/>
    </xf>
    <xf numFmtId="164" fontId="14" fillId="11" borderId="47" xfId="23" applyFont="true" applyBorder="true" applyAlignment="true" applyProtection="false">
      <alignment horizontal="center" vertical="center" textRotation="90" wrapText="false" indent="0" shrinkToFit="false"/>
      <protection locked="true" hidden="false"/>
    </xf>
    <xf numFmtId="164" fontId="12" fillId="11" borderId="45" xfId="23" applyFont="true" applyBorder="true" applyAlignment="true" applyProtection="false">
      <alignment horizontal="center" vertical="center" textRotation="0" wrapText="true" indent="0" shrinkToFit="false"/>
      <protection locked="true" hidden="false"/>
    </xf>
    <xf numFmtId="164" fontId="25" fillId="11" borderId="55" xfId="23" applyFont="true" applyBorder="true" applyAlignment="true" applyProtection="false">
      <alignment horizontal="center" vertical="center" textRotation="0" wrapText="false" indent="0" shrinkToFit="false"/>
      <protection locked="true" hidden="false"/>
    </xf>
    <xf numFmtId="164" fontId="25" fillId="11" borderId="45" xfId="23" applyFont="true" applyBorder="true" applyAlignment="true" applyProtection="false">
      <alignment horizontal="center" vertical="center" textRotation="0" wrapText="true" indent="0" shrinkToFit="false"/>
      <protection locked="true" hidden="false"/>
    </xf>
    <xf numFmtId="164" fontId="12" fillId="11" borderId="61" xfId="23" applyFont="true" applyBorder="true" applyAlignment="true" applyProtection="false">
      <alignment horizontal="center" vertical="center" textRotation="0" wrapText="true" indent="0" shrinkToFit="false"/>
      <protection locked="true" hidden="false"/>
    </xf>
    <xf numFmtId="164" fontId="12" fillId="11" borderId="9" xfId="23" applyFont="true" applyBorder="true" applyAlignment="true" applyProtection="false">
      <alignment horizontal="center" vertical="center" textRotation="0" wrapText="true" indent="0" shrinkToFit="false"/>
      <protection locked="true" hidden="false"/>
    </xf>
    <xf numFmtId="164" fontId="12" fillId="11" borderId="62" xfId="23" applyFont="true" applyBorder="true" applyAlignment="true" applyProtection="false">
      <alignment horizontal="center" vertical="center" textRotation="0" wrapText="true" indent="0" shrinkToFit="false"/>
      <protection locked="true" hidden="false"/>
    </xf>
    <xf numFmtId="164" fontId="12" fillId="11" borderId="2" xfId="23" applyFont="true" applyBorder="true" applyAlignment="true" applyProtection="false">
      <alignment horizontal="center" vertical="center" textRotation="0" wrapText="true" indent="0" shrinkToFit="false"/>
      <protection locked="true" hidden="false"/>
    </xf>
    <xf numFmtId="164" fontId="14" fillId="11" borderId="62" xfId="23" applyFont="true" applyBorder="true" applyAlignment="true" applyProtection="false">
      <alignment horizontal="center" vertical="center" textRotation="0" wrapText="true" indent="0" shrinkToFit="false"/>
      <protection locked="true" hidden="false"/>
    </xf>
    <xf numFmtId="164" fontId="16" fillId="11" borderId="34" xfId="23" applyFont="true" applyBorder="true" applyAlignment="true" applyProtection="false">
      <alignment horizontal="center" vertical="center" textRotation="0" wrapText="true" indent="0" shrinkToFit="false"/>
      <protection locked="true" hidden="false"/>
    </xf>
    <xf numFmtId="164" fontId="24" fillId="11" borderId="48" xfId="23" applyFont="true" applyBorder="true" applyAlignment="true" applyProtection="false">
      <alignment horizontal="center" vertical="center" textRotation="0" wrapText="true" indent="0" shrinkToFit="false"/>
      <protection locked="true" hidden="false"/>
    </xf>
    <xf numFmtId="164" fontId="17" fillId="11" borderId="32" xfId="23" applyFont="true" applyBorder="true" applyAlignment="true" applyProtection="false">
      <alignment horizontal="center" vertical="center" textRotation="0" wrapText="true" indent="0" shrinkToFit="false"/>
      <protection locked="true" hidden="false"/>
    </xf>
    <xf numFmtId="164" fontId="17" fillId="11" borderId="39" xfId="23" applyFont="true" applyBorder="true" applyAlignment="true" applyProtection="false">
      <alignment horizontal="center" vertical="center" textRotation="0" wrapText="true" indent="0" shrinkToFit="false"/>
      <protection locked="true" hidden="false"/>
    </xf>
    <xf numFmtId="164" fontId="17" fillId="11" borderId="61" xfId="23" applyFont="true" applyBorder="true" applyAlignment="true" applyProtection="false">
      <alignment horizontal="center" vertical="center" textRotation="0" wrapText="true" indent="0" shrinkToFit="false"/>
      <protection locked="true" hidden="false"/>
    </xf>
    <xf numFmtId="164" fontId="17" fillId="11" borderId="33" xfId="23" applyFont="true" applyBorder="true" applyAlignment="true" applyProtection="false">
      <alignment horizontal="center" vertical="center" textRotation="0" wrapText="true" indent="0" shrinkToFit="false"/>
      <protection locked="true" hidden="false"/>
    </xf>
    <xf numFmtId="164" fontId="17" fillId="11" borderId="1" xfId="23" applyFont="true" applyBorder="true" applyAlignment="true" applyProtection="false">
      <alignment horizontal="center" vertical="center" textRotation="0" wrapText="true" indent="0" shrinkToFit="false"/>
      <protection locked="true" hidden="false"/>
    </xf>
    <xf numFmtId="164" fontId="16" fillId="11" borderId="22" xfId="23" applyFont="true" applyBorder="true" applyAlignment="true" applyProtection="false">
      <alignment horizontal="center" vertical="center" textRotation="0" wrapText="true" indent="0" shrinkToFit="false"/>
      <protection locked="true" hidden="false"/>
    </xf>
    <xf numFmtId="164" fontId="17" fillId="11" borderId="35" xfId="23" applyFont="true" applyBorder="true" applyAlignment="true" applyProtection="false">
      <alignment horizontal="center" vertical="center" textRotation="0" wrapText="true" indent="0" shrinkToFit="false"/>
      <protection locked="true" hidden="false"/>
    </xf>
    <xf numFmtId="164" fontId="16" fillId="11" borderId="22" xfId="23" applyFont="true" applyBorder="true" applyAlignment="true" applyProtection="false">
      <alignment horizontal="center" vertical="center" textRotation="0" wrapText="false" indent="0" shrinkToFit="false"/>
      <protection locked="true" hidden="false"/>
    </xf>
    <xf numFmtId="164" fontId="16" fillId="11" borderId="28" xfId="23" applyFont="true" applyBorder="true" applyAlignment="true" applyProtection="false">
      <alignment horizontal="center" vertical="center" textRotation="0" wrapText="true" indent="0" shrinkToFit="false"/>
      <protection locked="true" hidden="false"/>
    </xf>
    <xf numFmtId="164" fontId="16" fillId="11" borderId="51" xfId="23" applyFont="true" applyBorder="true" applyAlignment="true" applyProtection="false">
      <alignment horizontal="center" vertical="center" textRotation="0" wrapText="true" indent="0" shrinkToFit="false"/>
      <protection locked="true" hidden="false"/>
    </xf>
    <xf numFmtId="164" fontId="24" fillId="11" borderId="28" xfId="23" applyFont="true" applyBorder="true" applyAlignment="true" applyProtection="false">
      <alignment horizontal="center" vertical="center" textRotation="0" wrapText="true" indent="0" shrinkToFit="false"/>
      <protection locked="true" hidden="false"/>
    </xf>
    <xf numFmtId="164" fontId="24" fillId="11" borderId="53" xfId="23" applyFont="true" applyBorder="true" applyAlignment="true" applyProtection="false">
      <alignment horizontal="center" vertical="center" textRotation="0" wrapText="true" indent="0" shrinkToFit="false"/>
      <protection locked="true" hidden="false"/>
    </xf>
    <xf numFmtId="164" fontId="24" fillId="11" borderId="27" xfId="23" applyFont="true" applyBorder="true" applyAlignment="true" applyProtection="false">
      <alignment horizontal="center" vertical="center" textRotation="0" wrapText="true" indent="0" shrinkToFit="false"/>
      <protection locked="true" hidden="false"/>
    </xf>
    <xf numFmtId="164" fontId="24" fillId="11" borderId="22" xfId="23" applyFont="true" applyBorder="true" applyAlignment="true" applyProtection="false">
      <alignment horizontal="center" vertical="center" textRotation="0" wrapText="true" indent="0" shrinkToFit="false"/>
      <protection locked="true" hidden="false"/>
    </xf>
    <xf numFmtId="164" fontId="24" fillId="11" borderId="50" xfId="23" applyFont="true" applyBorder="true" applyAlignment="true" applyProtection="false">
      <alignment horizontal="center" vertical="center" textRotation="0" wrapText="true" indent="0" shrinkToFit="false"/>
      <protection locked="true" hidden="false"/>
    </xf>
    <xf numFmtId="164" fontId="24" fillId="11" borderId="46" xfId="23" applyFont="true" applyBorder="true" applyAlignment="true" applyProtection="false">
      <alignment horizontal="center" vertical="center" textRotation="0" wrapText="true" indent="0" shrinkToFit="false"/>
      <protection locked="true" hidden="false"/>
    </xf>
    <xf numFmtId="164" fontId="24" fillId="11" borderId="41" xfId="23" applyFont="true" applyBorder="true" applyAlignment="true" applyProtection="false">
      <alignment horizontal="center" vertical="center" textRotation="0" wrapText="true" indent="0" shrinkToFit="false"/>
      <protection locked="true" hidden="false"/>
    </xf>
    <xf numFmtId="164" fontId="17" fillId="11" borderId="46" xfId="23" applyFont="true" applyBorder="true" applyAlignment="true" applyProtection="false">
      <alignment horizontal="center" vertical="center" textRotation="0" wrapText="true" indent="0" shrinkToFit="false"/>
      <protection locked="true" hidden="false"/>
    </xf>
    <xf numFmtId="164" fontId="17" fillId="11" borderId="41" xfId="23" applyFont="true" applyBorder="true" applyAlignment="true" applyProtection="false">
      <alignment horizontal="center" vertical="center" textRotation="0" wrapText="true" indent="0" shrinkToFit="false"/>
      <protection locked="true" hidden="false"/>
    </xf>
    <xf numFmtId="164" fontId="17" fillId="11" borderId="53" xfId="23" applyFont="true" applyBorder="true" applyAlignment="true" applyProtection="false">
      <alignment horizontal="center" vertical="center" textRotation="0" wrapText="true" indent="0" shrinkToFit="false"/>
      <protection locked="true" hidden="false"/>
    </xf>
    <xf numFmtId="164" fontId="12" fillId="0" borderId="32" xfId="23" applyFont="true" applyBorder="true" applyAlignment="true" applyProtection="false">
      <alignment horizontal="center" vertical="center" textRotation="0" wrapText="false" indent="0" shrinkToFit="false"/>
      <protection locked="true" hidden="false"/>
    </xf>
    <xf numFmtId="164" fontId="8" fillId="6" borderId="16" xfId="23" applyFont="true" applyBorder="true" applyAlignment="true" applyProtection="false">
      <alignment horizontal="general" vertical="center" textRotation="0" wrapText="false" indent="0" shrinkToFit="false"/>
      <protection locked="true" hidden="false"/>
    </xf>
    <xf numFmtId="171" fontId="8" fillId="6" borderId="12" xfId="23" applyFont="true" applyBorder="true" applyAlignment="true" applyProtection="false">
      <alignment horizontal="center" vertical="center" textRotation="0" wrapText="false" indent="0" shrinkToFit="false"/>
      <protection locked="true" hidden="false"/>
    </xf>
    <xf numFmtId="171" fontId="8" fillId="0" borderId="11" xfId="23" applyFont="true" applyBorder="true" applyAlignment="true" applyProtection="false">
      <alignment horizontal="center" vertical="center" textRotation="0" wrapText="false" indent="0" shrinkToFit="false"/>
      <protection locked="true" hidden="false"/>
    </xf>
    <xf numFmtId="179" fontId="8" fillId="6" borderId="12" xfId="23" applyFont="true" applyBorder="true" applyAlignment="true" applyProtection="false">
      <alignment horizontal="center" vertical="center" textRotation="0" wrapText="false" indent="0" shrinkToFit="false"/>
      <protection locked="true" hidden="false"/>
    </xf>
    <xf numFmtId="179" fontId="8" fillId="6" borderId="13" xfId="23" applyFont="true" applyBorder="true" applyAlignment="true" applyProtection="false">
      <alignment horizontal="center" vertical="center" textRotation="0" wrapText="false" indent="0" shrinkToFit="false"/>
      <protection locked="true" hidden="false"/>
    </xf>
    <xf numFmtId="179" fontId="8" fillId="6" borderId="61" xfId="23" applyFont="true" applyBorder="true" applyAlignment="true" applyProtection="false">
      <alignment horizontal="center" vertical="center" textRotation="0" wrapText="false" indent="0" shrinkToFit="false"/>
      <protection locked="true" hidden="false"/>
    </xf>
    <xf numFmtId="169" fontId="12" fillId="6" borderId="18" xfId="15" applyFont="true" applyBorder="true" applyAlignment="true" applyProtection="true">
      <alignment horizontal="center" vertical="center" textRotation="0" wrapText="false" indent="0" shrinkToFit="false"/>
      <protection locked="true" hidden="false"/>
    </xf>
    <xf numFmtId="170" fontId="12" fillId="6" borderId="4" xfId="15" applyFont="true" applyBorder="true" applyAlignment="true" applyProtection="true">
      <alignment horizontal="center" vertical="center" textRotation="0" wrapText="false" indent="0" shrinkToFit="false"/>
      <protection locked="true" hidden="false"/>
    </xf>
    <xf numFmtId="179" fontId="8" fillId="6" borderId="16" xfId="23" applyFont="true" applyBorder="true" applyAlignment="true" applyProtection="false">
      <alignment horizontal="center" vertical="center" textRotation="0" wrapText="false" indent="0" shrinkToFit="false"/>
      <protection locked="true" hidden="false"/>
    </xf>
    <xf numFmtId="169" fontId="12" fillId="6" borderId="12" xfId="15" applyFont="true" applyBorder="true" applyAlignment="true" applyProtection="true">
      <alignment horizontal="center" vertical="center" textRotation="0" wrapText="false" indent="0" shrinkToFit="false"/>
      <protection locked="true" hidden="false"/>
    </xf>
    <xf numFmtId="169" fontId="12" fillId="6" borderId="4" xfId="15" applyFont="true" applyBorder="true" applyAlignment="true" applyProtection="true">
      <alignment horizontal="center" vertical="center" textRotation="0" wrapText="false" indent="0" shrinkToFit="false"/>
      <protection locked="true" hidden="false"/>
    </xf>
    <xf numFmtId="169" fontId="8" fillId="6" borderId="4" xfId="15" applyFont="true" applyBorder="true" applyAlignment="true" applyProtection="true">
      <alignment horizontal="center" vertical="center" textRotation="0" wrapText="false" indent="0" shrinkToFit="false"/>
      <protection locked="true" hidden="false"/>
    </xf>
    <xf numFmtId="166" fontId="8" fillId="6" borderId="4" xfId="17" applyFont="true" applyBorder="true" applyAlignment="true" applyProtection="true">
      <alignment horizontal="right" vertical="center" textRotation="0" wrapText="false" indent="0" shrinkToFit="false"/>
      <protection locked="true" hidden="false"/>
    </xf>
    <xf numFmtId="179" fontId="8" fillId="6" borderId="63" xfId="23" applyFont="true" applyBorder="true" applyAlignment="true" applyProtection="false">
      <alignment horizontal="center" vertical="center" textRotation="0" wrapText="false" indent="0" shrinkToFit="false"/>
      <protection locked="true" hidden="false"/>
    </xf>
    <xf numFmtId="179" fontId="8" fillId="6" borderId="34" xfId="23" applyFont="true" applyBorder="true" applyAlignment="true" applyProtection="false">
      <alignment horizontal="center" vertical="center" textRotation="0" wrapText="false" indent="0" shrinkToFit="false"/>
      <protection locked="true" hidden="false"/>
    </xf>
    <xf numFmtId="179" fontId="8" fillId="6" borderId="21" xfId="23" applyFont="true" applyBorder="true" applyAlignment="true" applyProtection="false">
      <alignment horizontal="center" vertical="center" textRotation="0" wrapText="false" indent="0" shrinkToFit="false"/>
      <protection locked="true" hidden="false"/>
    </xf>
    <xf numFmtId="164" fontId="12" fillId="0" borderId="19" xfId="23" applyFont="true" applyBorder="true" applyAlignment="true" applyProtection="false">
      <alignment horizontal="center" vertical="center" textRotation="0" wrapText="false" indent="0" shrinkToFit="false"/>
      <protection locked="true" hidden="false"/>
    </xf>
    <xf numFmtId="164" fontId="8" fillId="0" borderId="16" xfId="23" applyFont="true" applyBorder="true" applyAlignment="true" applyProtection="false">
      <alignment horizontal="general" vertical="center" textRotation="0" wrapText="false" indent="0" shrinkToFit="false"/>
      <protection locked="true" hidden="false"/>
    </xf>
    <xf numFmtId="171" fontId="8" fillId="0" borderId="12" xfId="23" applyFont="true" applyBorder="true" applyAlignment="true" applyProtection="false">
      <alignment horizontal="center" vertical="center" textRotation="0" wrapText="false" indent="0" shrinkToFit="false"/>
      <protection locked="true" hidden="false"/>
    </xf>
    <xf numFmtId="179" fontId="8" fillId="0" borderId="4" xfId="23" applyFont="true" applyBorder="true" applyAlignment="true" applyProtection="false">
      <alignment horizontal="center" vertical="center" textRotation="0" wrapText="false" indent="0" shrinkToFit="false"/>
      <protection locked="true" hidden="false"/>
    </xf>
    <xf numFmtId="179" fontId="8" fillId="0" borderId="14" xfId="23" applyFont="true" applyBorder="true" applyAlignment="true" applyProtection="false">
      <alignment horizontal="center" vertical="center" textRotation="0" wrapText="false" indent="0" shrinkToFit="false"/>
      <protection locked="true" hidden="false"/>
    </xf>
    <xf numFmtId="179" fontId="8" fillId="0" borderId="64" xfId="23" applyFont="true" applyBorder="true" applyAlignment="true" applyProtection="false">
      <alignment horizontal="center" vertical="center" textRotation="0" wrapText="false" indent="0" shrinkToFit="false"/>
      <protection locked="true" hidden="false"/>
    </xf>
    <xf numFmtId="169" fontId="12" fillId="0" borderId="18" xfId="15" applyFont="true" applyBorder="true" applyAlignment="true" applyProtection="true">
      <alignment horizontal="center" vertical="center" textRotation="0" wrapText="false" indent="0" shrinkToFit="false"/>
      <protection locked="true" hidden="false"/>
    </xf>
    <xf numFmtId="179" fontId="8" fillId="0" borderId="21" xfId="23" applyFont="true" applyBorder="true" applyAlignment="true" applyProtection="false">
      <alignment horizontal="center" vertical="center" textRotation="0" wrapText="false" indent="0" shrinkToFit="false"/>
      <protection locked="true" hidden="false"/>
    </xf>
    <xf numFmtId="169" fontId="12" fillId="0" borderId="12" xfId="15" applyFont="true" applyBorder="true" applyAlignment="true" applyProtection="true">
      <alignment horizontal="center" vertical="center" textRotation="0" wrapText="false" indent="0" shrinkToFit="false"/>
      <protection locked="true" hidden="false"/>
    </xf>
    <xf numFmtId="169" fontId="12" fillId="0" borderId="4" xfId="15" applyFont="true" applyBorder="true" applyAlignment="true" applyProtection="true">
      <alignment horizontal="center" vertical="center" textRotation="0" wrapText="false" indent="0" shrinkToFit="false"/>
      <protection locked="true" hidden="false"/>
    </xf>
    <xf numFmtId="169" fontId="8" fillId="0" borderId="4" xfId="15" applyFont="true" applyBorder="true" applyAlignment="true" applyProtection="true">
      <alignment horizontal="center" vertical="center" textRotation="0" wrapText="false" indent="0" shrinkToFit="false"/>
      <protection locked="true" hidden="false"/>
    </xf>
    <xf numFmtId="169" fontId="12" fillId="11" borderId="4" xfId="15" applyFont="true" applyBorder="true" applyAlignment="true" applyProtection="true">
      <alignment horizontal="center" vertical="center" textRotation="0" wrapText="false" indent="0" shrinkToFit="false"/>
      <protection locked="true" hidden="false"/>
    </xf>
    <xf numFmtId="166" fontId="8" fillId="0" borderId="4" xfId="17" applyFont="true" applyBorder="true" applyAlignment="true" applyProtection="true">
      <alignment horizontal="right" vertical="center" textRotation="0" wrapText="false" indent="0" shrinkToFit="false"/>
      <protection locked="true" hidden="false"/>
    </xf>
    <xf numFmtId="164" fontId="8" fillId="0" borderId="16" xfId="23" applyFont="true" applyBorder="true" applyAlignment="true" applyProtection="false">
      <alignment horizontal="general" vertical="center" textRotation="0" wrapText="true" indent="0" shrinkToFit="false"/>
      <protection locked="true" hidden="false"/>
    </xf>
    <xf numFmtId="164" fontId="8" fillId="0" borderId="24" xfId="23" applyFont="true" applyBorder="true" applyAlignment="true" applyProtection="false">
      <alignment horizontal="general" vertical="center" textRotation="0" wrapText="false" indent="0" shrinkToFit="false"/>
      <protection locked="true" hidden="false"/>
    </xf>
    <xf numFmtId="171" fontId="8" fillId="0" borderId="65" xfId="23" applyFont="true" applyBorder="true" applyAlignment="true" applyProtection="false">
      <alignment horizontal="center" vertical="center" textRotation="0" wrapText="false" indent="0" shrinkToFit="false"/>
      <protection locked="true" hidden="false"/>
    </xf>
    <xf numFmtId="179" fontId="8" fillId="0" borderId="28" xfId="23" applyFont="true" applyBorder="true" applyAlignment="true" applyProtection="false">
      <alignment horizontal="center" vertical="center" textRotation="0" wrapText="false" indent="0" shrinkToFit="false"/>
      <protection locked="true" hidden="false"/>
    </xf>
    <xf numFmtId="179" fontId="8" fillId="0" borderId="25" xfId="23" applyFont="true" applyBorder="true" applyAlignment="true" applyProtection="false">
      <alignment horizontal="center" vertical="center" textRotation="0" wrapText="false" indent="0" shrinkToFit="false"/>
      <protection locked="true" hidden="false"/>
    </xf>
    <xf numFmtId="179" fontId="8" fillId="0" borderId="27" xfId="23" applyFont="true" applyBorder="true" applyAlignment="true" applyProtection="false">
      <alignment horizontal="center" vertical="center" textRotation="0" wrapText="false" indent="0" shrinkToFit="false"/>
      <protection locked="true" hidden="false"/>
    </xf>
    <xf numFmtId="166" fontId="8" fillId="0" borderId="41" xfId="17" applyFont="true" applyBorder="true" applyAlignment="true" applyProtection="true">
      <alignment horizontal="right" vertical="center" textRotation="0" wrapText="false" indent="0" shrinkToFit="false"/>
      <protection locked="true" hidden="false"/>
    </xf>
    <xf numFmtId="164" fontId="25" fillId="11" borderId="9" xfId="23" applyFont="true" applyBorder="true" applyAlignment="true" applyProtection="false">
      <alignment horizontal="center" vertical="center" textRotation="0" wrapText="true" indent="0" shrinkToFit="false"/>
      <protection locked="true" hidden="false"/>
    </xf>
    <xf numFmtId="171" fontId="25" fillId="11" borderId="24" xfId="23" applyFont="true" applyBorder="true" applyAlignment="true" applyProtection="false">
      <alignment horizontal="center" vertical="center" textRotation="0" wrapText="false" indent="0" shrinkToFit="false"/>
      <protection locked="true" hidden="false"/>
    </xf>
    <xf numFmtId="179" fontId="25" fillId="11" borderId="65" xfId="23" applyFont="true" applyBorder="true" applyAlignment="true" applyProtection="false">
      <alignment horizontal="center" vertical="center" textRotation="0" wrapText="false" indent="0" shrinkToFit="false"/>
      <protection locked="true" hidden="false"/>
    </xf>
    <xf numFmtId="179" fontId="25" fillId="11" borderId="23" xfId="23" applyFont="true" applyBorder="true" applyAlignment="true" applyProtection="false">
      <alignment horizontal="center" vertical="center" textRotation="0" wrapText="false" indent="0" shrinkToFit="false"/>
      <protection locked="true" hidden="false"/>
    </xf>
    <xf numFmtId="179" fontId="25" fillId="11" borderId="24" xfId="23" applyFont="true" applyBorder="true" applyAlignment="true" applyProtection="false">
      <alignment horizontal="center" vertical="center" textRotation="0" wrapText="false" indent="0" shrinkToFit="false"/>
      <protection locked="true" hidden="false"/>
    </xf>
    <xf numFmtId="179" fontId="25" fillId="11" borderId="25" xfId="23" applyFont="true" applyBorder="true" applyAlignment="true" applyProtection="false">
      <alignment horizontal="center" vertical="center" textRotation="0" wrapText="false" indent="0" shrinkToFit="false"/>
      <protection locked="true" hidden="false"/>
    </xf>
    <xf numFmtId="169" fontId="25" fillId="11" borderId="66" xfId="15" applyFont="true" applyBorder="true" applyAlignment="true" applyProtection="true">
      <alignment horizontal="center" vertical="center" textRotation="0" wrapText="false" indent="0" shrinkToFit="false"/>
      <protection locked="true" hidden="false"/>
    </xf>
    <xf numFmtId="179" fontId="25" fillId="11" borderId="66" xfId="23" applyFont="true" applyBorder="true" applyAlignment="true" applyProtection="false">
      <alignment horizontal="center" vertical="center" textRotation="0" wrapText="false" indent="0" shrinkToFit="false"/>
      <protection locked="true" hidden="false"/>
    </xf>
    <xf numFmtId="179" fontId="25" fillId="11" borderId="4" xfId="23" applyFont="true" applyBorder="true" applyAlignment="true" applyProtection="false">
      <alignment horizontal="center" vertical="center" textRotation="0" wrapText="false" indent="0" shrinkToFit="false"/>
      <protection locked="true" hidden="false"/>
    </xf>
    <xf numFmtId="169" fontId="25" fillId="11" borderId="4" xfId="15" applyFont="true" applyBorder="true" applyAlignment="true" applyProtection="true">
      <alignment horizontal="center" vertical="center" textRotation="0" wrapText="false" indent="0" shrinkToFit="false"/>
      <protection locked="true" hidden="false"/>
    </xf>
    <xf numFmtId="179" fontId="25" fillId="11" borderId="18" xfId="23" applyFont="true" applyBorder="true" applyAlignment="true" applyProtection="false">
      <alignment horizontal="center" vertical="center" textRotation="0" wrapText="false" indent="0" shrinkToFit="false"/>
      <protection locked="true" hidden="false"/>
    </xf>
    <xf numFmtId="166" fontId="25" fillId="19" borderId="9" xfId="17" applyFont="true" applyBorder="true" applyAlignment="true" applyProtection="true">
      <alignment horizontal="center" vertical="center" textRotation="0" wrapText="false" indent="0" shrinkToFit="false"/>
      <protection locked="true" hidden="false"/>
    </xf>
    <xf numFmtId="164" fontId="14" fillId="0" borderId="0" xfId="23" applyFont="true" applyBorder="false" applyAlignment="true" applyProtection="false">
      <alignment horizontal="general" vertical="center" textRotation="0" wrapText="false" indent="0" shrinkToFit="false"/>
      <protection locked="true" hidden="false"/>
    </xf>
    <xf numFmtId="164" fontId="16" fillId="0" borderId="0" xfId="23" applyFont="true" applyBorder="false" applyAlignment="false" applyProtection="false">
      <alignment horizontal="general" vertical="bottom" textRotation="0" wrapText="false" indent="0" shrinkToFit="false"/>
      <protection locked="true" hidden="false"/>
    </xf>
    <xf numFmtId="164" fontId="25" fillId="11" borderId="9" xfId="23" applyFont="true" applyBorder="true" applyAlignment="true" applyProtection="false">
      <alignment horizontal="left" vertical="center" textRotation="0" wrapText="false" indent="0" shrinkToFit="false"/>
      <protection locked="true" hidden="false"/>
    </xf>
    <xf numFmtId="166" fontId="13" fillId="11" borderId="47" xfId="17" applyFont="true" applyBorder="true" applyAlignment="true" applyProtection="true">
      <alignment horizontal="general" vertical="center" textRotation="0" wrapText="false" indent="0" shrinkToFit="false"/>
      <protection locked="true" hidden="false"/>
    </xf>
    <xf numFmtId="166" fontId="25" fillId="11" borderId="9" xfId="17" applyFont="true" applyBorder="true" applyAlignment="true" applyProtection="true">
      <alignment horizontal="general" vertical="center" textRotation="0" wrapText="false" indent="0" shrinkToFit="false"/>
      <protection locked="true" hidden="false"/>
    </xf>
    <xf numFmtId="164" fontId="16" fillId="0" borderId="0" xfId="23" applyFont="true" applyBorder="false" applyAlignment="true" applyProtection="false">
      <alignment horizontal="general" vertical="top" textRotation="0" wrapText="false" indent="0" shrinkToFit="false"/>
      <protection locked="true" hidden="false"/>
    </xf>
    <xf numFmtId="164" fontId="20" fillId="0" borderId="45" xfId="23" applyFont="true" applyBorder="true" applyAlignment="true" applyProtection="false">
      <alignment horizontal="left" vertical="bottom" textRotation="0" wrapText="false" indent="0" shrinkToFit="false"/>
      <protection locked="true" hidden="false"/>
    </xf>
    <xf numFmtId="164" fontId="16" fillId="0" borderId="45" xfId="23" applyFont="true" applyBorder="true" applyAlignment="true" applyProtection="false">
      <alignment horizontal="left" vertical="center" textRotation="0" wrapText="false" indent="0" shrinkToFit="false"/>
      <protection locked="true" hidden="false"/>
    </xf>
    <xf numFmtId="164" fontId="16" fillId="0" borderId="47" xfId="23" applyFont="true" applyBorder="true" applyAlignment="true" applyProtection="false">
      <alignment horizontal="left" vertical="top" textRotation="0" wrapText="false" indent="0" shrinkToFit="false"/>
      <protection locked="true" hidden="false"/>
    </xf>
    <xf numFmtId="164" fontId="8" fillId="0" borderId="3" xfId="23" applyFont="true" applyBorder="true" applyAlignment="true" applyProtection="false">
      <alignment horizontal="left" vertical="center" textRotation="0" wrapText="false" indent="0" shrinkToFit="false"/>
      <protection locked="true" hidden="false"/>
    </xf>
    <xf numFmtId="164" fontId="16" fillId="0" borderId="0" xfId="31" applyFont="true" applyBorder="false" applyAlignment="false" applyProtection="false">
      <alignment horizontal="general" vertical="bottom" textRotation="0" wrapText="false" indent="0" shrinkToFit="false"/>
      <protection locked="true" hidden="false"/>
    </xf>
    <xf numFmtId="164" fontId="17" fillId="0" borderId="0" xfId="26" applyFont="true" applyBorder="false" applyAlignment="false" applyProtection="false">
      <alignment horizontal="general" vertical="bottom" textRotation="0" wrapText="false" indent="0" shrinkToFit="false"/>
      <protection locked="true" hidden="false"/>
    </xf>
    <xf numFmtId="164" fontId="49" fillId="11" borderId="4" xfId="31" applyFont="true" applyBorder="true" applyAlignment="true" applyProtection="false">
      <alignment horizontal="center" vertical="center" textRotation="0" wrapText="true" indent="0" shrinkToFit="false"/>
      <protection locked="true" hidden="false"/>
    </xf>
    <xf numFmtId="164" fontId="13" fillId="0" borderId="0" xfId="31" applyFont="true" applyBorder="false" applyAlignment="false" applyProtection="false">
      <alignment horizontal="general" vertical="bottom" textRotation="0" wrapText="false" indent="0" shrinkToFit="false"/>
      <protection locked="true" hidden="false"/>
    </xf>
    <xf numFmtId="164" fontId="33" fillId="6" borderId="4" xfId="31" applyFont="true" applyBorder="true" applyAlignment="true" applyProtection="false">
      <alignment horizontal="center" vertical="center" textRotation="0" wrapText="false" indent="0" shrinkToFit="false"/>
      <protection locked="true" hidden="false"/>
    </xf>
    <xf numFmtId="174" fontId="40" fillId="6" borderId="4" xfId="31" applyFont="true" applyBorder="true" applyAlignment="true" applyProtection="false">
      <alignment horizontal="center" vertical="center" textRotation="0" wrapText="false" indent="0" shrinkToFit="false"/>
      <protection locked="true" hidden="false"/>
    </xf>
    <xf numFmtId="176" fontId="50" fillId="6" borderId="4" xfId="31" applyFont="true" applyBorder="true" applyAlignment="true" applyProtection="true">
      <alignment horizontal="center" vertical="center" textRotation="0" wrapText="true" indent="0" shrinkToFit="false"/>
      <protection locked="false" hidden="false"/>
    </xf>
    <xf numFmtId="176" fontId="33" fillId="6" borderId="4" xfId="31" applyFont="true" applyBorder="true" applyAlignment="true" applyProtection="false">
      <alignment horizontal="center" vertical="center" textRotation="0" wrapText="true" indent="0" shrinkToFit="false"/>
      <protection locked="true" hidden="false"/>
    </xf>
    <xf numFmtId="164" fontId="33" fillId="0" borderId="4" xfId="31" applyFont="true" applyBorder="true" applyAlignment="true" applyProtection="false">
      <alignment horizontal="center" vertical="center" textRotation="0" wrapText="true" indent="0" shrinkToFit="false"/>
      <protection locked="true" hidden="false"/>
    </xf>
    <xf numFmtId="164" fontId="33" fillId="6" borderId="4" xfId="31" applyFont="true" applyBorder="true" applyAlignment="true" applyProtection="false">
      <alignment horizontal="center" vertical="center" textRotation="0" wrapText="true" indent="0" shrinkToFit="false"/>
      <protection locked="true" hidden="false"/>
    </xf>
    <xf numFmtId="164" fontId="33" fillId="0" borderId="0" xfId="31" applyFont="true" applyBorder="false" applyAlignment="true" applyProtection="false">
      <alignment horizontal="general" vertical="center" textRotation="0" wrapText="false" indent="0" shrinkToFit="false"/>
      <protection locked="true" hidden="false"/>
    </xf>
    <xf numFmtId="164" fontId="40" fillId="6" borderId="4" xfId="31" applyFont="true" applyBorder="true" applyAlignment="true" applyProtection="false">
      <alignment horizontal="center" vertical="center" textRotation="0" wrapText="false" indent="0" shrinkToFit="false"/>
      <protection locked="true" hidden="false"/>
    </xf>
    <xf numFmtId="164" fontId="40" fillId="6" borderId="4" xfId="31" applyFont="true" applyBorder="true" applyAlignment="true" applyProtection="false">
      <alignment horizontal="left" vertical="center" textRotation="0" wrapText="true" indent="0" shrinkToFit="false"/>
      <protection locked="true" hidden="false"/>
    </xf>
    <xf numFmtId="164" fontId="50" fillId="6" borderId="4" xfId="31" applyFont="true" applyBorder="true" applyAlignment="true" applyProtection="true">
      <alignment horizontal="center" vertical="center" textRotation="0" wrapText="false" indent="0" shrinkToFit="false"/>
      <protection locked="false" hidden="false"/>
    </xf>
    <xf numFmtId="164" fontId="14" fillId="0" borderId="0" xfId="31" applyFont="true" applyBorder="false" applyAlignment="false" applyProtection="false">
      <alignment horizontal="general" vertical="bottom" textRotation="0" wrapText="false" indent="0" shrinkToFit="false"/>
      <protection locked="true" hidden="false"/>
    </xf>
    <xf numFmtId="164" fontId="51" fillId="20" borderId="4" xfId="31" applyFont="true" applyBorder="true" applyAlignment="true" applyProtection="false">
      <alignment horizontal="center" vertical="center" textRotation="0" wrapText="false" indent="0" shrinkToFit="false"/>
      <protection locked="true" hidden="false"/>
    </xf>
    <xf numFmtId="164" fontId="51" fillId="20" borderId="4" xfId="31" applyFont="true" applyBorder="true" applyAlignment="true" applyProtection="false">
      <alignment horizontal="left" vertical="center" textRotation="0" wrapText="false" indent="0" shrinkToFit="false"/>
      <protection locked="true" hidden="false"/>
    </xf>
    <xf numFmtId="179" fontId="51" fillId="20" borderId="4" xfId="31" applyFont="true" applyBorder="true" applyAlignment="true" applyProtection="false">
      <alignment horizontal="general" vertical="center" textRotation="0" wrapText="false" indent="0" shrinkToFit="false"/>
      <protection locked="true" hidden="false"/>
    </xf>
    <xf numFmtId="164" fontId="16" fillId="0" borderId="4" xfId="31" applyFont="true" applyBorder="true" applyAlignment="true" applyProtection="false">
      <alignment horizontal="center" vertical="center" textRotation="0" wrapText="false" indent="0" shrinkToFit="false"/>
      <protection locked="true" hidden="false"/>
    </xf>
    <xf numFmtId="164" fontId="16" fillId="0" borderId="4" xfId="31" applyFont="true" applyBorder="true" applyAlignment="true" applyProtection="false">
      <alignment horizontal="left" vertical="center" textRotation="0" wrapText="false" indent="0" shrinkToFit="false"/>
      <protection locked="true" hidden="false"/>
    </xf>
    <xf numFmtId="174" fontId="16" fillId="0" borderId="4" xfId="31" applyFont="true" applyBorder="true" applyAlignment="true" applyProtection="false">
      <alignment horizontal="center" vertical="center" textRotation="0" wrapText="false" indent="0" shrinkToFit="false"/>
      <protection locked="true" hidden="false"/>
    </xf>
    <xf numFmtId="179" fontId="16" fillId="6" borderId="4" xfId="50" applyFont="true" applyBorder="true" applyAlignment="true" applyProtection="true">
      <alignment horizontal="general" vertical="center" textRotation="0" wrapText="false" indent="0" shrinkToFit="false"/>
      <protection locked="true" hidden="false"/>
    </xf>
    <xf numFmtId="174" fontId="42" fillId="0" borderId="4" xfId="31" applyFont="true" applyBorder="true" applyAlignment="true" applyProtection="false">
      <alignment horizontal="center" vertical="center" textRotation="0" wrapText="false" indent="0" shrinkToFit="false"/>
      <protection locked="true" hidden="false"/>
    </xf>
    <xf numFmtId="164" fontId="40" fillId="0" borderId="4" xfId="31" applyFont="true" applyBorder="true" applyAlignment="true" applyProtection="false">
      <alignment horizontal="left" vertical="center" textRotation="0" wrapText="true" indent="0" shrinkToFit="false"/>
      <protection locked="true" hidden="false"/>
    </xf>
    <xf numFmtId="174" fontId="40" fillId="0" borderId="4" xfId="31" applyFont="true" applyBorder="true" applyAlignment="true" applyProtection="false">
      <alignment horizontal="center" vertical="center" textRotation="0" wrapText="false" indent="0" shrinkToFit="false"/>
      <protection locked="true" hidden="false"/>
    </xf>
    <xf numFmtId="179" fontId="14" fillId="6" borderId="4" xfId="50" applyFont="true" applyBorder="true" applyAlignment="true" applyProtection="true">
      <alignment horizontal="right" vertical="center" textRotation="0" wrapText="false" indent="0" shrinkToFit="false"/>
      <protection locked="true" hidden="false"/>
    </xf>
    <xf numFmtId="164" fontId="40" fillId="11" borderId="4" xfId="31" applyFont="true" applyBorder="true" applyAlignment="true" applyProtection="true">
      <alignment horizontal="center" vertical="center" textRotation="0" wrapText="false" indent="0" shrinkToFit="false"/>
      <protection locked="false" hidden="false"/>
    </xf>
    <xf numFmtId="164" fontId="40" fillId="11" borderId="4" xfId="31" applyFont="true" applyBorder="true" applyAlignment="true" applyProtection="true">
      <alignment horizontal="general" vertical="center" textRotation="0" wrapText="false" indent="0" shrinkToFit="false"/>
      <protection locked="false" hidden="false"/>
    </xf>
    <xf numFmtId="164" fontId="16" fillId="0" borderId="4" xfId="31" applyFont="true" applyBorder="true" applyAlignment="true" applyProtection="true">
      <alignment horizontal="center" vertical="center" textRotation="0" wrapText="false" indent="0" shrinkToFit="false"/>
      <protection locked="false" hidden="false"/>
    </xf>
    <xf numFmtId="164" fontId="16" fillId="0" borderId="4" xfId="31" applyFont="true" applyBorder="true" applyAlignment="true" applyProtection="true">
      <alignment horizontal="left" vertical="center" textRotation="0" wrapText="false" indent="0" shrinkToFit="false"/>
      <protection locked="false" hidden="false"/>
    </xf>
    <xf numFmtId="164" fontId="16" fillId="0" borderId="4" xfId="31" applyFont="true" applyBorder="true" applyAlignment="true" applyProtection="true">
      <alignment horizontal="general" vertical="center" textRotation="0" wrapText="false" indent="0" shrinkToFit="false"/>
      <protection locked="false" hidden="false"/>
    </xf>
    <xf numFmtId="179" fontId="16" fillId="0" borderId="4" xfId="31" applyFont="true" applyBorder="true" applyAlignment="true" applyProtection="true">
      <alignment horizontal="general" vertical="center" textRotation="0" wrapText="false" indent="0" shrinkToFit="false"/>
      <protection locked="false" hidden="false"/>
    </xf>
    <xf numFmtId="179" fontId="16" fillId="0" borderId="4" xfId="31" applyFont="true" applyBorder="true" applyAlignment="false" applyProtection="false">
      <alignment horizontal="general" vertical="bottom" textRotation="0" wrapText="false" indent="0" shrinkToFit="false"/>
      <protection locked="true" hidden="false"/>
    </xf>
    <xf numFmtId="164" fontId="40" fillId="0" borderId="4" xfId="31" applyFont="true" applyBorder="true" applyAlignment="true" applyProtection="true">
      <alignment horizontal="left" vertical="center" textRotation="0" wrapText="false" indent="0" shrinkToFit="false"/>
      <protection locked="false" hidden="false"/>
    </xf>
    <xf numFmtId="179" fontId="40" fillId="0" borderId="4" xfId="31" applyFont="true" applyBorder="true" applyAlignment="true" applyProtection="true">
      <alignment horizontal="general" vertical="center" textRotation="0" wrapText="false" indent="0" shrinkToFit="false"/>
      <protection locked="false" hidden="false"/>
    </xf>
    <xf numFmtId="164" fontId="40" fillId="11" borderId="4" xfId="31" applyFont="true" applyBorder="true" applyAlignment="true" applyProtection="true">
      <alignment horizontal="left" vertical="center" textRotation="0" wrapText="true" indent="0" shrinkToFit="false"/>
      <protection locked="false" hidden="false"/>
    </xf>
    <xf numFmtId="174" fontId="40" fillId="11" borderId="4" xfId="31" applyFont="true" applyBorder="true" applyAlignment="true" applyProtection="false">
      <alignment horizontal="center" vertical="center" textRotation="0" wrapText="false" indent="0" shrinkToFit="false"/>
      <protection locked="true" hidden="false"/>
    </xf>
    <xf numFmtId="164" fontId="40" fillId="11" borderId="18" xfId="31" applyFont="true" applyBorder="true" applyAlignment="true" applyProtection="true">
      <alignment horizontal="general" vertical="center" textRotation="0" wrapText="false" indent="0" shrinkToFit="false"/>
      <protection locked="false" hidden="false"/>
    </xf>
    <xf numFmtId="164" fontId="40" fillId="11" borderId="64" xfId="31" applyFont="true" applyBorder="true" applyAlignment="true" applyProtection="true">
      <alignment horizontal="general" vertical="center" textRotation="0" wrapText="false" indent="0" shrinkToFit="false"/>
      <protection locked="false" hidden="false"/>
    </xf>
    <xf numFmtId="164" fontId="16" fillId="0" borderId="4" xfId="31" applyFont="true" applyBorder="true" applyAlignment="true" applyProtection="true">
      <alignment horizontal="left" vertical="center" textRotation="0" wrapText="true" indent="0" shrinkToFit="false"/>
      <protection locked="false" hidden="false"/>
    </xf>
    <xf numFmtId="174" fontId="16" fillId="0" borderId="4" xfId="31" applyFont="true" applyBorder="true" applyAlignment="true" applyProtection="true">
      <alignment horizontal="general" vertical="center" textRotation="0" wrapText="false" indent="0" shrinkToFit="false"/>
      <protection locked="false" hidden="false"/>
    </xf>
    <xf numFmtId="179" fontId="16" fillId="6" borderId="4" xfId="31" applyFont="true" applyBorder="true" applyAlignment="true" applyProtection="false">
      <alignment horizontal="right" vertical="center" textRotation="0" wrapText="false" indent="0" shrinkToFit="false"/>
      <protection locked="true" hidden="false"/>
    </xf>
    <xf numFmtId="164" fontId="40" fillId="0" borderId="4" xfId="31" applyFont="true" applyBorder="true" applyAlignment="true" applyProtection="true">
      <alignment horizontal="center" vertical="center" textRotation="0" wrapText="false" indent="0" shrinkToFit="false"/>
      <protection locked="false" hidden="false"/>
    </xf>
    <xf numFmtId="164" fontId="14" fillId="0" borderId="4" xfId="31" applyFont="true" applyBorder="true" applyAlignment="true" applyProtection="true">
      <alignment horizontal="left" vertical="center" textRotation="0" wrapText="true" indent="0" shrinkToFit="false"/>
      <protection locked="false" hidden="false"/>
    </xf>
    <xf numFmtId="174" fontId="40" fillId="0" borderId="4" xfId="31" applyFont="true" applyBorder="true" applyAlignment="true" applyProtection="true">
      <alignment horizontal="general" vertical="center" textRotation="0" wrapText="false" indent="0" shrinkToFit="false"/>
      <protection locked="false" hidden="false"/>
    </xf>
    <xf numFmtId="179" fontId="40" fillId="6" borderId="4" xfId="31" applyFont="true" applyBorder="true" applyAlignment="true" applyProtection="true">
      <alignment horizontal="right" vertical="center" textRotation="0" wrapText="false" indent="0" shrinkToFit="false"/>
      <protection locked="false" hidden="false"/>
    </xf>
    <xf numFmtId="164" fontId="16" fillId="6" borderId="4" xfId="31" applyFont="true" applyBorder="true" applyAlignment="true" applyProtection="true">
      <alignment horizontal="center" vertical="center" textRotation="0" wrapText="false" indent="0" shrinkToFit="false"/>
      <protection locked="false" hidden="false"/>
    </xf>
    <xf numFmtId="164" fontId="40" fillId="0" borderId="4" xfId="31" applyFont="true" applyBorder="true" applyAlignment="true" applyProtection="true">
      <alignment horizontal="general" vertical="center" textRotation="0" wrapText="false" indent="0" shrinkToFit="false"/>
      <protection locked="false" hidden="false"/>
    </xf>
    <xf numFmtId="179" fontId="40" fillId="0" borderId="4" xfId="31" applyFont="true" applyBorder="true" applyAlignment="true" applyProtection="true">
      <alignment horizontal="right" vertical="center" textRotation="0" wrapText="false" indent="0" shrinkToFit="false"/>
      <protection locked="false" hidden="false"/>
    </xf>
    <xf numFmtId="164" fontId="40" fillId="11" borderId="4" xfId="31" applyFont="true" applyBorder="true" applyAlignment="true" applyProtection="false">
      <alignment horizontal="center" vertical="center" textRotation="0" wrapText="false" indent="0" shrinkToFit="false"/>
      <protection locked="true" hidden="false"/>
    </xf>
    <xf numFmtId="164" fontId="40" fillId="11" borderId="4" xfId="31" applyFont="true" applyBorder="true" applyAlignment="true" applyProtection="false">
      <alignment horizontal="general" vertical="center" textRotation="0" wrapText="false" indent="0" shrinkToFit="false"/>
      <protection locked="true" hidden="false"/>
    </xf>
    <xf numFmtId="164" fontId="16" fillId="0" borderId="4" xfId="31" applyFont="true" applyBorder="true" applyAlignment="true" applyProtection="false">
      <alignment horizontal="general" vertical="center" textRotation="0" wrapText="false" indent="0" shrinkToFit="false"/>
      <protection locked="true" hidden="false"/>
    </xf>
    <xf numFmtId="179" fontId="42" fillId="6" borderId="4" xfId="31" applyFont="true" applyBorder="true" applyAlignment="true" applyProtection="false">
      <alignment horizontal="general" vertical="center" textRotation="0" wrapText="false" indent="0" shrinkToFit="false"/>
      <protection locked="true" hidden="false"/>
    </xf>
    <xf numFmtId="164" fontId="40" fillId="0" borderId="4" xfId="31" applyFont="true" applyBorder="true" applyAlignment="true" applyProtection="false">
      <alignment horizontal="left" vertical="center" textRotation="0" wrapText="false" indent="0" shrinkToFit="false"/>
      <protection locked="true" hidden="false"/>
    </xf>
    <xf numFmtId="164" fontId="40" fillId="0" borderId="4" xfId="31" applyFont="true" applyBorder="true" applyAlignment="true" applyProtection="false">
      <alignment horizontal="general" vertical="center" textRotation="0" wrapText="false" indent="0" shrinkToFit="false"/>
      <protection locked="true" hidden="false"/>
    </xf>
    <xf numFmtId="179" fontId="40" fillId="6" borderId="4" xfId="31" applyFont="true" applyBorder="true" applyAlignment="true" applyProtection="false">
      <alignment horizontal="general" vertical="center" textRotation="0" wrapText="false" indent="0" shrinkToFit="false"/>
      <protection locked="true" hidden="false"/>
    </xf>
    <xf numFmtId="179" fontId="40" fillId="11" borderId="4" xfId="31" applyFont="true" applyBorder="true" applyAlignment="true" applyProtection="false">
      <alignment horizontal="general" vertical="center" textRotation="0" wrapText="false" indent="0" shrinkToFit="false"/>
      <protection locked="true" hidden="false"/>
    </xf>
    <xf numFmtId="179" fontId="16" fillId="0" borderId="0" xfId="26" applyFont="true" applyBorder="false" applyAlignment="true" applyProtection="false">
      <alignment horizontal="center" vertical="bottom" textRotation="0" wrapText="false" indent="0" shrinkToFit="false"/>
      <protection locked="true" hidden="false"/>
    </xf>
    <xf numFmtId="164" fontId="9" fillId="0" borderId="1" xfId="26" applyFont="true" applyBorder="true" applyAlignment="true" applyProtection="false">
      <alignment horizontal="general" vertical="center" textRotation="0" wrapText="false" indent="0" shrinkToFit="false"/>
      <protection locked="true" hidden="false"/>
    </xf>
    <xf numFmtId="164" fontId="16" fillId="0" borderId="2" xfId="26" applyFont="true" applyBorder="true" applyAlignment="true" applyProtection="false">
      <alignment horizontal="general" vertical="center" textRotation="0" wrapText="false" indent="0" shrinkToFit="false"/>
      <protection locked="true" hidden="false"/>
    </xf>
    <xf numFmtId="179" fontId="16" fillId="0" borderId="2" xfId="26" applyFont="true" applyBorder="true" applyAlignment="true" applyProtection="false">
      <alignment horizontal="center" vertical="center" textRotation="0" wrapText="false" indent="0" shrinkToFit="false"/>
      <protection locked="true" hidden="false"/>
    </xf>
    <xf numFmtId="179" fontId="16" fillId="0" borderId="2" xfId="26" applyFont="true" applyBorder="true" applyAlignment="true" applyProtection="false">
      <alignment horizontal="center" vertical="bottom" textRotation="0" wrapText="false" indent="0" shrinkToFit="false"/>
      <protection locked="true" hidden="false"/>
    </xf>
    <xf numFmtId="179" fontId="16" fillId="0" borderId="43" xfId="26" applyFont="true" applyBorder="true" applyAlignment="true" applyProtection="false">
      <alignment horizontal="center" vertical="bottom" textRotation="0" wrapText="false" indent="0" shrinkToFit="false"/>
      <protection locked="true" hidden="false"/>
    </xf>
    <xf numFmtId="164" fontId="9" fillId="0" borderId="3" xfId="26" applyFont="true" applyBorder="true" applyAlignment="true" applyProtection="false">
      <alignment horizontal="general" vertical="center" textRotation="0" wrapText="false" indent="0" shrinkToFit="false"/>
      <protection locked="true" hidden="false"/>
    </xf>
    <xf numFmtId="179" fontId="16" fillId="0" borderId="0" xfId="26" applyFont="true" applyBorder="false" applyAlignment="true" applyProtection="false">
      <alignment horizontal="center" vertical="center" textRotation="0" wrapText="false" indent="0" shrinkToFit="false"/>
      <protection locked="true" hidden="false"/>
    </xf>
    <xf numFmtId="179" fontId="16" fillId="0" borderId="44" xfId="26" applyFont="true" applyBorder="true" applyAlignment="true" applyProtection="false">
      <alignment horizontal="center" vertical="bottom" textRotation="0" wrapText="false" indent="0" shrinkToFit="false"/>
      <protection locked="true" hidden="false"/>
    </xf>
    <xf numFmtId="164" fontId="17" fillId="0" borderId="3" xfId="26" applyFont="true" applyBorder="true" applyAlignment="false" applyProtection="false">
      <alignment horizontal="general" vertical="bottom" textRotation="0" wrapText="false" indent="0" shrinkToFit="false"/>
      <protection locked="true" hidden="false"/>
    </xf>
    <xf numFmtId="164" fontId="25" fillId="11" borderId="9" xfId="26" applyFont="true" applyBorder="true" applyAlignment="true" applyProtection="false">
      <alignment horizontal="center" vertical="center" textRotation="0" wrapText="true" indent="0" shrinkToFit="false"/>
      <protection locked="true" hidden="false"/>
    </xf>
    <xf numFmtId="164" fontId="25" fillId="11" borderId="45" xfId="26" applyFont="true" applyBorder="true" applyAlignment="true" applyProtection="false">
      <alignment horizontal="center" vertical="center" textRotation="0" wrapText="false" indent="0" shrinkToFit="false"/>
      <protection locked="true" hidden="false"/>
    </xf>
    <xf numFmtId="164" fontId="9" fillId="0" borderId="47" xfId="26" applyFont="true" applyBorder="true" applyAlignment="true" applyProtection="false">
      <alignment horizontal="left" vertical="center" textRotation="0" wrapText="false" indent="0" shrinkToFit="false"/>
      <protection locked="true" hidden="false"/>
    </xf>
    <xf numFmtId="164" fontId="14" fillId="0" borderId="33" xfId="26" applyFont="true" applyBorder="true" applyAlignment="true" applyProtection="false">
      <alignment horizontal="left" vertical="center" textRotation="0" wrapText="false" indent="0" shrinkToFit="false"/>
      <protection locked="true" hidden="false"/>
    </xf>
    <xf numFmtId="179" fontId="33" fillId="11" borderId="9" xfId="26" applyFont="true" applyBorder="true" applyAlignment="true" applyProtection="false">
      <alignment horizontal="center" vertical="center" textRotation="0" wrapText="true" indent="0" shrinkToFit="false"/>
      <protection locked="true" hidden="false"/>
    </xf>
    <xf numFmtId="164" fontId="14" fillId="11" borderId="67" xfId="26" applyFont="true" applyBorder="true" applyAlignment="true" applyProtection="false">
      <alignment horizontal="left" vertical="center" textRotation="0" wrapText="true" indent="0" shrinkToFit="false"/>
      <protection locked="true" hidden="false"/>
    </xf>
    <xf numFmtId="164" fontId="16" fillId="11" borderId="56" xfId="26" applyFont="true" applyBorder="true" applyAlignment="true" applyProtection="false">
      <alignment horizontal="general" vertical="center" textRotation="0" wrapText="true" indent="0" shrinkToFit="false"/>
      <protection locked="true" hidden="false"/>
    </xf>
    <xf numFmtId="164" fontId="14" fillId="11" borderId="33" xfId="26" applyFont="true" applyBorder="true" applyAlignment="true" applyProtection="false">
      <alignment horizontal="center" vertical="center" textRotation="0" wrapText="false" indent="0" shrinkToFit="false"/>
      <protection locked="true" hidden="false"/>
    </xf>
    <xf numFmtId="164" fontId="17" fillId="0" borderId="17" xfId="26" applyFont="true" applyBorder="true" applyAlignment="true" applyProtection="false">
      <alignment horizontal="center" vertical="center" textRotation="0" wrapText="false" indent="0" shrinkToFit="false"/>
      <protection locked="true" hidden="false"/>
    </xf>
    <xf numFmtId="164" fontId="17" fillId="0" borderId="4" xfId="26" applyFont="true" applyBorder="true" applyAlignment="true" applyProtection="false">
      <alignment horizontal="center" vertical="center" textRotation="0" wrapText="false" indent="0" shrinkToFit="false"/>
      <protection locked="true" hidden="false"/>
    </xf>
    <xf numFmtId="164" fontId="17" fillId="0" borderId="4" xfId="26" applyFont="true" applyBorder="true" applyAlignment="true" applyProtection="false">
      <alignment horizontal="center" vertical="center" textRotation="0" wrapText="true" indent="0" shrinkToFit="false"/>
      <protection locked="true" hidden="false"/>
    </xf>
    <xf numFmtId="164" fontId="17" fillId="0" borderId="50" xfId="26" applyFont="true" applyBorder="true" applyAlignment="true" applyProtection="false">
      <alignment horizontal="center" vertical="center" textRotation="0" wrapText="false" indent="0" shrinkToFit="false"/>
      <protection locked="true" hidden="false"/>
    </xf>
    <xf numFmtId="179" fontId="17" fillId="0" borderId="19" xfId="26" applyFont="true" applyBorder="true" applyAlignment="true" applyProtection="false">
      <alignment horizontal="center" vertical="center" textRotation="0" wrapText="true" indent="0" shrinkToFit="false"/>
      <protection locked="true" hidden="false"/>
    </xf>
    <xf numFmtId="164" fontId="16" fillId="0" borderId="46" xfId="26" applyFont="true" applyBorder="true" applyAlignment="true" applyProtection="false">
      <alignment horizontal="center" vertical="center" textRotation="0" wrapText="false" indent="0" shrinkToFit="false"/>
      <protection locked="true" hidden="false"/>
    </xf>
    <xf numFmtId="164" fontId="16" fillId="0" borderId="4" xfId="26" applyFont="true" applyBorder="true" applyAlignment="true" applyProtection="true">
      <alignment horizontal="left" vertical="center" textRotation="0" wrapText="false" indent="0" shrinkToFit="false"/>
      <protection locked="false" hidden="false"/>
    </xf>
    <xf numFmtId="171" fontId="16" fillId="0" borderId="4" xfId="26" applyFont="true" applyBorder="true" applyAlignment="true" applyProtection="true">
      <alignment horizontal="center" vertical="center" textRotation="0" wrapText="false" indent="0" shrinkToFit="false"/>
      <protection locked="false" hidden="false"/>
    </xf>
    <xf numFmtId="179" fontId="16" fillId="11" borderId="4" xfId="41" applyFont="true" applyBorder="true" applyAlignment="true" applyProtection="true">
      <alignment horizontal="center" vertical="center" textRotation="0" wrapText="false" indent="0" shrinkToFit="false"/>
      <protection locked="true" hidden="false"/>
    </xf>
    <xf numFmtId="179" fontId="16" fillId="0" borderId="4" xfId="41" applyFont="true" applyBorder="true" applyAlignment="true" applyProtection="true">
      <alignment horizontal="center" vertical="center" textRotation="0" wrapText="false" indent="0" shrinkToFit="false"/>
      <protection locked="true" hidden="false"/>
    </xf>
    <xf numFmtId="179" fontId="16" fillId="0" borderId="19" xfId="41" applyFont="true" applyBorder="true" applyAlignment="true" applyProtection="true">
      <alignment horizontal="center" vertical="center" textRotation="0" wrapText="false" indent="0" shrinkToFit="false"/>
      <protection locked="true" hidden="false"/>
    </xf>
    <xf numFmtId="164" fontId="16" fillId="0" borderId="4" xfId="26" applyFont="true" applyBorder="true" applyAlignment="true" applyProtection="true">
      <alignment horizontal="left" vertical="center" textRotation="0" wrapText="true" indent="0" shrinkToFit="false"/>
      <protection locked="false" hidden="false"/>
    </xf>
    <xf numFmtId="169" fontId="16" fillId="0" borderId="4" xfId="26" applyFont="true" applyBorder="true" applyAlignment="true" applyProtection="true">
      <alignment horizontal="center" vertical="center" textRotation="0" wrapText="false" indent="0" shrinkToFit="false"/>
      <protection locked="false" hidden="false"/>
    </xf>
    <xf numFmtId="164" fontId="16" fillId="0" borderId="41" xfId="26" applyFont="true" applyBorder="true" applyAlignment="true" applyProtection="true">
      <alignment horizontal="general" vertical="center" textRotation="0" wrapText="true" indent="0" shrinkToFit="false"/>
      <protection locked="false" hidden="false"/>
    </xf>
    <xf numFmtId="174" fontId="16" fillId="0" borderId="41" xfId="26" applyFont="true" applyBorder="true" applyAlignment="true" applyProtection="true">
      <alignment horizontal="center" vertical="center" textRotation="0" wrapText="false" indent="0" shrinkToFit="false"/>
      <protection locked="false" hidden="false"/>
    </xf>
    <xf numFmtId="179" fontId="16" fillId="11" borderId="41" xfId="41" applyFont="true" applyBorder="true" applyAlignment="true" applyProtection="true">
      <alignment horizontal="center" vertical="center" textRotation="0" wrapText="false" indent="0" shrinkToFit="false"/>
      <protection locked="true" hidden="false"/>
    </xf>
    <xf numFmtId="179" fontId="16" fillId="0" borderId="41" xfId="41" applyFont="true" applyBorder="true" applyAlignment="true" applyProtection="true">
      <alignment horizontal="center" vertical="center" textRotation="0" wrapText="false" indent="0" shrinkToFit="false"/>
      <protection locked="true" hidden="false"/>
    </xf>
    <xf numFmtId="179" fontId="16" fillId="0" borderId="53" xfId="41" applyFont="true" applyBorder="true" applyAlignment="true" applyProtection="true">
      <alignment horizontal="center" vertical="center" textRotation="0" wrapText="false" indent="0" shrinkToFit="false"/>
      <protection locked="true" hidden="false"/>
    </xf>
    <xf numFmtId="164" fontId="14" fillId="11" borderId="4" xfId="26" applyFont="true" applyBorder="true" applyAlignment="true" applyProtection="false">
      <alignment horizontal="left" vertical="center" textRotation="0" wrapText="false" indent="0" shrinkToFit="false"/>
      <protection locked="true" hidden="false"/>
    </xf>
    <xf numFmtId="179" fontId="14" fillId="11" borderId="4" xfId="41" applyFont="true" applyBorder="true" applyAlignment="true" applyProtection="true">
      <alignment horizontal="center" vertical="center" textRotation="0" wrapText="false" indent="0" shrinkToFit="false"/>
      <protection locked="true" hidden="false"/>
    </xf>
    <xf numFmtId="179" fontId="14" fillId="11" borderId="19" xfId="41" applyFont="true" applyBorder="true" applyAlignment="true" applyProtection="true">
      <alignment horizontal="center" vertical="center" textRotation="0" wrapText="false" indent="0" shrinkToFit="false"/>
      <protection locked="true" hidden="false"/>
    </xf>
    <xf numFmtId="164" fontId="16" fillId="0" borderId="68" xfId="26" applyFont="true" applyBorder="true" applyAlignment="true" applyProtection="false">
      <alignment horizontal="left" vertical="center" textRotation="0" wrapText="false" indent="0" shrinkToFit="false"/>
      <protection locked="true" hidden="false"/>
    </xf>
    <xf numFmtId="174" fontId="16" fillId="0" borderId="12" xfId="26" applyFont="true" applyBorder="true" applyAlignment="true" applyProtection="true">
      <alignment horizontal="center" vertical="center" textRotation="0" wrapText="false" indent="0" shrinkToFit="false"/>
      <protection locked="false" hidden="false"/>
    </xf>
    <xf numFmtId="167" fontId="14" fillId="11" borderId="58" xfId="35" applyFont="true" applyBorder="true" applyAlignment="true" applyProtection="true">
      <alignment horizontal="left" vertical="center" textRotation="0" wrapText="false" indent="0" shrinkToFit="false"/>
      <protection locked="true" hidden="false"/>
    </xf>
    <xf numFmtId="179" fontId="14" fillId="11" borderId="7" xfId="41" applyFont="true" applyBorder="true" applyAlignment="true" applyProtection="true">
      <alignment horizontal="center" vertical="center" textRotation="0" wrapText="false" indent="0" shrinkToFit="false"/>
      <protection locked="true" hidden="false"/>
    </xf>
    <xf numFmtId="179" fontId="14" fillId="11" borderId="8" xfId="41" applyFont="true" applyBorder="true" applyAlignment="true" applyProtection="true">
      <alignment horizontal="center" vertical="center" textRotation="0" wrapText="false" indent="0" shrinkToFit="false"/>
      <protection locked="true" hidden="false"/>
    </xf>
    <xf numFmtId="164" fontId="14" fillId="11" borderId="15" xfId="26" applyFont="true" applyBorder="true" applyAlignment="true" applyProtection="false">
      <alignment horizontal="center" vertical="center" textRotation="0" wrapText="false" indent="0" shrinkToFit="false"/>
      <protection locked="true" hidden="false"/>
    </xf>
    <xf numFmtId="164" fontId="16" fillId="0" borderId="17" xfId="26" applyFont="true" applyBorder="true" applyAlignment="true" applyProtection="false">
      <alignment horizontal="center" vertical="center" textRotation="0" wrapText="false" indent="0" shrinkToFit="false"/>
      <protection locked="true" hidden="false"/>
    </xf>
    <xf numFmtId="164" fontId="16" fillId="0" borderId="4" xfId="26" applyFont="true" applyBorder="true" applyAlignment="true" applyProtection="false">
      <alignment horizontal="center" vertical="center" textRotation="0" wrapText="false" indent="0" shrinkToFit="false"/>
      <protection locked="true" hidden="false"/>
    </xf>
    <xf numFmtId="179" fontId="16" fillId="0" borderId="19" xfId="26" applyFont="true" applyBorder="true" applyAlignment="true" applyProtection="false">
      <alignment horizontal="center" vertical="center" textRotation="0" wrapText="false" indent="0" shrinkToFit="false"/>
      <protection locked="true" hidden="false"/>
    </xf>
    <xf numFmtId="164" fontId="16" fillId="0" borderId="17" xfId="26" applyFont="true" applyBorder="true" applyAlignment="true" applyProtection="false">
      <alignment horizontal="left" vertical="center" textRotation="0" wrapText="false" indent="0" shrinkToFit="false"/>
      <protection locked="true" hidden="false"/>
    </xf>
    <xf numFmtId="172" fontId="16" fillId="0" borderId="4" xfId="26" applyFont="true" applyBorder="true" applyAlignment="true" applyProtection="false">
      <alignment horizontal="center" vertical="center" textRotation="0" wrapText="false" indent="0" shrinkToFit="false"/>
      <protection locked="true" hidden="false"/>
    </xf>
    <xf numFmtId="164" fontId="16" fillId="0" borderId="17" xfId="26" applyFont="true" applyBorder="true" applyAlignment="true" applyProtection="false">
      <alignment horizontal="left" vertical="center" textRotation="0" wrapText="true" indent="0" shrinkToFit="false"/>
      <protection locked="true" hidden="false"/>
    </xf>
    <xf numFmtId="172" fontId="16" fillId="0" borderId="4" xfId="15" applyFont="true" applyBorder="true" applyAlignment="true" applyProtection="true">
      <alignment horizontal="center" vertical="center" textRotation="0" wrapText="false" indent="0" shrinkToFit="false"/>
      <protection locked="true" hidden="false"/>
    </xf>
    <xf numFmtId="172" fontId="16" fillId="0" borderId="4" xfId="41" applyFont="true" applyBorder="true" applyAlignment="true" applyProtection="true">
      <alignment horizontal="center" vertical="center" textRotation="0" wrapText="false" indent="0" shrinkToFit="false"/>
      <protection locked="true" hidden="false"/>
    </xf>
    <xf numFmtId="174" fontId="16" fillId="0" borderId="4" xfId="19" applyFont="true" applyBorder="true" applyAlignment="true" applyProtection="true">
      <alignment horizontal="center" vertical="center" textRotation="0" wrapText="false" indent="0" shrinkToFit="false"/>
      <protection locked="true" hidden="false"/>
    </xf>
    <xf numFmtId="179" fontId="16" fillId="0" borderId="4" xfId="15" applyFont="true" applyBorder="true" applyAlignment="true" applyProtection="true">
      <alignment horizontal="center" vertical="center" textRotation="0" wrapText="false" indent="0" shrinkToFit="false"/>
      <protection locked="false" hidden="false"/>
    </xf>
    <xf numFmtId="168" fontId="16" fillId="0" borderId="0" xfId="41" applyFont="true" applyBorder="true" applyAlignment="true" applyProtection="true">
      <alignment horizontal="general" vertical="center" textRotation="0" wrapText="false" indent="0" shrinkToFit="false"/>
      <protection locked="true" hidden="false"/>
    </xf>
    <xf numFmtId="164" fontId="16" fillId="0" borderId="4" xfId="26" applyFont="true" applyBorder="true" applyAlignment="true" applyProtection="false">
      <alignment horizontal="left" vertical="center" textRotation="0" wrapText="false" indent="0" shrinkToFit="false"/>
      <protection locked="true" hidden="false"/>
    </xf>
    <xf numFmtId="164" fontId="16" fillId="0" borderId="46" xfId="26" applyFont="true" applyBorder="true" applyAlignment="true" applyProtection="false">
      <alignment horizontal="left" vertical="center" textRotation="0" wrapText="false" indent="0" shrinkToFit="false"/>
      <protection locked="true" hidden="false"/>
    </xf>
    <xf numFmtId="172" fontId="16" fillId="0" borderId="41" xfId="15" applyFont="true" applyBorder="true" applyAlignment="true" applyProtection="true">
      <alignment horizontal="center" vertical="center" textRotation="0" wrapText="false" indent="0" shrinkToFit="false"/>
      <protection locked="true" hidden="false"/>
    </xf>
    <xf numFmtId="172" fontId="16" fillId="0" borderId="41" xfId="41" applyFont="true" applyBorder="true" applyAlignment="true" applyProtection="true">
      <alignment horizontal="center" vertical="center" textRotation="0" wrapText="false" indent="0" shrinkToFit="false"/>
      <protection locked="true" hidden="false"/>
    </xf>
    <xf numFmtId="164" fontId="14" fillId="11" borderId="5" xfId="26" applyFont="true" applyBorder="true" applyAlignment="true" applyProtection="false">
      <alignment horizontal="left" vertical="center" textRotation="0" wrapText="false" indent="0" shrinkToFit="false"/>
      <protection locked="true" hidden="false"/>
    </xf>
    <xf numFmtId="164" fontId="16" fillId="0" borderId="18" xfId="26" applyFont="true" applyBorder="true" applyAlignment="true" applyProtection="false">
      <alignment horizontal="center" vertical="center" textRotation="0" wrapText="true" indent="0" shrinkToFit="false"/>
      <protection locked="true" hidden="false"/>
    </xf>
    <xf numFmtId="179" fontId="16" fillId="0" borderId="69" xfId="26" applyFont="true" applyBorder="true" applyAlignment="true" applyProtection="false">
      <alignment horizontal="center" vertical="center" textRotation="0" wrapText="true" indent="0" shrinkToFit="false"/>
      <protection locked="true" hidden="false"/>
    </xf>
    <xf numFmtId="164" fontId="16" fillId="0" borderId="34" xfId="26" applyFont="true" applyBorder="true" applyAlignment="true" applyProtection="false">
      <alignment horizontal="general" vertical="center" textRotation="0" wrapText="false" indent="0" shrinkToFit="false"/>
      <protection locked="true" hidden="false"/>
    </xf>
    <xf numFmtId="164" fontId="16" fillId="0" borderId="64" xfId="26" applyFont="true" applyBorder="true" applyAlignment="true" applyProtection="false">
      <alignment horizontal="general" vertical="center" textRotation="0" wrapText="false" indent="0" shrinkToFit="false"/>
      <protection locked="true" hidden="false"/>
    </xf>
    <xf numFmtId="174" fontId="16" fillId="0" borderId="4" xfId="26" applyFont="true" applyBorder="true" applyAlignment="true" applyProtection="false">
      <alignment horizontal="center" vertical="center" textRotation="0" wrapText="false" indent="0" shrinkToFit="false"/>
      <protection locked="true" hidden="false"/>
    </xf>
    <xf numFmtId="179" fontId="16" fillId="0" borderId="64" xfId="26" applyFont="true" applyBorder="true" applyAlignment="true" applyProtection="false">
      <alignment horizontal="general" vertical="center" textRotation="0" wrapText="false" indent="0" shrinkToFit="false"/>
      <protection locked="true" hidden="false"/>
    </xf>
    <xf numFmtId="164" fontId="16" fillId="0" borderId="17" xfId="26" applyFont="true" applyBorder="true" applyAlignment="true" applyProtection="false">
      <alignment horizontal="general" vertical="center" textRotation="0" wrapText="false" indent="0" shrinkToFit="false"/>
      <protection locked="true" hidden="false"/>
    </xf>
    <xf numFmtId="164" fontId="16" fillId="0" borderId="54" xfId="26" applyFont="true" applyBorder="true" applyAlignment="true" applyProtection="false">
      <alignment horizontal="general" vertical="center" textRotation="0" wrapText="false" indent="0" shrinkToFit="false"/>
      <protection locked="true" hidden="false"/>
    </xf>
    <xf numFmtId="164" fontId="16" fillId="0" borderId="29" xfId="26" applyFont="true" applyBorder="true" applyAlignment="true" applyProtection="false">
      <alignment horizontal="general" vertical="center" textRotation="0" wrapText="false" indent="0" shrinkToFit="false"/>
      <protection locked="true" hidden="false"/>
    </xf>
    <xf numFmtId="174" fontId="16" fillId="0" borderId="41" xfId="26" applyFont="true" applyBorder="true" applyAlignment="true" applyProtection="false">
      <alignment horizontal="center" vertical="center" textRotation="0" wrapText="false" indent="0" shrinkToFit="false"/>
      <protection locked="true" hidden="false"/>
    </xf>
    <xf numFmtId="179" fontId="16" fillId="0" borderId="29" xfId="26" applyFont="true" applyBorder="true" applyAlignment="true" applyProtection="false">
      <alignment horizontal="general" vertical="center" textRotation="0" wrapText="false" indent="0" shrinkToFit="false"/>
      <protection locked="true" hidden="false"/>
    </xf>
    <xf numFmtId="164" fontId="14" fillId="11" borderId="58" xfId="26" applyFont="true" applyBorder="true" applyAlignment="true" applyProtection="false">
      <alignment horizontal="general" vertical="center" textRotation="0" wrapText="false" indent="0" shrinkToFit="false"/>
      <protection locked="true" hidden="false"/>
    </xf>
    <xf numFmtId="164" fontId="14" fillId="11" borderId="59" xfId="26" applyFont="true" applyBorder="true" applyAlignment="true" applyProtection="false">
      <alignment horizontal="general" vertical="center" textRotation="0" wrapText="false" indent="0" shrinkToFit="false"/>
      <protection locked="true" hidden="false"/>
    </xf>
    <xf numFmtId="174" fontId="14" fillId="11" borderId="7" xfId="26" applyFont="true" applyBorder="true" applyAlignment="true" applyProtection="false">
      <alignment horizontal="center" vertical="center" textRotation="0" wrapText="false" indent="0" shrinkToFit="false"/>
      <protection locked="true" hidden="false"/>
    </xf>
    <xf numFmtId="179" fontId="14" fillId="11" borderId="7" xfId="26" applyFont="true" applyBorder="true" applyAlignment="true" applyProtection="false">
      <alignment horizontal="general" vertical="center" textRotation="0" wrapText="false" indent="0" shrinkToFit="false"/>
      <protection locked="true" hidden="false"/>
    </xf>
    <xf numFmtId="164" fontId="14" fillId="11" borderId="55" xfId="26" applyFont="true" applyBorder="true" applyAlignment="true" applyProtection="false">
      <alignment horizontal="left" vertical="center" textRotation="0" wrapText="false" indent="0" shrinkToFit="false"/>
      <protection locked="true" hidden="false"/>
    </xf>
    <xf numFmtId="179" fontId="14" fillId="11" borderId="65" xfId="41" applyFont="true" applyBorder="true" applyAlignment="true" applyProtection="true">
      <alignment horizontal="center" vertical="center" textRotation="0" wrapText="false" indent="0" shrinkToFit="false"/>
      <protection locked="true" hidden="false"/>
    </xf>
    <xf numFmtId="179" fontId="14" fillId="11" borderId="25" xfId="41" applyFont="true" applyBorder="true" applyAlignment="true" applyProtection="true">
      <alignment horizontal="center" vertical="center" textRotation="0" wrapText="false" indent="0" shrinkToFit="false"/>
      <protection locked="true" hidden="false"/>
    </xf>
    <xf numFmtId="164" fontId="14" fillId="11" borderId="62" xfId="26" applyFont="true" applyBorder="true" applyAlignment="true" applyProtection="false">
      <alignment horizontal="center" vertical="center" textRotation="0" wrapText="false" indent="0" shrinkToFit="false"/>
      <protection locked="true" hidden="false"/>
    </xf>
    <xf numFmtId="179" fontId="16" fillId="0" borderId="4" xfId="26" applyFont="true" applyBorder="true" applyAlignment="true" applyProtection="false">
      <alignment horizontal="center" vertical="center" textRotation="0" wrapText="false" indent="0" shrinkToFit="false"/>
      <protection locked="true" hidden="false"/>
    </xf>
    <xf numFmtId="164" fontId="14" fillId="11" borderId="46" xfId="26" applyFont="true" applyBorder="true" applyAlignment="true" applyProtection="false">
      <alignment horizontal="center" vertical="center" textRotation="0" wrapText="false" indent="0" shrinkToFit="false"/>
      <protection locked="true" hidden="false"/>
    </xf>
    <xf numFmtId="174" fontId="14" fillId="11" borderId="41" xfId="26" applyFont="true" applyBorder="true" applyAlignment="true" applyProtection="false">
      <alignment horizontal="center" vertical="center" textRotation="0" wrapText="false" indent="0" shrinkToFit="false"/>
      <protection locked="true" hidden="false"/>
    </xf>
    <xf numFmtId="179" fontId="14" fillId="11" borderId="41" xfId="26" applyFont="true" applyBorder="true" applyAlignment="true" applyProtection="false">
      <alignment horizontal="center" vertical="center" textRotation="0" wrapText="false" indent="0" shrinkToFit="false"/>
      <protection locked="true" hidden="false"/>
    </xf>
    <xf numFmtId="179" fontId="14" fillId="11" borderId="68" xfId="41" applyFont="true" applyBorder="true" applyAlignment="true" applyProtection="true">
      <alignment horizontal="center" vertical="center" textRotation="0" wrapText="false" indent="0" shrinkToFit="false"/>
      <protection locked="true" hidden="false"/>
    </xf>
    <xf numFmtId="179" fontId="14" fillId="11" borderId="70" xfId="41" applyFont="true" applyBorder="true" applyAlignment="true" applyProtection="true">
      <alignment horizontal="center" vertical="center" textRotation="0" wrapText="false" indent="0" shrinkToFit="false"/>
      <protection locked="true" hidden="false"/>
    </xf>
    <xf numFmtId="164" fontId="14" fillId="11" borderId="17" xfId="26" applyFont="true" applyBorder="true" applyAlignment="true" applyProtection="false">
      <alignment horizontal="general" vertical="center" textRotation="0" wrapText="false" indent="0" shrinkToFit="false"/>
      <protection locked="true" hidden="false"/>
    </xf>
    <xf numFmtId="179" fontId="25" fillId="11" borderId="4" xfId="41" applyFont="true" applyBorder="true" applyAlignment="true" applyProtection="true">
      <alignment horizontal="center" vertical="center" textRotation="0" wrapText="false" indent="0" shrinkToFit="false"/>
      <protection locked="true" hidden="false"/>
    </xf>
    <xf numFmtId="179" fontId="25" fillId="11" borderId="19" xfId="41" applyFont="true" applyBorder="true" applyAlignment="true" applyProtection="true">
      <alignment horizontal="center" vertical="center" textRotation="0" wrapText="false" indent="0" shrinkToFit="false"/>
      <protection locked="true" hidden="false"/>
    </xf>
    <xf numFmtId="169" fontId="16" fillId="0" borderId="0" xfId="26" applyFont="true" applyBorder="false" applyAlignment="false" applyProtection="false">
      <alignment horizontal="general" vertical="bottom" textRotation="0" wrapText="false" indent="0" shrinkToFit="false"/>
      <protection locked="true" hidden="false"/>
    </xf>
    <xf numFmtId="164" fontId="14" fillId="11" borderId="22" xfId="0" applyFont="true" applyBorder="true" applyAlignment="true" applyProtection="false">
      <alignment horizontal="general" vertical="center" textRotation="0" wrapText="false" indent="0" shrinkToFit="false"/>
      <protection locked="true" hidden="false"/>
    </xf>
    <xf numFmtId="172" fontId="25" fillId="11" borderId="28" xfId="35" applyFont="true" applyBorder="true" applyAlignment="true" applyProtection="true">
      <alignment horizontal="center" vertical="center" textRotation="0" wrapText="false" indent="0" shrinkToFit="false"/>
      <protection locked="true" hidden="false"/>
    </xf>
    <xf numFmtId="179" fontId="14" fillId="14" borderId="28" xfId="35" applyFont="true" applyBorder="true" applyAlignment="true" applyProtection="true">
      <alignment horizontal="center" vertical="center" textRotation="0" wrapText="true" indent="0" shrinkToFit="false"/>
      <protection locked="true" hidden="false"/>
    </xf>
    <xf numFmtId="166" fontId="14" fillId="14" borderId="35" xfId="17" applyFont="true" applyBorder="true" applyAlignment="true" applyProtection="true">
      <alignment horizontal="center" vertical="center" textRotation="0" wrapText="false" indent="0" shrinkToFit="false"/>
      <protection locked="true" hidden="false"/>
    </xf>
    <xf numFmtId="172" fontId="16" fillId="0" borderId="17" xfId="26" applyFont="true" applyBorder="true" applyAlignment="true" applyProtection="false">
      <alignment horizontal="left" vertical="center" textRotation="0" wrapText="false" indent="0" shrinkToFit="false"/>
      <protection locked="true" hidden="false"/>
    </xf>
    <xf numFmtId="174" fontId="16" fillId="0" borderId="4" xfId="26" applyFont="true" applyBorder="true" applyAlignment="true" applyProtection="true">
      <alignment horizontal="center" vertical="center" textRotation="0" wrapText="false" indent="0" shrinkToFit="false"/>
      <protection locked="false" hidden="false"/>
    </xf>
    <xf numFmtId="164" fontId="25" fillId="17" borderId="4" xfId="0" applyFont="true" applyBorder="true" applyAlignment="true" applyProtection="false">
      <alignment horizontal="center" vertical="center" textRotation="0" wrapText="true" indent="0" shrinkToFit="false"/>
      <protection locked="true" hidden="false"/>
    </xf>
    <xf numFmtId="164" fontId="33" fillId="0" borderId="18" xfId="0" applyFont="true" applyBorder="true" applyAlignment="true" applyProtection="false">
      <alignment horizontal="right" vertical="center" textRotation="0" wrapText="false" indent="0" shrinkToFit="false"/>
      <protection locked="true" hidden="false"/>
    </xf>
    <xf numFmtId="164" fontId="33" fillId="0" borderId="21" xfId="0" applyFont="true" applyBorder="true" applyAlignment="true" applyProtection="false">
      <alignment horizontal="left" vertical="center" textRotation="0" wrapText="false" indent="0" shrinkToFit="false"/>
      <protection locked="true" hidden="false"/>
    </xf>
    <xf numFmtId="164" fontId="34" fillId="17" borderId="4" xfId="0" applyFont="true" applyBorder="true" applyAlignment="true" applyProtection="false">
      <alignment horizontal="center" vertical="center" textRotation="0" wrapText="false" indent="0" shrinkToFit="false"/>
      <protection locked="true" hidden="false"/>
    </xf>
    <xf numFmtId="164" fontId="12" fillId="17" borderId="4" xfId="0" applyFont="true" applyBorder="true" applyAlignment="true" applyProtection="false">
      <alignment horizontal="center" vertical="center" textRotation="0" wrapText="false" indent="0" shrinkToFit="false"/>
      <protection locked="true" hidden="false"/>
    </xf>
    <xf numFmtId="164" fontId="24" fillId="0" borderId="4" xfId="0" applyFont="true" applyBorder="true" applyAlignment="true" applyProtection="false">
      <alignment horizontal="center" vertical="center" textRotation="0" wrapText="false" indent="0" shrinkToFit="false"/>
      <protection locked="true" hidden="false"/>
    </xf>
    <xf numFmtId="174" fontId="34" fillId="0" borderId="4" xfId="0" applyFont="true" applyBorder="true" applyAlignment="true" applyProtection="false">
      <alignment horizontal="center" vertical="center" textRotation="0" wrapText="false" indent="0" shrinkToFit="false"/>
      <protection locked="true" hidden="false"/>
    </xf>
    <xf numFmtId="164" fontId="34" fillId="0" borderId="4" xfId="0" applyFont="true" applyBorder="true" applyAlignment="true" applyProtection="false">
      <alignment horizontal="center" vertical="center" textRotation="0" wrapText="false" indent="0" shrinkToFit="false"/>
      <protection locked="true" hidden="false"/>
    </xf>
    <xf numFmtId="179" fontId="8" fillId="0" borderId="4" xfId="0" applyFont="true" applyBorder="true" applyAlignment="true" applyProtection="false">
      <alignment horizontal="center" vertical="bottom" textRotation="0" wrapText="false" indent="0" shrinkToFit="false"/>
      <protection locked="true" hidden="false"/>
    </xf>
    <xf numFmtId="164" fontId="24" fillId="0" borderId="12" xfId="0" applyFont="true" applyBorder="true" applyAlignment="true" applyProtection="false">
      <alignment horizontal="center" vertical="center" textRotation="0" wrapText="false" indent="0" shrinkToFit="false"/>
      <protection locked="true" hidden="false"/>
    </xf>
    <xf numFmtId="174" fontId="34" fillId="0" borderId="12" xfId="0" applyFont="true" applyBorder="true" applyAlignment="true" applyProtection="false">
      <alignment horizontal="center" vertical="center" textRotation="0" wrapText="false" indent="0" shrinkToFit="false"/>
      <protection locked="true" hidden="false"/>
    </xf>
    <xf numFmtId="164" fontId="34" fillId="0" borderId="12" xfId="0" applyFont="true" applyBorder="true" applyAlignment="true" applyProtection="false">
      <alignment horizontal="center" vertical="center" textRotation="0" wrapText="false" indent="0" shrinkToFit="false"/>
      <protection locked="true" hidden="false"/>
    </xf>
    <xf numFmtId="174" fontId="52" fillId="6" borderId="4" xfId="34" applyFont="true" applyBorder="true" applyAlignment="true" applyProtection="true">
      <alignment horizontal="center" vertical="center" textRotation="0" wrapText="false" indent="0" shrinkToFit="false"/>
      <protection locked="tru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Moeda 2" xfId="20"/>
    <cellStyle name="Moeda 8" xfId="21"/>
    <cellStyle name="Normal 12" xfId="22"/>
    <cellStyle name="Normal 2" xfId="23"/>
    <cellStyle name="Normal 2 2" xfId="24"/>
    <cellStyle name="Normal 2 2 2" xfId="25"/>
    <cellStyle name="Normal 3" xfId="26"/>
    <cellStyle name="Normal 3 3" xfId="27"/>
    <cellStyle name="Normal 4" xfId="28"/>
    <cellStyle name="Normal 5" xfId="29"/>
    <cellStyle name="Normal 7 2" xfId="30"/>
    <cellStyle name="Normal 8" xfId="31"/>
    <cellStyle name="Normal 9" xfId="32"/>
    <cellStyle name="Normal_Plan1" xfId="33"/>
    <cellStyle name="Porcentagem 12" xfId="34"/>
    <cellStyle name="Porcentagem 2" xfId="35"/>
    <cellStyle name="Porcentagem 3" xfId="36"/>
    <cellStyle name="Porcentagem 4" xfId="37"/>
    <cellStyle name="Porcentagem 4 3" xfId="38"/>
    <cellStyle name="Separador de milhares 2 2" xfId="39"/>
    <cellStyle name="Separador de milhares 2 2 2" xfId="40"/>
    <cellStyle name="Separador de milhares 3" xfId="41"/>
    <cellStyle name="Separador de milhares 3 3" xfId="42"/>
    <cellStyle name="Separador de milhares 4 3" xfId="43"/>
    <cellStyle name="Texto Explicativo 4" xfId="44"/>
    <cellStyle name="Vírgula 2" xfId="45"/>
    <cellStyle name="Vírgula 3" xfId="46"/>
    <cellStyle name="Vírgula 4" xfId="47"/>
    <cellStyle name="Vírgula 5" xfId="48"/>
    <cellStyle name="Excel Built-in Explanatory Text" xfId="49"/>
    <cellStyle name="Excel Built-in Explanatory Text 2" xfId="50"/>
  </cellStyles>
  <dxfs count="2">
    <dxf>
      <font>
        <color rgb="FF006100"/>
      </font>
      <fill>
        <patternFill>
          <bgColor rgb="FFC6EFCE"/>
        </patternFill>
      </fill>
    </dxf>
    <dxf>
      <font>
        <color rgb="FF9C0006"/>
      </font>
      <fill>
        <patternFill>
          <bgColor rgb="FFFFC7CE"/>
        </patternFill>
      </fill>
    </dxf>
  </dxfs>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CCCC"/>
      <rgbColor rgb="FF0066CC"/>
      <rgbColor rgb="FFBDD7EE"/>
      <rgbColor rgb="FF000080"/>
      <rgbColor rgb="FFFF00FF"/>
      <rgbColor rgb="FFFFFF00"/>
      <rgbColor rgb="FF00FFFF"/>
      <rgbColor rgb="FF800080"/>
      <rgbColor rgb="FFC00000"/>
      <rgbColor rgb="FF008080"/>
      <rgbColor rgb="FF0000FF"/>
      <rgbColor rgb="FF00CCFF"/>
      <rgbColor rgb="FFDCE6F2"/>
      <rgbColor rgb="FFC6EFCE"/>
      <rgbColor rgb="FFFFFF99"/>
      <rgbColor rgb="FF9DC3E6"/>
      <rgbColor rgb="FFFFC7CE"/>
      <rgbColor rgb="FFBFBFBF"/>
      <rgbColor rgb="FFF8CBAD"/>
      <rgbColor rgb="FF3366FF"/>
      <rgbColor rgb="FF4ADAFC"/>
      <rgbColor rgb="FF99CC00"/>
      <rgbColor rgb="FFF2DCDB"/>
      <rgbColor rgb="FFFF9900"/>
      <rgbColor rgb="FFFF6600"/>
      <rgbColor rgb="FF606060"/>
      <rgbColor rgb="FF969696"/>
      <rgbColor rgb="FF10243E"/>
      <rgbColor rgb="FF339966"/>
      <rgbColor rgb="FF003300"/>
      <rgbColor rgb="FF333300"/>
      <rgbColor rgb="FF993300"/>
      <rgbColor rgb="FF993366"/>
      <rgbColor rgb="FF59595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11.xml.rels><?xml version="1.0" encoding="UTF-8"?>
<Relationships xmlns="http://schemas.openxmlformats.org/package/2006/relationships"><Relationship Id="rId1" Type="http://schemas.openxmlformats.org/officeDocument/2006/relationships/image" Target="../media/image1.png"/>
</Relationships>
</file>

<file path=xl/drawings/_rels/drawing12.xml.rels><?xml version="1.0" encoding="UTF-8"?>
<Relationships xmlns="http://schemas.openxmlformats.org/package/2006/relationships"><Relationship Id="rId1" Type="http://schemas.openxmlformats.org/officeDocument/2006/relationships/image" Target="../media/image1.png"/>
</Relationships>
</file>

<file path=xl/drawings/_rels/drawing13.xml.rels><?xml version="1.0" encoding="UTF-8"?>
<Relationships xmlns="http://schemas.openxmlformats.org/package/2006/relationships"><Relationship Id="rId1" Type="http://schemas.openxmlformats.org/officeDocument/2006/relationships/image" Target="../media/image1.png"/>
</Relationships>
</file>

<file path=xl/drawings/_rels/drawing14.xml.rels><?xml version="1.0" encoding="UTF-8"?>
<Relationships xmlns="http://schemas.openxmlformats.org/package/2006/relationships"><Relationship Id="rId1" Type="http://schemas.openxmlformats.org/officeDocument/2006/relationships/image" Target="../media/image1.png"/>
</Relationships>
</file>

<file path=xl/drawings/_rels/drawing15.xml.rels><?xml version="1.0" encoding="UTF-8"?>
<Relationships xmlns="http://schemas.openxmlformats.org/package/2006/relationships"><Relationship Id="rId1" Type="http://schemas.openxmlformats.org/officeDocument/2006/relationships/image" Target="../media/image1.png"/>
</Relationships>
</file>

<file path=xl/drawings/_rels/drawing16.xml.rels><?xml version="1.0" encoding="UTF-8"?>
<Relationships xmlns="http://schemas.openxmlformats.org/package/2006/relationships"><Relationship Id="rId1" Type="http://schemas.openxmlformats.org/officeDocument/2006/relationships/image" Target="../media/image1.png"/>
</Relationships>
</file>

<file path=xl/drawings/_rels/drawing17.xml.rels><?xml version="1.0" encoding="UTF-8"?>
<Relationships xmlns="http://schemas.openxmlformats.org/package/2006/relationships"><Relationship Id="rId1" Type="http://schemas.openxmlformats.org/officeDocument/2006/relationships/image" Target="../media/image1.png"/>
</Relationships>
</file>

<file path=xl/drawings/_rels/drawing18.xml.rels><?xml version="1.0" encoding="UTF-8"?>
<Relationships xmlns="http://schemas.openxmlformats.org/package/2006/relationships"><Relationship Id="rId1" Type="http://schemas.openxmlformats.org/officeDocument/2006/relationships/image" Target="../media/image1.png"/>
</Relationships>
</file>

<file path=xl/drawings/_rels/drawing19.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20.xml.rels><?xml version="1.0" encoding="UTF-8"?>
<Relationships xmlns="http://schemas.openxmlformats.org/package/2006/relationships"><Relationship Id="rId1" Type="http://schemas.openxmlformats.org/officeDocument/2006/relationships/image" Target="../media/image1.png"/>
</Relationships>
</file>

<file path=xl/drawings/_rels/drawing21.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9720</xdr:colOff>
      <xdr:row>0</xdr:row>
      <xdr:rowOff>123840</xdr:rowOff>
    </xdr:from>
    <xdr:to>
      <xdr:col>0</xdr:col>
      <xdr:colOff>394200</xdr:colOff>
      <xdr:row>2</xdr:row>
      <xdr:rowOff>47160</xdr:rowOff>
    </xdr:to>
    <xdr:pic>
      <xdr:nvPicPr>
        <xdr:cNvPr id="0" name="Picture 1" descr=""/>
        <xdr:cNvPicPr/>
      </xdr:nvPicPr>
      <xdr:blipFill>
        <a:blip r:embed="rId1"/>
        <a:stretch/>
      </xdr:blipFill>
      <xdr:spPr>
        <a:xfrm>
          <a:off x="9720" y="123840"/>
          <a:ext cx="384480" cy="38988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394920</xdr:colOff>
      <xdr:row>2</xdr:row>
      <xdr:rowOff>23400</xdr:rowOff>
    </xdr:to>
    <xdr:pic>
      <xdr:nvPicPr>
        <xdr:cNvPr id="9" name="Picture 1" descr=""/>
        <xdr:cNvPicPr/>
      </xdr:nvPicPr>
      <xdr:blipFill>
        <a:blip r:embed="rId1"/>
        <a:stretch/>
      </xdr:blipFill>
      <xdr:spPr>
        <a:xfrm>
          <a:off x="95400" y="57240"/>
          <a:ext cx="299520" cy="34704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0"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1"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2"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3"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4"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5"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6"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7"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8"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397800</xdr:colOff>
      <xdr:row>2</xdr:row>
      <xdr:rowOff>23400</xdr:rowOff>
    </xdr:to>
    <xdr:pic>
      <xdr:nvPicPr>
        <xdr:cNvPr id="1" name="Picture 1" descr=""/>
        <xdr:cNvPicPr/>
      </xdr:nvPicPr>
      <xdr:blipFill>
        <a:blip r:embed="rId1"/>
        <a:stretch/>
      </xdr:blipFill>
      <xdr:spPr>
        <a:xfrm>
          <a:off x="95400" y="57240"/>
          <a:ext cx="302400" cy="347040"/>
        </a:xfrm>
        <a:prstGeom prst="rect">
          <a:avLst/>
        </a:prstGeom>
        <a:noFill/>
        <a:ln w="0">
          <a:noFill/>
        </a:ln>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171360</xdr:colOff>
      <xdr:row>0</xdr:row>
      <xdr:rowOff>38160</xdr:rowOff>
    </xdr:from>
    <xdr:to>
      <xdr:col>0</xdr:col>
      <xdr:colOff>575640</xdr:colOff>
      <xdr:row>2</xdr:row>
      <xdr:rowOff>128160</xdr:rowOff>
    </xdr:to>
    <xdr:pic>
      <xdr:nvPicPr>
        <xdr:cNvPr id="19" name="Picture 1" descr=""/>
        <xdr:cNvPicPr/>
      </xdr:nvPicPr>
      <xdr:blipFill>
        <a:blip r:embed="rId1"/>
        <a:stretch/>
      </xdr:blipFill>
      <xdr:spPr>
        <a:xfrm>
          <a:off x="171360" y="38160"/>
          <a:ext cx="404280" cy="470880"/>
        </a:xfrm>
        <a:prstGeom prst="rect">
          <a:avLst/>
        </a:prstGeom>
        <a:noFill/>
        <a:ln w="0">
          <a:noFill/>
        </a:ln>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142920</xdr:colOff>
      <xdr:row>0</xdr:row>
      <xdr:rowOff>38160</xdr:rowOff>
    </xdr:from>
    <xdr:to>
      <xdr:col>0</xdr:col>
      <xdr:colOff>451800</xdr:colOff>
      <xdr:row>2</xdr:row>
      <xdr:rowOff>128160</xdr:rowOff>
    </xdr:to>
    <xdr:pic>
      <xdr:nvPicPr>
        <xdr:cNvPr id="20" name="Picture 1" descr=""/>
        <xdr:cNvPicPr/>
      </xdr:nvPicPr>
      <xdr:blipFill>
        <a:blip r:embed="rId1"/>
        <a:stretch/>
      </xdr:blipFill>
      <xdr:spPr>
        <a:xfrm>
          <a:off x="142920" y="38160"/>
          <a:ext cx="308880" cy="4708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112680</xdr:colOff>
      <xdr:row>0</xdr:row>
      <xdr:rowOff>56160</xdr:rowOff>
    </xdr:from>
    <xdr:to>
      <xdr:col>0</xdr:col>
      <xdr:colOff>566280</xdr:colOff>
      <xdr:row>2</xdr:row>
      <xdr:rowOff>199440</xdr:rowOff>
    </xdr:to>
    <xdr:pic>
      <xdr:nvPicPr>
        <xdr:cNvPr id="2" name="Picture 1" descr=""/>
        <xdr:cNvPicPr/>
      </xdr:nvPicPr>
      <xdr:blipFill>
        <a:blip r:embed="rId1"/>
        <a:stretch/>
      </xdr:blipFill>
      <xdr:spPr>
        <a:xfrm>
          <a:off x="112680" y="56160"/>
          <a:ext cx="453600" cy="5241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47520</xdr:colOff>
      <xdr:row>0</xdr:row>
      <xdr:rowOff>0</xdr:rowOff>
    </xdr:from>
    <xdr:to>
      <xdr:col>0</xdr:col>
      <xdr:colOff>451800</xdr:colOff>
      <xdr:row>2</xdr:row>
      <xdr:rowOff>90000</xdr:rowOff>
    </xdr:to>
    <xdr:pic>
      <xdr:nvPicPr>
        <xdr:cNvPr id="3" name="Picture 1" descr=""/>
        <xdr:cNvPicPr/>
      </xdr:nvPicPr>
      <xdr:blipFill>
        <a:blip r:embed="rId1"/>
        <a:stretch/>
      </xdr:blipFill>
      <xdr:spPr>
        <a:xfrm>
          <a:off x="47520" y="0"/>
          <a:ext cx="404280" cy="47088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38160</xdr:colOff>
      <xdr:row>0</xdr:row>
      <xdr:rowOff>85680</xdr:rowOff>
    </xdr:from>
    <xdr:to>
      <xdr:col>0</xdr:col>
      <xdr:colOff>398880</xdr:colOff>
      <xdr:row>2</xdr:row>
      <xdr:rowOff>27360</xdr:rowOff>
    </xdr:to>
    <xdr:pic>
      <xdr:nvPicPr>
        <xdr:cNvPr id="4" name="Picture 1" descr=""/>
        <xdr:cNvPicPr/>
      </xdr:nvPicPr>
      <xdr:blipFill>
        <a:blip r:embed="rId1"/>
        <a:stretch/>
      </xdr:blipFill>
      <xdr:spPr>
        <a:xfrm>
          <a:off x="38160" y="85680"/>
          <a:ext cx="360720" cy="37044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85680</xdr:colOff>
      <xdr:row>0</xdr:row>
      <xdr:rowOff>85680</xdr:rowOff>
    </xdr:from>
    <xdr:to>
      <xdr:col>0</xdr:col>
      <xdr:colOff>561600</xdr:colOff>
      <xdr:row>2</xdr:row>
      <xdr:rowOff>142560</xdr:rowOff>
    </xdr:to>
    <xdr:pic>
      <xdr:nvPicPr>
        <xdr:cNvPr id="5" name="Picture 1" descr=""/>
        <xdr:cNvPicPr/>
      </xdr:nvPicPr>
      <xdr:blipFill>
        <a:blip r:embed="rId1"/>
        <a:stretch/>
      </xdr:blipFill>
      <xdr:spPr>
        <a:xfrm>
          <a:off x="85680" y="85680"/>
          <a:ext cx="475920" cy="43776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67320</xdr:colOff>
      <xdr:row>0</xdr:row>
      <xdr:rowOff>111960</xdr:rowOff>
    </xdr:from>
    <xdr:to>
      <xdr:col>1</xdr:col>
      <xdr:colOff>19440</xdr:colOff>
      <xdr:row>2</xdr:row>
      <xdr:rowOff>39240</xdr:rowOff>
    </xdr:to>
    <xdr:pic>
      <xdr:nvPicPr>
        <xdr:cNvPr id="6" name="Picture 1" descr=""/>
        <xdr:cNvPicPr/>
      </xdr:nvPicPr>
      <xdr:blipFill>
        <a:blip r:embed="rId1"/>
        <a:stretch/>
      </xdr:blipFill>
      <xdr:spPr>
        <a:xfrm>
          <a:off x="67320" y="111960"/>
          <a:ext cx="304560" cy="33696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181080</xdr:colOff>
      <xdr:row>0</xdr:row>
      <xdr:rowOff>99720</xdr:rowOff>
    </xdr:from>
    <xdr:to>
      <xdr:col>0</xdr:col>
      <xdr:colOff>681480</xdr:colOff>
      <xdr:row>2</xdr:row>
      <xdr:rowOff>124920</xdr:rowOff>
    </xdr:to>
    <xdr:pic>
      <xdr:nvPicPr>
        <xdr:cNvPr id="7" name="Picture 1" descr=""/>
        <xdr:cNvPicPr/>
      </xdr:nvPicPr>
      <xdr:blipFill>
        <a:blip r:embed="rId1"/>
        <a:stretch/>
      </xdr:blipFill>
      <xdr:spPr>
        <a:xfrm>
          <a:off x="181080" y="99720"/>
          <a:ext cx="500400" cy="47304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257040</xdr:colOff>
      <xdr:row>0</xdr:row>
      <xdr:rowOff>66600</xdr:rowOff>
    </xdr:from>
    <xdr:to>
      <xdr:col>0</xdr:col>
      <xdr:colOff>661320</xdr:colOff>
      <xdr:row>2</xdr:row>
      <xdr:rowOff>99360</xdr:rowOff>
    </xdr:to>
    <xdr:pic>
      <xdr:nvPicPr>
        <xdr:cNvPr id="8" name="Picture 1" descr=""/>
        <xdr:cNvPicPr/>
      </xdr:nvPicPr>
      <xdr:blipFill>
        <a:blip r:embed="rId1"/>
        <a:stretch/>
      </xdr:blipFill>
      <xdr:spPr>
        <a:xfrm>
          <a:off x="257040" y="66600"/>
          <a:ext cx="404280" cy="4136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Tema do Office 2013 -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20.xml"/>
</Relationships>
</file>

<file path=xl/worksheets/_rels/sheet21.xml.rels><?xml version="1.0" encoding="UTF-8"?>
<Relationships xmlns="http://schemas.openxmlformats.org/package/2006/relationships"><Relationship Id="rId1" Type="http://schemas.openxmlformats.org/officeDocument/2006/relationships/drawing" Target="../drawings/drawing21.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1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 width="6.29"/>
    <col collapsed="false" customWidth="true" hidden="false" outlineLevel="0" max="2" min="2" style="1" width="48"/>
    <col collapsed="false" customWidth="true" hidden="false" outlineLevel="0" max="3" min="3" style="1" width="7.86"/>
    <col collapsed="false" customWidth="true" hidden="false" outlineLevel="0" max="4" min="4" style="1" width="29"/>
    <col collapsed="false" customWidth="true" hidden="false" outlineLevel="0" max="5" min="5" style="2" width="12.29"/>
    <col collapsed="false" customWidth="true" hidden="false" outlineLevel="0" max="6" min="6" style="2" width="19.57"/>
    <col collapsed="false" customWidth="true" hidden="false" outlineLevel="0" max="7" min="7" style="1" width="16.29"/>
    <col collapsed="false" customWidth="true" hidden="false" outlineLevel="0" max="8" min="8" style="1" width="17"/>
    <col collapsed="false" customWidth="true" hidden="false" outlineLevel="0" max="10" min="9" style="1" width="16.29"/>
    <col collapsed="false" customWidth="true" hidden="false" outlineLevel="0" max="12" min="11" style="3" width="13.86"/>
    <col collapsed="false" customWidth="true" hidden="false" outlineLevel="0" max="13" min="13" style="3" width="14.29"/>
    <col collapsed="false" customWidth="true" hidden="false" outlineLevel="0" max="14" min="14" style="1" width="16.71"/>
    <col collapsed="false" customWidth="true" hidden="false" outlineLevel="0" max="15" min="15" style="1" width="12.86"/>
    <col collapsed="false" customWidth="true" hidden="false" outlineLevel="0" max="16" min="16" style="1" width="18.42"/>
    <col collapsed="false" customWidth="true" hidden="false" outlineLevel="0" max="17" min="17" style="1" width="13.71"/>
    <col collapsed="false" customWidth="true" hidden="false" outlineLevel="0" max="18" min="18" style="4" width="15.85"/>
    <col collapsed="false" customWidth="true" hidden="false" outlineLevel="0" max="19" min="19" style="4" width="12.71"/>
    <col collapsed="false" customWidth="true" hidden="false" outlineLevel="0" max="20" min="20" style="4" width="13.29"/>
    <col collapsed="false" customWidth="true" hidden="false" outlineLevel="0" max="21" min="21" style="4" width="13.86"/>
    <col collapsed="false" customWidth="true" hidden="false" outlineLevel="0" max="22" min="22" style="4" width="15.85"/>
    <col collapsed="false" customWidth="true" hidden="false" outlineLevel="0" max="23" min="23" style="4" width="12.29"/>
    <col collapsed="false" customWidth="false" hidden="false" outlineLevel="0" max="24" min="24" style="1" width="9.14"/>
    <col collapsed="false" customWidth="true" hidden="false" outlineLevel="0" max="25" min="25" style="1" width="12.15"/>
    <col collapsed="false" customWidth="false" hidden="false" outlineLevel="0" max="256" min="26" style="1" width="9.14"/>
    <col collapsed="false" customWidth="true" hidden="false" outlineLevel="0" max="257" min="257" style="1" width="6.29"/>
    <col collapsed="false" customWidth="true" hidden="false" outlineLevel="0" max="258" min="258" style="1" width="41.42"/>
    <col collapsed="false" customWidth="true" hidden="false" outlineLevel="0" max="259" min="259" style="1" width="7.86"/>
    <col collapsed="false" customWidth="true" hidden="false" outlineLevel="0" max="260" min="260" style="1" width="16.29"/>
    <col collapsed="false" customWidth="true" hidden="false" outlineLevel="0" max="261" min="261" style="1" width="12.86"/>
    <col collapsed="false" customWidth="true" hidden="false" outlineLevel="0" max="263" min="262" style="1" width="16.29"/>
    <col collapsed="false" customWidth="true" hidden="false" outlineLevel="0" max="264" min="264" style="1" width="13.29"/>
    <col collapsed="false" customWidth="true" hidden="false" outlineLevel="0" max="266" min="265" style="1" width="16.29"/>
    <col collapsed="false" customWidth="true" hidden="false" outlineLevel="0" max="268" min="267" style="1" width="13.86"/>
    <col collapsed="false" customWidth="true" hidden="false" outlineLevel="0" max="269" min="269" style="1" width="13"/>
    <col collapsed="false" customWidth="true" hidden="false" outlineLevel="0" max="270" min="270" style="1" width="13.57"/>
    <col collapsed="false" customWidth="true" hidden="false" outlineLevel="0" max="271" min="271" style="1" width="12.86"/>
    <col collapsed="false" customWidth="true" hidden="false" outlineLevel="0" max="272" min="272" style="1" width="14.14"/>
    <col collapsed="false" customWidth="true" hidden="false" outlineLevel="0" max="273" min="273" style="1" width="12"/>
    <col collapsed="false" customWidth="true" hidden="false" outlineLevel="0" max="274" min="274" style="1" width="13"/>
    <col collapsed="false" customWidth="true" hidden="false" outlineLevel="0" max="275" min="275" style="1" width="11.85"/>
    <col collapsed="false" customWidth="true" hidden="false" outlineLevel="0" max="276" min="276" style="1" width="13.29"/>
    <col collapsed="false" customWidth="true" hidden="false" outlineLevel="0" max="277" min="277" style="1" width="12.29"/>
    <col collapsed="false" customWidth="true" hidden="false" outlineLevel="0" max="278" min="278" style="1" width="12.42"/>
    <col collapsed="false" customWidth="true" hidden="false" outlineLevel="0" max="279" min="279" style="1" width="10.57"/>
    <col collapsed="false" customWidth="false" hidden="false" outlineLevel="0" max="512" min="280" style="1" width="9.14"/>
    <col collapsed="false" customWidth="true" hidden="false" outlineLevel="0" max="513" min="513" style="1" width="6.29"/>
    <col collapsed="false" customWidth="true" hidden="false" outlineLevel="0" max="514" min="514" style="1" width="41.42"/>
    <col collapsed="false" customWidth="true" hidden="false" outlineLevel="0" max="515" min="515" style="1" width="7.86"/>
    <col collapsed="false" customWidth="true" hidden="false" outlineLevel="0" max="516" min="516" style="1" width="16.29"/>
    <col collapsed="false" customWidth="true" hidden="false" outlineLevel="0" max="517" min="517" style="1" width="12.86"/>
    <col collapsed="false" customWidth="true" hidden="false" outlineLevel="0" max="519" min="518" style="1" width="16.29"/>
    <col collapsed="false" customWidth="true" hidden="false" outlineLevel="0" max="520" min="520" style="1" width="13.29"/>
    <col collapsed="false" customWidth="true" hidden="false" outlineLevel="0" max="522" min="521" style="1" width="16.29"/>
    <col collapsed="false" customWidth="true" hidden="false" outlineLevel="0" max="524" min="523" style="1" width="13.86"/>
    <col collapsed="false" customWidth="true" hidden="false" outlineLevel="0" max="525" min="525" style="1" width="13"/>
    <col collapsed="false" customWidth="true" hidden="false" outlineLevel="0" max="526" min="526" style="1" width="13.57"/>
    <col collapsed="false" customWidth="true" hidden="false" outlineLevel="0" max="527" min="527" style="1" width="12.86"/>
    <col collapsed="false" customWidth="true" hidden="false" outlineLevel="0" max="528" min="528" style="1" width="14.14"/>
    <col collapsed="false" customWidth="true" hidden="false" outlineLevel="0" max="529" min="529" style="1" width="12"/>
    <col collapsed="false" customWidth="true" hidden="false" outlineLevel="0" max="530" min="530" style="1" width="13"/>
    <col collapsed="false" customWidth="true" hidden="false" outlineLevel="0" max="531" min="531" style="1" width="11.85"/>
    <col collapsed="false" customWidth="true" hidden="false" outlineLevel="0" max="532" min="532" style="1" width="13.29"/>
    <col collapsed="false" customWidth="true" hidden="false" outlineLevel="0" max="533" min="533" style="1" width="12.29"/>
    <col collapsed="false" customWidth="true" hidden="false" outlineLevel="0" max="534" min="534" style="1" width="12.42"/>
    <col collapsed="false" customWidth="true" hidden="false" outlineLevel="0" max="535" min="535" style="1" width="10.57"/>
    <col collapsed="false" customWidth="false" hidden="false" outlineLevel="0" max="768" min="536" style="1" width="9.14"/>
    <col collapsed="false" customWidth="true" hidden="false" outlineLevel="0" max="769" min="769" style="1" width="6.29"/>
    <col collapsed="false" customWidth="true" hidden="false" outlineLevel="0" max="770" min="770" style="1" width="41.42"/>
    <col collapsed="false" customWidth="true" hidden="false" outlineLevel="0" max="771" min="771" style="1" width="7.86"/>
    <col collapsed="false" customWidth="true" hidden="false" outlineLevel="0" max="772" min="772" style="1" width="16.29"/>
    <col collapsed="false" customWidth="true" hidden="false" outlineLevel="0" max="773" min="773" style="1" width="12.86"/>
    <col collapsed="false" customWidth="true" hidden="false" outlineLevel="0" max="775" min="774" style="1" width="16.29"/>
    <col collapsed="false" customWidth="true" hidden="false" outlineLevel="0" max="776" min="776" style="1" width="13.29"/>
    <col collapsed="false" customWidth="true" hidden="false" outlineLevel="0" max="778" min="777" style="1" width="16.29"/>
    <col collapsed="false" customWidth="true" hidden="false" outlineLevel="0" max="780" min="779" style="1" width="13.86"/>
    <col collapsed="false" customWidth="true" hidden="false" outlineLevel="0" max="781" min="781" style="1" width="13"/>
    <col collapsed="false" customWidth="true" hidden="false" outlineLevel="0" max="782" min="782" style="1" width="13.57"/>
    <col collapsed="false" customWidth="true" hidden="false" outlineLevel="0" max="783" min="783" style="1" width="12.86"/>
    <col collapsed="false" customWidth="true" hidden="false" outlineLevel="0" max="784" min="784" style="1" width="14.14"/>
    <col collapsed="false" customWidth="true" hidden="false" outlineLevel="0" max="785" min="785" style="1" width="12"/>
    <col collapsed="false" customWidth="true" hidden="false" outlineLevel="0" max="786" min="786" style="1" width="13"/>
    <col collapsed="false" customWidth="true" hidden="false" outlineLevel="0" max="787" min="787" style="1" width="11.85"/>
    <col collapsed="false" customWidth="true" hidden="false" outlineLevel="0" max="788" min="788" style="1" width="13.29"/>
    <col collapsed="false" customWidth="true" hidden="false" outlineLevel="0" max="789" min="789" style="1" width="12.29"/>
    <col collapsed="false" customWidth="true" hidden="false" outlineLevel="0" max="790" min="790" style="1" width="12.42"/>
    <col collapsed="false" customWidth="true" hidden="false" outlineLevel="0" max="791" min="791" style="1" width="10.57"/>
    <col collapsed="false" customWidth="false" hidden="false" outlineLevel="0" max="1024" min="792" style="1" width="9.14"/>
  </cols>
  <sheetData>
    <row r="1" customFormat="false" ht="17.25" hidden="false" customHeight="true" outlineLevel="0" collapsed="false">
      <c r="A1" s="5"/>
      <c r="B1" s="6" t="str">
        <f aca="false">INSTRUÇÕES!B1</f>
        <v>Tribunal Regional Federal da 6ª Região</v>
      </c>
      <c r="T1" s="7"/>
      <c r="U1" s="7"/>
      <c r="V1" s="7"/>
    </row>
    <row r="2" s="13" customFormat="true" ht="19.5" hidden="false" customHeight="true" outlineLevel="0" collapsed="false">
      <c r="A2" s="8"/>
      <c r="B2" s="9" t="str">
        <f aca="false">INSTRUÇÕES!B2</f>
        <v>Seção Judiciária de Minas Gerais</v>
      </c>
      <c r="C2" s="10" t="s">
        <v>0</v>
      </c>
      <c r="D2" s="10"/>
      <c r="E2" s="10"/>
      <c r="F2" s="10"/>
      <c r="G2" s="10"/>
      <c r="H2" s="10"/>
      <c r="I2" s="10"/>
      <c r="J2" s="10"/>
      <c r="K2" s="10"/>
      <c r="L2" s="10"/>
      <c r="M2" s="10"/>
      <c r="N2" s="10"/>
      <c r="O2" s="10"/>
      <c r="P2" s="10"/>
      <c r="Q2" s="10"/>
      <c r="R2" s="10"/>
      <c r="S2" s="10"/>
      <c r="T2" s="11"/>
      <c r="U2" s="11"/>
      <c r="V2" s="11"/>
      <c r="W2" s="12"/>
    </row>
    <row r="3" s="13" customFormat="true" ht="21.75" hidden="false" customHeight="true" outlineLevel="0" collapsed="false">
      <c r="A3" s="8"/>
      <c r="B3" s="14" t="str">
        <f aca="false">INSTRUÇÕES!B3</f>
        <v>Subseção Judiciária de Uberlândia</v>
      </c>
      <c r="C3" s="10" t="s">
        <v>1</v>
      </c>
      <c r="D3" s="10"/>
      <c r="E3" s="10"/>
      <c r="F3" s="10"/>
      <c r="G3" s="10"/>
      <c r="H3" s="10"/>
      <c r="I3" s="10"/>
      <c r="J3" s="10"/>
      <c r="K3" s="10"/>
      <c r="L3" s="10"/>
      <c r="M3" s="10"/>
      <c r="N3" s="10"/>
      <c r="O3" s="10"/>
      <c r="P3" s="10"/>
      <c r="Q3" s="10"/>
      <c r="R3" s="10"/>
      <c r="S3" s="10"/>
      <c r="W3" s="12"/>
    </row>
    <row r="4" s="13" customFormat="true" ht="21.75" hidden="true" customHeight="true" outlineLevel="0" collapsed="false">
      <c r="B4" s="14"/>
      <c r="C4" s="15"/>
      <c r="D4" s="15"/>
      <c r="E4" s="15"/>
      <c r="F4" s="15"/>
      <c r="G4" s="15"/>
      <c r="H4" s="15"/>
      <c r="I4" s="15"/>
      <c r="J4" s="15"/>
      <c r="K4" s="15"/>
      <c r="L4" s="15"/>
      <c r="M4" s="15"/>
      <c r="N4" s="15"/>
      <c r="O4" s="15"/>
      <c r="P4" s="15"/>
      <c r="Q4" s="15"/>
      <c r="R4" s="15"/>
      <c r="S4" s="15"/>
      <c r="W4" s="12"/>
    </row>
    <row r="5" s="21" customFormat="true" ht="23.25" hidden="true" customHeight="true" outlineLevel="0" collapsed="false">
      <c r="A5" s="16" t="s">
        <v>2</v>
      </c>
      <c r="B5" s="16"/>
      <c r="C5" s="16"/>
      <c r="D5" s="17" t="s">
        <v>3</v>
      </c>
      <c r="E5" s="18" t="n">
        <f aca="false">VLOOKUP(D5,B148:C151,2,FALSE())</f>
        <v>30</v>
      </c>
      <c r="F5" s="19" t="str">
        <f aca="false">VLOOKUP(D5,B149:D151,3,FALSE())</f>
        <v>Obs: Desconto atualmente aplicado (30 dias corridos).</v>
      </c>
      <c r="G5" s="19"/>
      <c r="H5" s="19"/>
      <c r="I5" s="19"/>
      <c r="J5" s="20"/>
      <c r="K5" s="20"/>
      <c r="L5" s="20"/>
      <c r="M5" s="20"/>
      <c r="N5" s="20"/>
      <c r="R5" s="22"/>
      <c r="S5" s="22"/>
      <c r="T5" s="22"/>
      <c r="U5" s="22"/>
      <c r="V5" s="22"/>
      <c r="W5" s="22"/>
    </row>
    <row r="6" s="21" customFormat="true" ht="22.05" hidden="true" customHeight="false" outlineLevel="0" collapsed="false">
      <c r="A6" s="20"/>
      <c r="B6" s="20"/>
      <c r="C6" s="20"/>
      <c r="D6" s="20"/>
      <c r="E6" s="23"/>
      <c r="F6" s="23"/>
      <c r="G6" s="20"/>
      <c r="H6" s="20"/>
      <c r="I6" s="20"/>
      <c r="J6" s="20"/>
      <c r="K6" s="20"/>
      <c r="L6" s="20"/>
      <c r="M6" s="20"/>
      <c r="N6" s="20"/>
      <c r="R6" s="22"/>
      <c r="S6" s="22"/>
      <c r="T6" s="22"/>
      <c r="U6" s="22"/>
      <c r="V6" s="22"/>
      <c r="W6" s="22"/>
    </row>
    <row r="7" s="21" customFormat="true" ht="15.75" hidden="true" customHeight="true" outlineLevel="0" collapsed="false">
      <c r="A7" s="24" t="s">
        <v>4</v>
      </c>
      <c r="B7" s="24"/>
      <c r="C7" s="24"/>
      <c r="D7" s="25" t="s">
        <v>5</v>
      </c>
      <c r="E7" s="26" t="s">
        <v>6</v>
      </c>
      <c r="F7" s="27" t="s">
        <v>7</v>
      </c>
      <c r="G7" s="27" t="s">
        <v>8</v>
      </c>
      <c r="H7" s="25" t="s">
        <v>9</v>
      </c>
      <c r="I7" s="26" t="s">
        <v>10</v>
      </c>
      <c r="J7" s="27" t="s">
        <v>11</v>
      </c>
      <c r="K7" s="28" t="s">
        <v>12</v>
      </c>
      <c r="L7" s="29" t="s">
        <v>13</v>
      </c>
      <c r="M7" s="29" t="s">
        <v>14</v>
      </c>
      <c r="N7" s="30" t="s">
        <v>15</v>
      </c>
      <c r="O7" s="31" t="s">
        <v>16</v>
      </c>
      <c r="P7" s="27" t="s">
        <v>17</v>
      </c>
      <c r="Q7" s="27" t="s">
        <v>18</v>
      </c>
      <c r="R7" s="26" t="s">
        <v>19</v>
      </c>
      <c r="S7" s="32" t="s">
        <v>20</v>
      </c>
      <c r="T7" s="32"/>
      <c r="U7" s="32"/>
    </row>
    <row r="8" s="21" customFormat="true" ht="15" hidden="true" customHeight="false" outlineLevel="0" collapsed="false">
      <c r="A8" s="24"/>
      <c r="B8" s="24"/>
      <c r="C8" s="24"/>
      <c r="D8" s="25"/>
      <c r="E8" s="26"/>
      <c r="F8" s="27"/>
      <c r="G8" s="27"/>
      <c r="H8" s="25"/>
      <c r="I8" s="26"/>
      <c r="J8" s="27"/>
      <c r="K8" s="28"/>
      <c r="L8" s="29"/>
      <c r="M8" s="29"/>
      <c r="N8" s="30"/>
      <c r="O8" s="31"/>
      <c r="P8" s="27"/>
      <c r="Q8" s="27"/>
      <c r="R8" s="26"/>
      <c r="S8" s="32"/>
      <c r="T8" s="32"/>
      <c r="U8" s="32"/>
    </row>
    <row r="9" s="21" customFormat="true" ht="86.25" hidden="true" customHeight="true" outlineLevel="0" collapsed="false">
      <c r="A9" s="24"/>
      <c r="B9" s="24"/>
      <c r="C9" s="24"/>
      <c r="D9" s="25"/>
      <c r="E9" s="26"/>
      <c r="F9" s="27"/>
      <c r="G9" s="27"/>
      <c r="H9" s="25"/>
      <c r="I9" s="26"/>
      <c r="J9" s="27"/>
      <c r="K9" s="28"/>
      <c r="L9" s="29"/>
      <c r="M9" s="29"/>
      <c r="N9" s="30"/>
      <c r="O9" s="31"/>
      <c r="P9" s="27"/>
      <c r="Q9" s="27"/>
      <c r="R9" s="26"/>
      <c r="S9" s="32"/>
      <c r="T9" s="32"/>
      <c r="U9" s="32"/>
    </row>
    <row r="10" s="21" customFormat="true" ht="40.25" hidden="true" customHeight="false" outlineLevel="0" collapsed="false">
      <c r="A10" s="33" t="s">
        <v>21</v>
      </c>
      <c r="B10" s="34" t="s">
        <v>22</v>
      </c>
      <c r="C10" s="34" t="s">
        <v>23</v>
      </c>
      <c r="D10" s="35" t="s">
        <v>24</v>
      </c>
      <c r="E10" s="33" t="s">
        <v>25</v>
      </c>
      <c r="F10" s="34" t="s">
        <v>26</v>
      </c>
      <c r="G10" s="34" t="s">
        <v>27</v>
      </c>
      <c r="H10" s="35" t="s">
        <v>28</v>
      </c>
      <c r="I10" s="33" t="s">
        <v>29</v>
      </c>
      <c r="J10" s="34" t="s">
        <v>30</v>
      </c>
      <c r="K10" s="36" t="s">
        <v>30</v>
      </c>
      <c r="L10" s="37" t="s">
        <v>31</v>
      </c>
      <c r="M10" s="37" t="s">
        <v>32</v>
      </c>
      <c r="N10" s="37" t="s">
        <v>33</v>
      </c>
      <c r="O10" s="38" t="s">
        <v>34</v>
      </c>
      <c r="P10" s="34" t="s">
        <v>35</v>
      </c>
      <c r="Q10" s="34" t="s">
        <v>36</v>
      </c>
      <c r="R10" s="33" t="s">
        <v>37</v>
      </c>
      <c r="S10" s="34" t="s">
        <v>38</v>
      </c>
      <c r="T10" s="34" t="s">
        <v>39</v>
      </c>
      <c r="U10" s="34" t="s">
        <v>40</v>
      </c>
    </row>
    <row r="11" s="55" customFormat="true" ht="15" hidden="true" customHeight="false" outlineLevel="0" collapsed="false">
      <c r="A11" s="39" t="n">
        <f aca="false">Dados!B7</f>
        <v>10</v>
      </c>
      <c r="B11" s="40" t="str">
        <f aca="false">Dados!C7</f>
        <v>Assistente Administrativo</v>
      </c>
      <c r="C11" s="41" t="n">
        <f aca="false">Dados!D7</f>
        <v>150</v>
      </c>
      <c r="D11" s="42"/>
      <c r="E11" s="43" t="s">
        <v>41</v>
      </c>
      <c r="F11" s="44" t="n">
        <f aca="false">D11*Dados!$G$40</f>
        <v>0</v>
      </c>
      <c r="G11" s="42"/>
      <c r="H11" s="45"/>
      <c r="I11" s="46"/>
      <c r="J11" s="42"/>
      <c r="K11" s="47" t="n">
        <f aca="false">I11+J11</f>
        <v>0</v>
      </c>
      <c r="L11" s="48"/>
      <c r="M11" s="48"/>
      <c r="N11" s="49"/>
      <c r="O11" s="50" t="n">
        <f aca="false">Resumo!S12</f>
        <v>0</v>
      </c>
      <c r="P11" s="51" t="n">
        <f aca="false">Resumo!V12</f>
        <v>0</v>
      </c>
      <c r="Q11" s="52" t="n">
        <f aca="false">Resumo!W12</f>
        <v>44455</v>
      </c>
      <c r="R11" s="39" t="n">
        <v>1</v>
      </c>
      <c r="S11" s="52" t="n">
        <f aca="false">ROUND((Dados!M7*Encargos!$H$59*A11),2)</f>
        <v>5483.01</v>
      </c>
      <c r="T11" s="53" t="s">
        <v>42</v>
      </c>
      <c r="U11" s="54" t="n">
        <f aca="false">SUMIF($R$11:$R$20,1,$Q$11:$Q$20)</f>
        <v>71399.04</v>
      </c>
      <c r="W11" s="56"/>
    </row>
    <row r="12" s="55" customFormat="true" ht="15" hidden="true" customHeight="false" outlineLevel="0" collapsed="false">
      <c r="A12" s="39" t="n">
        <v>1</v>
      </c>
      <c r="B12" s="40" t="str">
        <f aca="false">Dados!C8</f>
        <v>Assistente Administrativo</v>
      </c>
      <c r="C12" s="41" t="n">
        <v>200</v>
      </c>
      <c r="D12" s="42"/>
      <c r="E12" s="43" t="s">
        <v>41</v>
      </c>
      <c r="F12" s="44" t="n">
        <f aca="false">D12*Dados!$G$40</f>
        <v>0</v>
      </c>
      <c r="G12" s="42"/>
      <c r="H12" s="45"/>
      <c r="I12" s="46"/>
      <c r="J12" s="42"/>
      <c r="K12" s="47" t="n">
        <f aca="false">I12+J12</f>
        <v>0</v>
      </c>
      <c r="L12" s="48"/>
      <c r="M12" s="48"/>
      <c r="N12" s="49"/>
      <c r="O12" s="50" t="n">
        <f aca="false">Resumo!S13</f>
        <v>0</v>
      </c>
      <c r="P12" s="51" t="n">
        <f aca="false">Resumo!V13</f>
        <v>0</v>
      </c>
      <c r="Q12" s="52" t="n">
        <f aca="false">Resumo!W13</f>
        <v>16860.96</v>
      </c>
      <c r="R12" s="39" t="n">
        <v>1</v>
      </c>
      <c r="S12" s="52" t="n">
        <f aca="false">ROUND((Dados!M8*Encargos!$H$59*A12),2)</f>
        <v>731.07</v>
      </c>
      <c r="T12" s="53" t="s">
        <v>42</v>
      </c>
      <c r="U12" s="54"/>
      <c r="W12" s="56"/>
    </row>
    <row r="13" s="55" customFormat="true" ht="15" hidden="true" customHeight="false" outlineLevel="0" collapsed="false">
      <c r="A13" s="39" t="n">
        <f aca="false">Dados!B9</f>
        <v>2</v>
      </c>
      <c r="B13" s="40" t="str">
        <f aca="false">Dados!C9</f>
        <v>Recepcionista</v>
      </c>
      <c r="C13" s="41" t="n">
        <f aca="false">Dados!D9</f>
        <v>150</v>
      </c>
      <c r="D13" s="42"/>
      <c r="E13" s="43" t="s">
        <v>41</v>
      </c>
      <c r="F13" s="44" t="n">
        <f aca="false">D13*Dados!$G$40</f>
        <v>0</v>
      </c>
      <c r="G13" s="42"/>
      <c r="H13" s="45"/>
      <c r="I13" s="46"/>
      <c r="J13" s="42"/>
      <c r="K13" s="47" t="n">
        <f aca="false">I13+J13</f>
        <v>0</v>
      </c>
      <c r="L13" s="48"/>
      <c r="M13" s="48"/>
      <c r="N13" s="57"/>
      <c r="O13" s="50" t="n">
        <f aca="false">Resumo!S14</f>
        <v>0</v>
      </c>
      <c r="P13" s="51" t="n">
        <f aca="false">Resumo!V14</f>
        <v>0</v>
      </c>
      <c r="Q13" s="52" t="n">
        <f aca="false">Resumo!W14</f>
        <v>10083.08</v>
      </c>
      <c r="R13" s="39" t="n">
        <v>1</v>
      </c>
      <c r="S13" s="52" t="n">
        <f aca="false">ROUND((Dados!M9*Encargos!$H$59*A13),2)</f>
        <v>1279.34</v>
      </c>
      <c r="T13" s="53" t="s">
        <v>42</v>
      </c>
      <c r="U13" s="54"/>
    </row>
    <row r="14" s="21" customFormat="true" ht="15" hidden="true" customHeight="false" outlineLevel="0" collapsed="false">
      <c r="A14" s="39" t="n">
        <f aca="false">Dados!B10</f>
        <v>1</v>
      </c>
      <c r="B14" s="40" t="str">
        <f aca="false">Dados!C10</f>
        <v>Servente de Limpeza insalubridade (20%)</v>
      </c>
      <c r="C14" s="41" t="n">
        <f aca="false">Dados!D10</f>
        <v>200</v>
      </c>
      <c r="D14" s="42"/>
      <c r="E14" s="43" t="s">
        <v>41</v>
      </c>
      <c r="F14" s="44" t="n">
        <f aca="false">D14*Dados!$G$40</f>
        <v>0</v>
      </c>
      <c r="G14" s="42"/>
      <c r="H14" s="45"/>
      <c r="I14" s="46"/>
      <c r="J14" s="42"/>
      <c r="K14" s="47" t="n">
        <f aca="false">I14+J14</f>
        <v>0</v>
      </c>
      <c r="L14" s="48"/>
      <c r="M14" s="48"/>
      <c r="N14" s="57"/>
      <c r="O14" s="50" t="n">
        <f aca="false">Resumo!S15</f>
        <v>0</v>
      </c>
      <c r="P14" s="58" t="n">
        <f aca="false">Resumo!V15</f>
        <v>0</v>
      </c>
      <c r="Q14" s="52" t="n">
        <f aca="false">Resumo!W15</f>
        <v>6108.74</v>
      </c>
      <c r="R14" s="39" t="n">
        <v>2</v>
      </c>
      <c r="S14" s="52" t="n">
        <f aca="false">ROUND((Dados!M10*Encargos!$H$59*A14),2)</f>
        <v>597.45</v>
      </c>
      <c r="T14" s="53" t="s">
        <v>42</v>
      </c>
      <c r="U14" s="54"/>
      <c r="W14" s="59"/>
    </row>
    <row r="15" s="21" customFormat="true" ht="15" hidden="true" customHeight="false" outlineLevel="0" collapsed="false">
      <c r="A15" s="39" t="n">
        <f aca="false">Dados!B11</f>
        <v>1</v>
      </c>
      <c r="B15" s="40" t="str">
        <f aca="false">Dados!C11</f>
        <v>Limpador de Vidro</v>
      </c>
      <c r="C15" s="41" t="n">
        <f aca="false">Dados!D11</f>
        <v>200</v>
      </c>
      <c r="D15" s="42"/>
      <c r="E15" s="43" t="s">
        <v>41</v>
      </c>
      <c r="F15" s="44" t="n">
        <f aca="false">D15*Dados!$G$40</f>
        <v>0</v>
      </c>
      <c r="G15" s="42"/>
      <c r="H15" s="45"/>
      <c r="I15" s="46"/>
      <c r="J15" s="42"/>
      <c r="K15" s="47" t="n">
        <f aca="false">I15+J15</f>
        <v>0</v>
      </c>
      <c r="L15" s="48"/>
      <c r="M15" s="48"/>
      <c r="N15" s="57"/>
      <c r="O15" s="50" t="n">
        <f aca="false">Resumo!S16</f>
        <v>0</v>
      </c>
      <c r="P15" s="58" t="n">
        <f aca="false">Resumo!V16</f>
        <v>0</v>
      </c>
      <c r="Q15" s="52" t="n">
        <f aca="false">Resumo!W16</f>
        <v>4456.57</v>
      </c>
      <c r="R15" s="39" t="n">
        <v>2</v>
      </c>
      <c r="S15" s="52" t="n">
        <f aca="false">ROUND((Dados!M11*Encargos!$H$59*A15),2)</f>
        <v>544.08</v>
      </c>
      <c r="T15" s="53" t="s">
        <v>43</v>
      </c>
      <c r="U15" s="54" t="n">
        <f aca="false">SUMIF($R$11:$R$20,2,$Q$11:$Q$20)</f>
        <v>79654.02</v>
      </c>
    </row>
    <row r="16" s="21" customFormat="true" ht="15" hidden="true" customHeight="false" outlineLevel="0" collapsed="false">
      <c r="A16" s="39" t="n">
        <f aca="false">Dados!B12</f>
        <v>8</v>
      </c>
      <c r="B16" s="40" t="str">
        <f aca="false">Dados!C12</f>
        <v>Servente de Limpeza</v>
      </c>
      <c r="C16" s="41" t="n">
        <f aca="false">Dados!D12</f>
        <v>200</v>
      </c>
      <c r="D16" s="42"/>
      <c r="E16" s="43" t="s">
        <v>41</v>
      </c>
      <c r="F16" s="44" t="n">
        <f aca="false">D16*Dados!$G$40</f>
        <v>0</v>
      </c>
      <c r="G16" s="42"/>
      <c r="H16" s="45"/>
      <c r="I16" s="46"/>
      <c r="J16" s="42"/>
      <c r="K16" s="47" t="n">
        <f aca="false">I16+J16</f>
        <v>0</v>
      </c>
      <c r="L16" s="48"/>
      <c r="M16" s="48"/>
      <c r="N16" s="60"/>
      <c r="O16" s="50" t="n">
        <f aca="false">Resumo!S17</f>
        <v>0</v>
      </c>
      <c r="P16" s="61" t="n">
        <f aca="false">Resumo!V17</f>
        <v>0</v>
      </c>
      <c r="Q16" s="52" t="n">
        <f aca="false">Resumo!W17</f>
        <v>43452.88</v>
      </c>
      <c r="R16" s="39" t="n">
        <v>2</v>
      </c>
      <c r="S16" s="52" t="n">
        <f aca="false">ROUND((Dados!M12*Encargos!$H$59*A16),2)</f>
        <v>3974.68</v>
      </c>
      <c r="T16" s="53" t="s">
        <v>43</v>
      </c>
      <c r="U16" s="54"/>
    </row>
    <row r="17" s="21" customFormat="true" ht="15" hidden="true" customHeight="false" outlineLevel="0" collapsed="false">
      <c r="A17" s="39" t="n">
        <f aca="false">Dados!B13</f>
        <v>2</v>
      </c>
      <c r="B17" s="40" t="str">
        <f aca="false">Dados!C13</f>
        <v>Servente de Limpeza insalubridade (40%)</v>
      </c>
      <c r="C17" s="41" t="n">
        <f aca="false">Dados!D13</f>
        <v>200</v>
      </c>
      <c r="D17" s="42"/>
      <c r="E17" s="43" t="s">
        <v>41</v>
      </c>
      <c r="F17" s="44" t="n">
        <f aca="false">D17*Dados!$G$40</f>
        <v>0</v>
      </c>
      <c r="G17" s="42"/>
      <c r="H17" s="45"/>
      <c r="I17" s="46"/>
      <c r="J17" s="42"/>
      <c r="K17" s="47" t="n">
        <f aca="false">I17+J17</f>
        <v>0</v>
      </c>
      <c r="L17" s="48"/>
      <c r="M17" s="48"/>
      <c r="N17" s="57"/>
      <c r="O17" s="50" t="n">
        <f aca="false">Resumo!S18</f>
        <v>0</v>
      </c>
      <c r="P17" s="58" t="n">
        <f aca="false">Resumo!V18</f>
        <v>0</v>
      </c>
      <c r="Q17" s="52" t="n">
        <f aca="false">Resumo!W18</f>
        <v>13571.76</v>
      </c>
      <c r="R17" s="39" t="n">
        <v>2</v>
      </c>
      <c r="S17" s="52" t="n">
        <f aca="false">ROUND((Dados!M13*Encargos!$H$59*A17),2)</f>
        <v>1396.12</v>
      </c>
      <c r="T17" s="53" t="s">
        <v>43</v>
      </c>
      <c r="U17" s="54"/>
      <c r="W17" s="59"/>
    </row>
    <row r="18" s="62" customFormat="true" ht="15" hidden="true" customHeight="false" outlineLevel="0" collapsed="false">
      <c r="A18" s="39" t="n">
        <f aca="false">Dados!B14</f>
        <v>1</v>
      </c>
      <c r="B18" s="40" t="str">
        <f aca="false">Dados!C14</f>
        <v>Zelador acúmulo de função Lavador de Carro e Jardineiro</v>
      </c>
      <c r="C18" s="41" t="n">
        <f aca="false">Dados!D14</f>
        <v>200</v>
      </c>
      <c r="D18" s="42"/>
      <c r="E18" s="43" t="s">
        <v>41</v>
      </c>
      <c r="F18" s="44" t="n">
        <f aca="false">D18*Dados!$G$40</f>
        <v>0</v>
      </c>
      <c r="G18" s="42"/>
      <c r="H18" s="45"/>
      <c r="I18" s="46"/>
      <c r="J18" s="42"/>
      <c r="K18" s="47" t="n">
        <f aca="false">I18+J18</f>
        <v>0</v>
      </c>
      <c r="L18" s="48"/>
      <c r="M18" s="48"/>
      <c r="N18" s="57"/>
      <c r="O18" s="50" t="n">
        <f aca="false">Resumo!S19</f>
        <v>0</v>
      </c>
      <c r="P18" s="58" t="n">
        <f aca="false">Resumo!V19</f>
        <v>0</v>
      </c>
      <c r="Q18" s="52" t="n">
        <f aca="false">Resumo!W19</f>
        <v>6354.55</v>
      </c>
      <c r="R18" s="39" t="n">
        <v>2</v>
      </c>
      <c r="S18" s="52" t="n">
        <f aca="false">ROUND((Dados!M14*Encargos!$H$59*A18),2)</f>
        <v>768.84</v>
      </c>
      <c r="T18" s="53" t="s">
        <v>43</v>
      </c>
      <c r="U18" s="54"/>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c r="TS18" s="21"/>
      <c r="TT18" s="21"/>
      <c r="TU18" s="21"/>
      <c r="TV18" s="21"/>
      <c r="TW18" s="21"/>
      <c r="TX18" s="21"/>
      <c r="TY18" s="21"/>
      <c r="TZ18" s="21"/>
      <c r="UA18" s="21"/>
      <c r="UB18" s="21"/>
      <c r="UC18" s="21"/>
      <c r="UD18" s="21"/>
      <c r="UE18" s="21"/>
      <c r="UF18" s="21"/>
      <c r="UG18" s="21"/>
      <c r="UH18" s="21"/>
      <c r="UI18" s="21"/>
      <c r="UJ18" s="21"/>
      <c r="UK18" s="21"/>
      <c r="UL18" s="21"/>
      <c r="UM18" s="21"/>
      <c r="UN18" s="21"/>
      <c r="UO18" s="21"/>
      <c r="UP18" s="21"/>
      <c r="UQ18" s="21"/>
      <c r="UR18" s="21"/>
      <c r="US18" s="21"/>
      <c r="UT18" s="21"/>
      <c r="UU18" s="21"/>
      <c r="UV18" s="21"/>
      <c r="UW18" s="21"/>
      <c r="UX18" s="21"/>
      <c r="UY18" s="21"/>
      <c r="UZ18" s="21"/>
      <c r="VA18" s="21"/>
      <c r="VB18" s="21"/>
      <c r="VC18" s="21"/>
      <c r="VD18" s="21"/>
      <c r="VE18" s="21"/>
      <c r="VF18" s="21"/>
      <c r="VG18" s="21"/>
      <c r="VH18" s="21"/>
      <c r="VI18" s="21"/>
      <c r="VJ18" s="21"/>
      <c r="VK18" s="21"/>
      <c r="VL18" s="21"/>
      <c r="VM18" s="21"/>
      <c r="VN18" s="21"/>
      <c r="VO18" s="21"/>
      <c r="VP18" s="21"/>
      <c r="VQ18" s="21"/>
      <c r="VR18" s="21"/>
      <c r="VS18" s="21"/>
      <c r="VT18" s="21"/>
      <c r="VU18" s="21"/>
      <c r="VV18" s="21"/>
      <c r="VW18" s="21"/>
      <c r="VX18" s="21"/>
      <c r="VY18" s="21"/>
      <c r="VZ18" s="21"/>
      <c r="WA18" s="21"/>
      <c r="WB18" s="21"/>
      <c r="WC18" s="21"/>
      <c r="WD18" s="21"/>
      <c r="WE18" s="21"/>
      <c r="WF18" s="21"/>
      <c r="WG18" s="21"/>
      <c r="WH18" s="21"/>
      <c r="WI18" s="21"/>
      <c r="WJ18" s="21"/>
      <c r="WK18" s="21"/>
      <c r="WL18" s="21"/>
      <c r="WM18" s="21"/>
      <c r="WN18" s="21"/>
      <c r="WO18" s="21"/>
      <c r="WP18" s="21"/>
      <c r="WQ18" s="21"/>
      <c r="WR18" s="21"/>
      <c r="WS18" s="21"/>
      <c r="WT18" s="21"/>
      <c r="WU18" s="21"/>
      <c r="WV18" s="21"/>
      <c r="WW18" s="21"/>
      <c r="WX18" s="21"/>
      <c r="WY18" s="21"/>
      <c r="WZ18" s="21"/>
      <c r="XA18" s="21"/>
      <c r="XB18" s="21"/>
      <c r="XC18" s="21"/>
      <c r="XD18" s="21"/>
      <c r="XE18" s="21"/>
      <c r="XF18" s="21"/>
      <c r="XG18" s="21"/>
      <c r="XH18" s="21"/>
      <c r="XI18" s="21"/>
      <c r="XJ18" s="21"/>
      <c r="XK18" s="21"/>
      <c r="XL18" s="21"/>
      <c r="XM18" s="21"/>
      <c r="XN18" s="21"/>
      <c r="XO18" s="21"/>
      <c r="XP18" s="21"/>
      <c r="XQ18" s="21"/>
      <c r="XR18" s="21"/>
      <c r="XS18" s="21"/>
      <c r="XT18" s="21"/>
      <c r="XU18" s="21"/>
      <c r="XV18" s="21"/>
      <c r="XW18" s="21"/>
      <c r="XX18" s="21"/>
      <c r="XY18" s="21"/>
      <c r="XZ18" s="21"/>
      <c r="YA18" s="21"/>
      <c r="YB18" s="21"/>
      <c r="YC18" s="21"/>
      <c r="YD18" s="21"/>
      <c r="YE18" s="21"/>
      <c r="YF18" s="21"/>
      <c r="YG18" s="21"/>
      <c r="YH18" s="21"/>
      <c r="YI18" s="21"/>
      <c r="YJ18" s="21"/>
      <c r="YK18" s="21"/>
      <c r="YL18" s="21"/>
      <c r="YM18" s="21"/>
      <c r="YN18" s="21"/>
      <c r="YO18" s="21"/>
      <c r="YP18" s="21"/>
      <c r="YQ18" s="21"/>
      <c r="YR18" s="21"/>
      <c r="YS18" s="21"/>
      <c r="YT18" s="21"/>
      <c r="YU18" s="21"/>
      <c r="YV18" s="21"/>
      <c r="YW18" s="21"/>
      <c r="YX18" s="21"/>
      <c r="YY18" s="21"/>
      <c r="YZ18" s="21"/>
      <c r="ZA18" s="21"/>
      <c r="ZB18" s="21"/>
      <c r="ZC18" s="21"/>
      <c r="ZD18" s="21"/>
      <c r="ZE18" s="21"/>
      <c r="ZF18" s="21"/>
      <c r="ZG18" s="21"/>
      <c r="ZH18" s="21"/>
      <c r="ZI18" s="21"/>
      <c r="ZJ18" s="21"/>
      <c r="ZK18" s="21"/>
      <c r="ZL18" s="21"/>
      <c r="ZM18" s="21"/>
      <c r="ZN18" s="21"/>
      <c r="ZO18" s="21"/>
      <c r="ZP18" s="21"/>
      <c r="ZQ18" s="21"/>
      <c r="ZR18" s="21"/>
      <c r="ZS18" s="21"/>
      <c r="ZT18" s="21"/>
      <c r="ZU18" s="21"/>
      <c r="ZV18" s="21"/>
      <c r="ZW18" s="21"/>
      <c r="ZX18" s="21"/>
      <c r="ZY18" s="21"/>
      <c r="ZZ18" s="21"/>
      <c r="AAA18" s="21"/>
      <c r="AAB18" s="21"/>
      <c r="AAC18" s="21"/>
      <c r="AAD18" s="21"/>
      <c r="AAE18" s="21"/>
      <c r="AAF18" s="21"/>
      <c r="AAG18" s="21"/>
      <c r="AAH18" s="21"/>
      <c r="AAI18" s="21"/>
      <c r="AAJ18" s="21"/>
      <c r="AAK18" s="21"/>
      <c r="AAL18" s="21"/>
      <c r="AAM18" s="21"/>
      <c r="AAN18" s="21"/>
      <c r="AAO18" s="21"/>
      <c r="AAP18" s="21"/>
      <c r="AAQ18" s="21"/>
      <c r="AAR18" s="21"/>
      <c r="AAS18" s="21"/>
      <c r="AAT18" s="21"/>
      <c r="AAU18" s="21"/>
      <c r="AAV18" s="21"/>
      <c r="AAW18" s="21"/>
      <c r="AAX18" s="21"/>
      <c r="AAY18" s="21"/>
      <c r="AAZ18" s="21"/>
      <c r="ABA18" s="21"/>
      <c r="ABB18" s="21"/>
      <c r="ABC18" s="21"/>
      <c r="ABD18" s="21"/>
      <c r="ABE18" s="21"/>
      <c r="ABF18" s="21"/>
      <c r="ABG18" s="21"/>
      <c r="ABH18" s="21"/>
      <c r="ABI18" s="21"/>
      <c r="ABJ18" s="21"/>
      <c r="ABK18" s="21"/>
      <c r="ABL18" s="21"/>
      <c r="ABM18" s="21"/>
      <c r="ABN18" s="21"/>
      <c r="ABO18" s="21"/>
      <c r="ABP18" s="21"/>
      <c r="ABQ18" s="21"/>
      <c r="ABR18" s="21"/>
      <c r="ABS18" s="21"/>
      <c r="ABT18" s="21"/>
      <c r="ABU18" s="21"/>
      <c r="ABV18" s="21"/>
      <c r="ABW18" s="21"/>
      <c r="ABX18" s="21"/>
      <c r="ABY18" s="21"/>
      <c r="ABZ18" s="21"/>
      <c r="ACA18" s="21"/>
      <c r="ACB18" s="21"/>
      <c r="ACC18" s="21"/>
      <c r="ACD18" s="21"/>
      <c r="ACE18" s="21"/>
      <c r="ACF18" s="21"/>
      <c r="ACG18" s="21"/>
      <c r="ACH18" s="21"/>
      <c r="ACI18" s="21"/>
      <c r="ACJ18" s="21"/>
      <c r="ACK18" s="21"/>
      <c r="ACL18" s="21"/>
      <c r="ACM18" s="21"/>
      <c r="ACN18" s="21"/>
      <c r="ACO18" s="21"/>
      <c r="ACP18" s="21"/>
      <c r="ACQ18" s="21"/>
      <c r="ACR18" s="21"/>
      <c r="ACS18" s="21"/>
      <c r="ACT18" s="21"/>
      <c r="ACU18" s="21"/>
      <c r="ACV18" s="21"/>
      <c r="ACW18" s="21"/>
      <c r="ACX18" s="21"/>
      <c r="ACY18" s="21"/>
      <c r="ACZ18" s="21"/>
      <c r="ADA18" s="21"/>
      <c r="ADB18" s="21"/>
      <c r="ADC18" s="21"/>
      <c r="ADD18" s="21"/>
      <c r="ADE18" s="21"/>
      <c r="ADF18" s="21"/>
      <c r="ADG18" s="21"/>
      <c r="ADH18" s="21"/>
      <c r="ADI18" s="21"/>
      <c r="ADJ18" s="21"/>
      <c r="ADK18" s="21"/>
      <c r="ADL18" s="21"/>
      <c r="ADM18" s="21"/>
      <c r="ADN18" s="21"/>
      <c r="ADO18" s="21"/>
      <c r="ADP18" s="21"/>
      <c r="ADQ18" s="21"/>
      <c r="ADR18" s="21"/>
      <c r="ADS18" s="21"/>
      <c r="ADT18" s="21"/>
      <c r="ADU18" s="21"/>
      <c r="ADV18" s="21"/>
      <c r="ADW18" s="21"/>
      <c r="ADX18" s="21"/>
      <c r="ADY18" s="21"/>
      <c r="ADZ18" s="21"/>
      <c r="AEA18" s="21"/>
      <c r="AEB18" s="21"/>
      <c r="AEC18" s="21"/>
      <c r="AED18" s="21"/>
      <c r="AEE18" s="21"/>
      <c r="AEF18" s="21"/>
      <c r="AEG18" s="21"/>
      <c r="AEH18" s="21"/>
      <c r="AEI18" s="21"/>
      <c r="AEJ18" s="21"/>
      <c r="AEK18" s="21"/>
      <c r="AEL18" s="21"/>
      <c r="AEM18" s="21"/>
      <c r="AEN18" s="21"/>
      <c r="AEO18" s="21"/>
      <c r="AEP18" s="21"/>
      <c r="AEQ18" s="21"/>
      <c r="AER18" s="21"/>
      <c r="AES18" s="21"/>
      <c r="AET18" s="21"/>
      <c r="AEU18" s="21"/>
      <c r="AEV18" s="21"/>
      <c r="AEW18" s="21"/>
      <c r="AEX18" s="21"/>
      <c r="AEY18" s="21"/>
      <c r="AEZ18" s="21"/>
      <c r="AFA18" s="21"/>
      <c r="AFB18" s="21"/>
      <c r="AFC18" s="21"/>
      <c r="AFD18" s="21"/>
      <c r="AFE18" s="21"/>
      <c r="AFF18" s="21"/>
      <c r="AFG18" s="21"/>
      <c r="AFH18" s="21"/>
      <c r="AFI18" s="21"/>
      <c r="AFJ18" s="21"/>
      <c r="AFK18" s="21"/>
      <c r="AFL18" s="21"/>
      <c r="AFM18" s="21"/>
      <c r="AFN18" s="21"/>
      <c r="AFO18" s="21"/>
      <c r="AFP18" s="21"/>
      <c r="AFQ18" s="21"/>
      <c r="AFR18" s="21"/>
      <c r="AFS18" s="21"/>
      <c r="AFT18" s="21"/>
      <c r="AFU18" s="21"/>
      <c r="AFV18" s="21"/>
      <c r="AFW18" s="21"/>
      <c r="AFX18" s="21"/>
      <c r="AFY18" s="21"/>
      <c r="AFZ18" s="21"/>
      <c r="AGA18" s="21"/>
      <c r="AGB18" s="21"/>
      <c r="AGC18" s="21"/>
      <c r="AGD18" s="21"/>
      <c r="AGE18" s="21"/>
      <c r="AGF18" s="21"/>
      <c r="AGG18" s="21"/>
      <c r="AGH18" s="21"/>
      <c r="AGI18" s="21"/>
      <c r="AGJ18" s="21"/>
      <c r="AGK18" s="21"/>
      <c r="AGL18" s="21"/>
      <c r="AGM18" s="21"/>
      <c r="AGN18" s="21"/>
      <c r="AGO18" s="21"/>
      <c r="AGP18" s="21"/>
      <c r="AGQ18" s="21"/>
      <c r="AGR18" s="21"/>
      <c r="AGS18" s="21"/>
      <c r="AGT18" s="21"/>
      <c r="AGU18" s="21"/>
      <c r="AGV18" s="21"/>
      <c r="AGW18" s="21"/>
      <c r="AGX18" s="21"/>
      <c r="AGY18" s="21"/>
      <c r="AGZ18" s="21"/>
      <c r="AHA18" s="21"/>
      <c r="AHB18" s="21"/>
      <c r="AHC18" s="21"/>
      <c r="AHD18" s="21"/>
      <c r="AHE18" s="21"/>
      <c r="AHF18" s="21"/>
      <c r="AHG18" s="21"/>
      <c r="AHH18" s="21"/>
      <c r="AHI18" s="21"/>
      <c r="AHJ18" s="21"/>
      <c r="AHK18" s="21"/>
      <c r="AHL18" s="21"/>
      <c r="AHM18" s="21"/>
      <c r="AHN18" s="21"/>
      <c r="AHO18" s="21"/>
      <c r="AHP18" s="21"/>
      <c r="AHQ18" s="21"/>
      <c r="AHR18" s="21"/>
      <c r="AHS18" s="21"/>
      <c r="AHT18" s="21"/>
      <c r="AHU18" s="21"/>
      <c r="AHV18" s="21"/>
      <c r="AHW18" s="21"/>
      <c r="AHX18" s="21"/>
      <c r="AHY18" s="21"/>
      <c r="AHZ18" s="21"/>
      <c r="AIA18" s="21"/>
      <c r="AIB18" s="21"/>
      <c r="AIC18" s="21"/>
      <c r="AID18" s="21"/>
      <c r="AIE18" s="21"/>
      <c r="AIF18" s="21"/>
      <c r="AIG18" s="21"/>
      <c r="AIH18" s="21"/>
      <c r="AII18" s="21"/>
      <c r="AIJ18" s="21"/>
      <c r="AIK18" s="21"/>
      <c r="AIL18" s="21"/>
      <c r="AIM18" s="21"/>
      <c r="AIN18" s="21"/>
      <c r="AIO18" s="21"/>
      <c r="AIP18" s="21"/>
      <c r="AIQ18" s="21"/>
      <c r="AIR18" s="21"/>
      <c r="AIS18" s="21"/>
      <c r="AIT18" s="21"/>
      <c r="AIU18" s="21"/>
      <c r="AIV18" s="21"/>
      <c r="AIW18" s="21"/>
      <c r="AIX18" s="21"/>
      <c r="AIY18" s="21"/>
      <c r="AIZ18" s="21"/>
      <c r="AJA18" s="21"/>
      <c r="AJB18" s="21"/>
      <c r="AJC18" s="21"/>
      <c r="AJD18" s="21"/>
      <c r="AJE18" s="21"/>
      <c r="AJF18" s="21"/>
      <c r="AJG18" s="21"/>
      <c r="AJH18" s="21"/>
      <c r="AJI18" s="21"/>
      <c r="AJJ18" s="21"/>
      <c r="AJK18" s="21"/>
      <c r="AJL18" s="21"/>
      <c r="AJM18" s="21"/>
      <c r="AJN18" s="21"/>
      <c r="AJO18" s="21"/>
      <c r="AJP18" s="21"/>
      <c r="AJQ18" s="21"/>
      <c r="AJR18" s="21"/>
      <c r="AJS18" s="21"/>
      <c r="AJT18" s="21"/>
      <c r="AJU18" s="21"/>
      <c r="AJV18" s="21"/>
      <c r="AJW18" s="21"/>
      <c r="AJX18" s="21"/>
      <c r="AJY18" s="21"/>
      <c r="AJZ18" s="21"/>
      <c r="AKA18" s="21"/>
      <c r="AKB18" s="21"/>
      <c r="AKC18" s="21"/>
      <c r="AKD18" s="21"/>
      <c r="AKE18" s="21"/>
      <c r="AKF18" s="21"/>
      <c r="AKG18" s="21"/>
      <c r="AKH18" s="21"/>
      <c r="AKI18" s="21"/>
      <c r="AKJ18" s="21"/>
      <c r="AKK18" s="21"/>
      <c r="AKL18" s="21"/>
      <c r="AKM18" s="21"/>
      <c r="AKN18" s="21"/>
      <c r="AKO18" s="21"/>
      <c r="AKP18" s="21"/>
      <c r="AKQ18" s="21"/>
      <c r="AKR18" s="21"/>
      <c r="AKS18" s="21"/>
      <c r="AKT18" s="21"/>
      <c r="AKU18" s="21"/>
      <c r="AKV18" s="21"/>
      <c r="AKW18" s="21"/>
      <c r="AKX18" s="21"/>
      <c r="AKY18" s="21"/>
      <c r="AKZ18" s="21"/>
      <c r="ALA18" s="21"/>
      <c r="ALB18" s="21"/>
      <c r="ALC18" s="21"/>
      <c r="ALD18" s="21"/>
      <c r="ALE18" s="21"/>
      <c r="ALF18" s="21"/>
      <c r="ALG18" s="21"/>
      <c r="ALH18" s="21"/>
      <c r="ALI18" s="21"/>
      <c r="ALJ18" s="21"/>
      <c r="ALK18" s="21"/>
      <c r="ALL18" s="21"/>
      <c r="ALM18" s="21"/>
      <c r="ALN18" s="21"/>
      <c r="ALO18" s="21"/>
      <c r="ALP18" s="21"/>
      <c r="ALQ18" s="21"/>
      <c r="ALR18" s="21"/>
      <c r="ALS18" s="21"/>
      <c r="ALT18" s="21"/>
      <c r="ALU18" s="21"/>
      <c r="ALV18" s="21"/>
      <c r="ALW18" s="21"/>
      <c r="ALX18" s="21"/>
      <c r="ALY18" s="21"/>
      <c r="ALZ18" s="21"/>
      <c r="AMA18" s="21"/>
      <c r="AMB18" s="21"/>
      <c r="AMC18" s="21"/>
      <c r="AMD18" s="21"/>
      <c r="AME18" s="21"/>
      <c r="AMF18" s="21"/>
      <c r="AMG18" s="21"/>
      <c r="AMH18" s="21"/>
    </row>
    <row r="19" customFormat="false" ht="15" hidden="true" customHeight="false" outlineLevel="0" collapsed="false">
      <c r="A19" s="39" t="n">
        <f aca="false">Dados!B15</f>
        <v>1</v>
      </c>
      <c r="B19" s="40" t="str">
        <f aca="false">Dados!C15</f>
        <v>Encarregado Geral</v>
      </c>
      <c r="C19" s="41" t="n">
        <f aca="false">Dados!D15</f>
        <v>200</v>
      </c>
      <c r="D19" s="42"/>
      <c r="E19" s="43" t="s">
        <v>41</v>
      </c>
      <c r="F19" s="44" t="n">
        <f aca="false">D19*Dados!$G$40</f>
        <v>0</v>
      </c>
      <c r="G19" s="42"/>
      <c r="H19" s="45"/>
      <c r="I19" s="46"/>
      <c r="J19" s="42"/>
      <c r="K19" s="47" t="n">
        <f aca="false">I19+J19</f>
        <v>0</v>
      </c>
      <c r="L19" s="48"/>
      <c r="M19" s="48"/>
      <c r="N19" s="57"/>
      <c r="O19" s="50" t="n">
        <f aca="false">Resumo!S20</f>
        <v>0</v>
      </c>
      <c r="P19" s="51" t="n">
        <f aca="false">Resumo!V20</f>
        <v>0</v>
      </c>
      <c r="Q19" s="52" t="n">
        <f aca="false">Resumo!W20</f>
        <v>5709.52</v>
      </c>
      <c r="R19" s="39" t="n">
        <v>2</v>
      </c>
      <c r="S19" s="52" t="n">
        <f aca="false">ROUND((Dados!M15*Encargos!$H$59*A19),2)</f>
        <v>742.12</v>
      </c>
      <c r="T19" s="53" t="s">
        <v>43</v>
      </c>
      <c r="U19" s="54"/>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row>
    <row r="20" customFormat="false" ht="15" hidden="true" customHeight="false" outlineLevel="0" collapsed="false">
      <c r="A20" s="39" t="n">
        <f aca="false">Dados!B16</f>
        <v>1</v>
      </c>
      <c r="B20" s="40" t="str">
        <f aca="false">Dados!C16</f>
        <v>Copeira</v>
      </c>
      <c r="C20" s="41" t="n">
        <f aca="false">Dados!D16</f>
        <v>200</v>
      </c>
      <c r="D20" s="42"/>
      <c r="E20" s="43" t="s">
        <v>41</v>
      </c>
      <c r="F20" s="44" t="n">
        <f aca="false">D20*Dados!$G$40</f>
        <v>0</v>
      </c>
      <c r="G20" s="42"/>
      <c r="H20" s="45"/>
      <c r="I20" s="46"/>
      <c r="J20" s="42"/>
      <c r="K20" s="47" t="n">
        <f aca="false">I20+J20</f>
        <v>0</v>
      </c>
      <c r="L20" s="48"/>
      <c r="M20" s="48"/>
      <c r="N20" s="49"/>
      <c r="O20" s="50" t="n">
        <f aca="false">Resumo!S21</f>
        <v>0</v>
      </c>
      <c r="P20" s="51" t="n">
        <f aca="false">Resumo!V21</f>
        <v>0</v>
      </c>
      <c r="Q20" s="52" t="n">
        <f aca="false">Resumo!W21</f>
        <v>4521.01</v>
      </c>
      <c r="R20" s="39" t="n">
        <v>5</v>
      </c>
      <c r="S20" s="52" t="n">
        <f aca="false">ROUND((Dados!M16*Encargos!$H$59*A20),2)</f>
        <v>496.83</v>
      </c>
      <c r="T20" s="53" t="s">
        <v>44</v>
      </c>
      <c r="U20" s="54" t="n">
        <f aca="false">SUMIF($R$11:$R$20,5,$Q$11:$Q$20)</f>
        <v>4521.01</v>
      </c>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c r="IX20" s="55"/>
      <c r="IY20" s="55"/>
      <c r="IZ20" s="55"/>
      <c r="JA20" s="55"/>
      <c r="JB20" s="55"/>
      <c r="JC20" s="55"/>
      <c r="JD20" s="55"/>
      <c r="JE20" s="55"/>
      <c r="JF20" s="55"/>
      <c r="JG20" s="55"/>
      <c r="JH20" s="55"/>
      <c r="JI20" s="55"/>
      <c r="JJ20" s="55"/>
      <c r="JK20" s="55"/>
      <c r="JL20" s="55"/>
      <c r="JM20" s="55"/>
      <c r="JN20" s="55"/>
      <c r="JO20" s="55"/>
      <c r="JP20" s="55"/>
      <c r="JQ20" s="55"/>
      <c r="JR20" s="55"/>
      <c r="JS20" s="55"/>
      <c r="JT20" s="55"/>
      <c r="JU20" s="55"/>
      <c r="JV20" s="55"/>
      <c r="JW20" s="55"/>
      <c r="JX20" s="55"/>
      <c r="JY20" s="55"/>
      <c r="JZ20" s="55"/>
      <c r="KA20" s="55"/>
      <c r="KB20" s="55"/>
      <c r="KC20" s="55"/>
      <c r="KD20" s="55"/>
      <c r="KE20" s="55"/>
      <c r="KF20" s="55"/>
      <c r="KG20" s="55"/>
      <c r="KH20" s="55"/>
      <c r="KI20" s="55"/>
      <c r="KJ20" s="55"/>
      <c r="KK20" s="55"/>
      <c r="KL20" s="55"/>
      <c r="KM20" s="55"/>
      <c r="KN20" s="55"/>
      <c r="KO20" s="55"/>
      <c r="KP20" s="55"/>
      <c r="KQ20" s="55"/>
      <c r="KR20" s="55"/>
      <c r="KS20" s="55"/>
      <c r="KT20" s="55"/>
      <c r="KU20" s="55"/>
      <c r="KV20" s="55"/>
      <c r="KW20" s="55"/>
      <c r="KX20" s="55"/>
      <c r="KY20" s="55"/>
      <c r="KZ20" s="55"/>
      <c r="LA20" s="55"/>
      <c r="LB20" s="55"/>
      <c r="LC20" s="55"/>
      <c r="LD20" s="55"/>
      <c r="LE20" s="55"/>
      <c r="LF20" s="55"/>
      <c r="LG20" s="55"/>
      <c r="LH20" s="55"/>
      <c r="LI20" s="55"/>
      <c r="LJ20" s="55"/>
      <c r="LK20" s="55"/>
      <c r="LL20" s="55"/>
      <c r="LM20" s="55"/>
      <c r="LN20" s="55"/>
      <c r="LO20" s="55"/>
      <c r="LP20" s="55"/>
      <c r="LQ20" s="55"/>
      <c r="LR20" s="55"/>
      <c r="LS20" s="55"/>
      <c r="LT20" s="55"/>
      <c r="LU20" s="55"/>
      <c r="LV20" s="55"/>
      <c r="LW20" s="55"/>
      <c r="LX20" s="55"/>
      <c r="LY20" s="55"/>
      <c r="LZ20" s="55"/>
      <c r="MA20" s="55"/>
      <c r="MB20" s="55"/>
      <c r="MC20" s="55"/>
      <c r="MD20" s="55"/>
      <c r="ME20" s="55"/>
      <c r="MF20" s="55"/>
      <c r="MG20" s="55"/>
      <c r="MH20" s="55"/>
      <c r="MI20" s="55"/>
      <c r="MJ20" s="55"/>
      <c r="MK20" s="55"/>
      <c r="ML20" s="55"/>
      <c r="MM20" s="55"/>
      <c r="MN20" s="55"/>
      <c r="MO20" s="55"/>
      <c r="MP20" s="55"/>
      <c r="MQ20" s="55"/>
      <c r="MR20" s="55"/>
      <c r="MS20" s="55"/>
      <c r="MT20" s="55"/>
      <c r="MU20" s="55"/>
      <c r="MV20" s="55"/>
      <c r="MW20" s="55"/>
      <c r="MX20" s="55"/>
      <c r="MY20" s="55"/>
      <c r="MZ20" s="55"/>
      <c r="NA20" s="55"/>
      <c r="NB20" s="55"/>
      <c r="NC20" s="55"/>
      <c r="ND20" s="55"/>
      <c r="NE20" s="55"/>
      <c r="NF20" s="55"/>
      <c r="NG20" s="55"/>
      <c r="NH20" s="55"/>
      <c r="NI20" s="55"/>
      <c r="NJ20" s="55"/>
      <c r="NK20" s="55"/>
      <c r="NL20" s="55"/>
      <c r="NM20" s="55"/>
      <c r="NN20" s="55"/>
      <c r="NO20" s="55"/>
      <c r="NP20" s="55"/>
      <c r="NQ20" s="55"/>
      <c r="NR20" s="55"/>
      <c r="NS20" s="55"/>
      <c r="NT20" s="55"/>
      <c r="NU20" s="55"/>
      <c r="NV20" s="55"/>
      <c r="NW20" s="55"/>
      <c r="NX20" s="55"/>
      <c r="NY20" s="55"/>
      <c r="NZ20" s="55"/>
      <c r="OA20" s="55"/>
      <c r="OB20" s="55"/>
      <c r="OC20" s="55"/>
      <c r="OD20" s="55"/>
      <c r="OE20" s="55"/>
      <c r="OF20" s="55"/>
      <c r="OG20" s="55"/>
      <c r="OH20" s="55"/>
      <c r="OI20" s="55"/>
      <c r="OJ20" s="55"/>
      <c r="OK20" s="55"/>
      <c r="OL20" s="55"/>
      <c r="OM20" s="55"/>
      <c r="ON20" s="55"/>
      <c r="OO20" s="55"/>
      <c r="OP20" s="55"/>
      <c r="OQ20" s="55"/>
      <c r="OR20" s="55"/>
      <c r="OS20" s="55"/>
      <c r="OT20" s="55"/>
      <c r="OU20" s="55"/>
      <c r="OV20" s="55"/>
      <c r="OW20" s="55"/>
      <c r="OX20" s="55"/>
      <c r="OY20" s="55"/>
      <c r="OZ20" s="55"/>
      <c r="PA20" s="55"/>
      <c r="PB20" s="55"/>
      <c r="PC20" s="55"/>
      <c r="PD20" s="55"/>
      <c r="PE20" s="55"/>
      <c r="PF20" s="55"/>
      <c r="PG20" s="55"/>
      <c r="PH20" s="55"/>
      <c r="PI20" s="55"/>
      <c r="PJ20" s="55"/>
      <c r="PK20" s="55"/>
      <c r="PL20" s="55"/>
      <c r="PM20" s="55"/>
      <c r="PN20" s="55"/>
      <c r="PO20" s="55"/>
      <c r="PP20" s="55"/>
      <c r="PQ20" s="55"/>
      <c r="PR20" s="55"/>
      <c r="PS20" s="55"/>
      <c r="PT20" s="55"/>
      <c r="PU20" s="55"/>
      <c r="PV20" s="55"/>
      <c r="PW20" s="55"/>
      <c r="PX20" s="55"/>
      <c r="PY20" s="55"/>
      <c r="PZ20" s="55"/>
      <c r="QA20" s="55"/>
      <c r="QB20" s="55"/>
      <c r="QC20" s="55"/>
      <c r="QD20" s="55"/>
      <c r="QE20" s="55"/>
      <c r="QF20" s="55"/>
      <c r="QG20" s="55"/>
      <c r="QH20" s="55"/>
      <c r="QI20" s="55"/>
      <c r="QJ20" s="55"/>
      <c r="QK20" s="55"/>
      <c r="QL20" s="55"/>
      <c r="QM20" s="55"/>
      <c r="QN20" s="55"/>
      <c r="QO20" s="55"/>
      <c r="QP20" s="55"/>
      <c r="QQ20" s="55"/>
      <c r="QR20" s="55"/>
      <c r="QS20" s="55"/>
      <c r="QT20" s="55"/>
      <c r="QU20" s="55"/>
      <c r="QV20" s="55"/>
      <c r="QW20" s="55"/>
      <c r="QX20" s="55"/>
      <c r="QY20" s="55"/>
      <c r="QZ20" s="55"/>
      <c r="RA20" s="55"/>
      <c r="RB20" s="55"/>
      <c r="RC20" s="55"/>
      <c r="RD20" s="55"/>
      <c r="RE20" s="55"/>
      <c r="RF20" s="55"/>
      <c r="RG20" s="55"/>
      <c r="RH20" s="55"/>
      <c r="RI20" s="55"/>
      <c r="RJ20" s="55"/>
      <c r="RK20" s="55"/>
      <c r="RL20" s="55"/>
      <c r="RM20" s="55"/>
      <c r="RN20" s="55"/>
      <c r="RO20" s="55"/>
      <c r="RP20" s="55"/>
      <c r="RQ20" s="55"/>
      <c r="RR20" s="55"/>
      <c r="RS20" s="55"/>
      <c r="RT20" s="55"/>
      <c r="RU20" s="55"/>
      <c r="RV20" s="55"/>
      <c r="RW20" s="55"/>
      <c r="RX20" s="55"/>
      <c r="RY20" s="55"/>
      <c r="RZ20" s="55"/>
      <c r="SA20" s="55"/>
      <c r="SB20" s="55"/>
      <c r="SC20" s="55"/>
      <c r="SD20" s="55"/>
      <c r="SE20" s="55"/>
      <c r="SF20" s="55"/>
      <c r="SG20" s="55"/>
      <c r="SH20" s="55"/>
      <c r="SI20" s="55"/>
      <c r="SJ20" s="55"/>
      <c r="SK20" s="55"/>
      <c r="SL20" s="55"/>
      <c r="SM20" s="55"/>
      <c r="SN20" s="55"/>
      <c r="SO20" s="55"/>
      <c r="SP20" s="55"/>
      <c r="SQ20" s="55"/>
      <c r="SR20" s="55"/>
      <c r="SS20" s="55"/>
      <c r="ST20" s="55"/>
      <c r="SU20" s="55"/>
      <c r="SV20" s="55"/>
      <c r="SW20" s="55"/>
      <c r="SX20" s="55"/>
      <c r="SY20" s="55"/>
      <c r="SZ20" s="55"/>
      <c r="TA20" s="55"/>
      <c r="TB20" s="55"/>
      <c r="TC20" s="55"/>
      <c r="TD20" s="55"/>
      <c r="TE20" s="55"/>
      <c r="TF20" s="55"/>
      <c r="TG20" s="55"/>
      <c r="TH20" s="55"/>
      <c r="TI20" s="55"/>
      <c r="TJ20" s="55"/>
      <c r="TK20" s="55"/>
      <c r="TL20" s="55"/>
      <c r="TM20" s="55"/>
      <c r="TN20" s="55"/>
      <c r="TO20" s="55"/>
      <c r="TP20" s="55"/>
      <c r="TQ20" s="55"/>
      <c r="TR20" s="55"/>
      <c r="TS20" s="55"/>
      <c r="TT20" s="55"/>
      <c r="TU20" s="55"/>
      <c r="TV20" s="55"/>
      <c r="TW20" s="55"/>
      <c r="TX20" s="55"/>
      <c r="TY20" s="55"/>
      <c r="TZ20" s="55"/>
      <c r="UA20" s="55"/>
      <c r="UB20" s="55"/>
      <c r="UC20" s="55"/>
      <c r="UD20" s="55"/>
      <c r="UE20" s="55"/>
      <c r="UF20" s="55"/>
      <c r="UG20" s="55"/>
      <c r="UH20" s="55"/>
      <c r="UI20" s="55"/>
      <c r="UJ20" s="55"/>
      <c r="UK20" s="55"/>
      <c r="UL20" s="55"/>
      <c r="UM20" s="55"/>
      <c r="UN20" s="55"/>
      <c r="UO20" s="55"/>
      <c r="UP20" s="55"/>
      <c r="UQ20" s="55"/>
      <c r="UR20" s="55"/>
      <c r="US20" s="55"/>
      <c r="UT20" s="55"/>
      <c r="UU20" s="55"/>
      <c r="UV20" s="55"/>
      <c r="UW20" s="55"/>
      <c r="UX20" s="55"/>
      <c r="UY20" s="55"/>
      <c r="UZ20" s="55"/>
      <c r="VA20" s="55"/>
      <c r="VB20" s="55"/>
      <c r="VC20" s="55"/>
      <c r="VD20" s="55"/>
      <c r="VE20" s="55"/>
      <c r="VF20" s="55"/>
      <c r="VG20" s="55"/>
      <c r="VH20" s="55"/>
      <c r="VI20" s="55"/>
      <c r="VJ20" s="55"/>
      <c r="VK20" s="55"/>
      <c r="VL20" s="55"/>
      <c r="VM20" s="55"/>
      <c r="VN20" s="55"/>
      <c r="VO20" s="55"/>
      <c r="VP20" s="55"/>
      <c r="VQ20" s="55"/>
      <c r="VR20" s="55"/>
      <c r="VS20" s="55"/>
      <c r="VT20" s="55"/>
      <c r="VU20" s="55"/>
      <c r="VV20" s="55"/>
      <c r="VW20" s="55"/>
      <c r="VX20" s="55"/>
      <c r="VY20" s="55"/>
      <c r="VZ20" s="55"/>
      <c r="WA20" s="55"/>
      <c r="WB20" s="55"/>
      <c r="WC20" s="55"/>
      <c r="WD20" s="55"/>
      <c r="WE20" s="55"/>
      <c r="WF20" s="55"/>
      <c r="WG20" s="55"/>
      <c r="WH20" s="55"/>
      <c r="WI20" s="55"/>
      <c r="WJ20" s="55"/>
      <c r="WK20" s="55"/>
      <c r="WL20" s="55"/>
      <c r="WM20" s="55"/>
      <c r="WN20" s="55"/>
      <c r="WO20" s="55"/>
      <c r="WP20" s="55"/>
      <c r="WQ20" s="55"/>
      <c r="WR20" s="55"/>
      <c r="WS20" s="55"/>
      <c r="WT20" s="55"/>
      <c r="WU20" s="55"/>
      <c r="WV20" s="55"/>
      <c r="WW20" s="55"/>
      <c r="WX20" s="55"/>
      <c r="WY20" s="55"/>
      <c r="WZ20" s="55"/>
      <c r="XA20" s="55"/>
      <c r="XB20" s="55"/>
      <c r="XC20" s="55"/>
      <c r="XD20" s="55"/>
      <c r="XE20" s="55"/>
      <c r="XF20" s="55"/>
      <c r="XG20" s="55"/>
      <c r="XH20" s="55"/>
      <c r="XI20" s="55"/>
      <c r="XJ20" s="55"/>
      <c r="XK20" s="55"/>
      <c r="XL20" s="55"/>
      <c r="XM20" s="55"/>
      <c r="XN20" s="55"/>
      <c r="XO20" s="55"/>
      <c r="XP20" s="55"/>
      <c r="XQ20" s="55"/>
      <c r="XR20" s="55"/>
      <c r="XS20" s="55"/>
      <c r="XT20" s="55"/>
      <c r="XU20" s="55"/>
      <c r="XV20" s="55"/>
      <c r="XW20" s="55"/>
      <c r="XX20" s="55"/>
      <c r="XY20" s="55"/>
      <c r="XZ20" s="55"/>
      <c r="YA20" s="55"/>
      <c r="YB20" s="55"/>
      <c r="YC20" s="55"/>
      <c r="YD20" s="55"/>
      <c r="YE20" s="55"/>
      <c r="YF20" s="55"/>
      <c r="YG20" s="55"/>
      <c r="YH20" s="55"/>
      <c r="YI20" s="55"/>
      <c r="YJ20" s="55"/>
      <c r="YK20" s="55"/>
      <c r="YL20" s="55"/>
      <c r="YM20" s="55"/>
      <c r="YN20" s="55"/>
      <c r="YO20" s="55"/>
      <c r="YP20" s="55"/>
      <c r="YQ20" s="55"/>
      <c r="YR20" s="55"/>
      <c r="YS20" s="55"/>
      <c r="YT20" s="55"/>
      <c r="YU20" s="55"/>
      <c r="YV20" s="55"/>
      <c r="YW20" s="55"/>
      <c r="YX20" s="55"/>
      <c r="YY20" s="55"/>
      <c r="YZ20" s="55"/>
      <c r="ZA20" s="55"/>
      <c r="ZB20" s="55"/>
      <c r="ZC20" s="55"/>
      <c r="ZD20" s="55"/>
      <c r="ZE20" s="55"/>
      <c r="ZF20" s="55"/>
      <c r="ZG20" s="55"/>
      <c r="ZH20" s="55"/>
      <c r="ZI20" s="55"/>
      <c r="ZJ20" s="55"/>
      <c r="ZK20" s="55"/>
      <c r="ZL20" s="55"/>
      <c r="ZM20" s="55"/>
      <c r="ZN20" s="55"/>
      <c r="ZO20" s="55"/>
      <c r="ZP20" s="55"/>
      <c r="ZQ20" s="55"/>
      <c r="ZR20" s="55"/>
      <c r="ZS20" s="55"/>
      <c r="ZT20" s="55"/>
      <c r="ZU20" s="55"/>
      <c r="ZV20" s="55"/>
      <c r="ZW20" s="55"/>
      <c r="ZX20" s="55"/>
      <c r="ZY20" s="55"/>
      <c r="ZZ20" s="55"/>
      <c r="AAA20" s="55"/>
      <c r="AAB20" s="55"/>
      <c r="AAC20" s="55"/>
      <c r="AAD20" s="55"/>
      <c r="AAE20" s="55"/>
      <c r="AAF20" s="55"/>
      <c r="AAG20" s="55"/>
      <c r="AAH20" s="55"/>
      <c r="AAI20" s="55"/>
      <c r="AAJ20" s="55"/>
      <c r="AAK20" s="55"/>
      <c r="AAL20" s="55"/>
      <c r="AAM20" s="55"/>
      <c r="AAN20" s="55"/>
      <c r="AAO20" s="55"/>
      <c r="AAP20" s="55"/>
      <c r="AAQ20" s="55"/>
      <c r="AAR20" s="55"/>
      <c r="AAS20" s="55"/>
      <c r="AAT20" s="55"/>
      <c r="AAU20" s="55"/>
      <c r="AAV20" s="55"/>
      <c r="AAW20" s="55"/>
      <c r="AAX20" s="55"/>
      <c r="AAY20" s="55"/>
      <c r="AAZ20" s="55"/>
      <c r="ABA20" s="55"/>
      <c r="ABB20" s="55"/>
      <c r="ABC20" s="55"/>
      <c r="ABD20" s="55"/>
      <c r="ABE20" s="55"/>
      <c r="ABF20" s="55"/>
      <c r="ABG20" s="55"/>
      <c r="ABH20" s="55"/>
      <c r="ABI20" s="55"/>
      <c r="ABJ20" s="55"/>
      <c r="ABK20" s="55"/>
      <c r="ABL20" s="55"/>
      <c r="ABM20" s="55"/>
      <c r="ABN20" s="55"/>
      <c r="ABO20" s="55"/>
      <c r="ABP20" s="55"/>
      <c r="ABQ20" s="55"/>
      <c r="ABR20" s="55"/>
      <c r="ABS20" s="55"/>
      <c r="ABT20" s="55"/>
      <c r="ABU20" s="55"/>
      <c r="ABV20" s="55"/>
      <c r="ABW20" s="55"/>
      <c r="ABX20" s="55"/>
      <c r="ABY20" s="55"/>
      <c r="ABZ20" s="55"/>
      <c r="ACA20" s="55"/>
      <c r="ACB20" s="55"/>
      <c r="ACC20" s="55"/>
      <c r="ACD20" s="55"/>
      <c r="ACE20" s="55"/>
      <c r="ACF20" s="55"/>
      <c r="ACG20" s="55"/>
      <c r="ACH20" s="55"/>
      <c r="ACI20" s="55"/>
      <c r="ACJ20" s="55"/>
      <c r="ACK20" s="55"/>
      <c r="ACL20" s="55"/>
      <c r="ACM20" s="55"/>
      <c r="ACN20" s="55"/>
      <c r="ACO20" s="55"/>
      <c r="ACP20" s="55"/>
      <c r="ACQ20" s="55"/>
      <c r="ACR20" s="55"/>
      <c r="ACS20" s="55"/>
      <c r="ACT20" s="55"/>
      <c r="ACU20" s="55"/>
      <c r="ACV20" s="55"/>
      <c r="ACW20" s="55"/>
      <c r="ACX20" s="55"/>
      <c r="ACY20" s="55"/>
      <c r="ACZ20" s="55"/>
      <c r="ADA20" s="55"/>
      <c r="ADB20" s="55"/>
      <c r="ADC20" s="55"/>
      <c r="ADD20" s="55"/>
      <c r="ADE20" s="55"/>
      <c r="ADF20" s="55"/>
      <c r="ADG20" s="55"/>
      <c r="ADH20" s="55"/>
      <c r="ADI20" s="55"/>
      <c r="ADJ20" s="55"/>
      <c r="ADK20" s="55"/>
      <c r="ADL20" s="55"/>
      <c r="ADM20" s="55"/>
      <c r="ADN20" s="55"/>
      <c r="ADO20" s="55"/>
      <c r="ADP20" s="55"/>
      <c r="ADQ20" s="55"/>
      <c r="ADR20" s="55"/>
      <c r="ADS20" s="55"/>
      <c r="ADT20" s="55"/>
      <c r="ADU20" s="55"/>
      <c r="ADV20" s="55"/>
      <c r="ADW20" s="55"/>
      <c r="ADX20" s="55"/>
      <c r="ADY20" s="55"/>
      <c r="ADZ20" s="55"/>
      <c r="AEA20" s="55"/>
      <c r="AEB20" s="55"/>
      <c r="AEC20" s="55"/>
      <c r="AED20" s="55"/>
      <c r="AEE20" s="55"/>
      <c r="AEF20" s="55"/>
      <c r="AEG20" s="55"/>
      <c r="AEH20" s="55"/>
      <c r="AEI20" s="55"/>
      <c r="AEJ20" s="55"/>
      <c r="AEK20" s="55"/>
      <c r="AEL20" s="55"/>
      <c r="AEM20" s="55"/>
      <c r="AEN20" s="55"/>
      <c r="AEO20" s="55"/>
      <c r="AEP20" s="55"/>
      <c r="AEQ20" s="55"/>
      <c r="AER20" s="55"/>
      <c r="AES20" s="55"/>
      <c r="AET20" s="55"/>
      <c r="AEU20" s="55"/>
      <c r="AEV20" s="55"/>
      <c r="AEW20" s="55"/>
      <c r="AEX20" s="55"/>
      <c r="AEY20" s="55"/>
      <c r="AEZ20" s="55"/>
      <c r="AFA20" s="55"/>
      <c r="AFB20" s="55"/>
      <c r="AFC20" s="55"/>
      <c r="AFD20" s="55"/>
      <c r="AFE20" s="55"/>
      <c r="AFF20" s="55"/>
      <c r="AFG20" s="55"/>
      <c r="AFH20" s="55"/>
      <c r="AFI20" s="55"/>
      <c r="AFJ20" s="55"/>
      <c r="AFK20" s="55"/>
      <c r="AFL20" s="55"/>
      <c r="AFM20" s="55"/>
      <c r="AFN20" s="55"/>
      <c r="AFO20" s="55"/>
      <c r="AFP20" s="55"/>
      <c r="AFQ20" s="55"/>
      <c r="AFR20" s="55"/>
      <c r="AFS20" s="55"/>
      <c r="AFT20" s="55"/>
      <c r="AFU20" s="55"/>
      <c r="AFV20" s="55"/>
      <c r="AFW20" s="55"/>
      <c r="AFX20" s="55"/>
      <c r="AFY20" s="55"/>
      <c r="AFZ20" s="55"/>
      <c r="AGA20" s="55"/>
      <c r="AGB20" s="55"/>
      <c r="AGC20" s="55"/>
      <c r="AGD20" s="55"/>
      <c r="AGE20" s="55"/>
      <c r="AGF20" s="55"/>
      <c r="AGG20" s="55"/>
      <c r="AGH20" s="55"/>
      <c r="AGI20" s="55"/>
      <c r="AGJ20" s="55"/>
      <c r="AGK20" s="55"/>
      <c r="AGL20" s="55"/>
      <c r="AGM20" s="55"/>
      <c r="AGN20" s="55"/>
      <c r="AGO20" s="55"/>
      <c r="AGP20" s="55"/>
      <c r="AGQ20" s="55"/>
      <c r="AGR20" s="55"/>
      <c r="AGS20" s="55"/>
      <c r="AGT20" s="55"/>
      <c r="AGU20" s="55"/>
      <c r="AGV20" s="55"/>
      <c r="AGW20" s="55"/>
      <c r="AGX20" s="55"/>
      <c r="AGY20" s="55"/>
      <c r="AGZ20" s="55"/>
      <c r="AHA20" s="55"/>
      <c r="AHB20" s="55"/>
      <c r="AHC20" s="55"/>
      <c r="AHD20" s="55"/>
      <c r="AHE20" s="55"/>
      <c r="AHF20" s="55"/>
      <c r="AHG20" s="55"/>
      <c r="AHH20" s="55"/>
      <c r="AHI20" s="55"/>
      <c r="AHJ20" s="55"/>
      <c r="AHK20" s="55"/>
      <c r="AHL20" s="55"/>
      <c r="AHM20" s="55"/>
      <c r="AHN20" s="55"/>
      <c r="AHO20" s="55"/>
      <c r="AHP20" s="55"/>
      <c r="AHQ20" s="55"/>
      <c r="AHR20" s="55"/>
      <c r="AHS20" s="55"/>
      <c r="AHT20" s="55"/>
      <c r="AHU20" s="55"/>
      <c r="AHV20" s="55"/>
      <c r="AHW20" s="55"/>
      <c r="AHX20" s="55"/>
      <c r="AHY20" s="55"/>
      <c r="AHZ20" s="55"/>
      <c r="AIA20" s="55"/>
      <c r="AIB20" s="55"/>
      <c r="AIC20" s="55"/>
      <c r="AID20" s="55"/>
      <c r="AIE20" s="55"/>
      <c r="AIF20" s="55"/>
      <c r="AIG20" s="55"/>
      <c r="AIH20" s="55"/>
      <c r="AII20" s="55"/>
      <c r="AIJ20" s="55"/>
      <c r="AIK20" s="55"/>
      <c r="AIL20" s="55"/>
      <c r="AIM20" s="55"/>
      <c r="AIN20" s="55"/>
      <c r="AIO20" s="55"/>
      <c r="AIP20" s="55"/>
      <c r="AIQ20" s="55"/>
      <c r="AIR20" s="55"/>
      <c r="AIS20" s="55"/>
      <c r="AIT20" s="55"/>
      <c r="AIU20" s="55"/>
      <c r="AIV20" s="55"/>
      <c r="AIW20" s="55"/>
      <c r="AIX20" s="55"/>
      <c r="AIY20" s="55"/>
      <c r="AIZ20" s="55"/>
      <c r="AJA20" s="55"/>
      <c r="AJB20" s="55"/>
      <c r="AJC20" s="55"/>
      <c r="AJD20" s="55"/>
      <c r="AJE20" s="55"/>
      <c r="AJF20" s="55"/>
      <c r="AJG20" s="55"/>
      <c r="AJH20" s="55"/>
      <c r="AJI20" s="55"/>
      <c r="AJJ20" s="55"/>
      <c r="AJK20" s="55"/>
      <c r="AJL20" s="55"/>
      <c r="AJM20" s="55"/>
      <c r="AJN20" s="55"/>
      <c r="AJO20" s="55"/>
      <c r="AJP20" s="55"/>
      <c r="AJQ20" s="55"/>
      <c r="AJR20" s="55"/>
      <c r="AJS20" s="55"/>
      <c r="AJT20" s="55"/>
      <c r="AJU20" s="55"/>
      <c r="AJV20" s="55"/>
      <c r="AJW20" s="55"/>
      <c r="AJX20" s="55"/>
      <c r="AJY20" s="55"/>
      <c r="AJZ20" s="55"/>
      <c r="AKA20" s="55"/>
      <c r="AKB20" s="55"/>
      <c r="AKC20" s="55"/>
      <c r="AKD20" s="55"/>
      <c r="AKE20" s="55"/>
      <c r="AKF20" s="55"/>
      <c r="AKG20" s="55"/>
      <c r="AKH20" s="55"/>
      <c r="AKI20" s="55"/>
      <c r="AKJ20" s="55"/>
      <c r="AKK20" s="55"/>
      <c r="AKL20" s="55"/>
      <c r="AKM20" s="55"/>
      <c r="AKN20" s="55"/>
      <c r="AKO20" s="55"/>
      <c r="AKP20" s="55"/>
      <c r="AKQ20" s="55"/>
      <c r="AKR20" s="55"/>
      <c r="AKS20" s="55"/>
      <c r="AKT20" s="55"/>
      <c r="AKU20" s="55"/>
      <c r="AKV20" s="55"/>
      <c r="AKW20" s="55"/>
      <c r="AKX20" s="55"/>
      <c r="AKY20" s="55"/>
      <c r="AKZ20" s="55"/>
      <c r="ALA20" s="55"/>
      <c r="ALB20" s="55"/>
      <c r="ALC20" s="55"/>
      <c r="ALD20" s="55"/>
      <c r="ALE20" s="55"/>
      <c r="ALF20" s="55"/>
      <c r="ALG20" s="55"/>
      <c r="ALH20" s="55"/>
      <c r="ALI20" s="55"/>
      <c r="ALJ20" s="55"/>
      <c r="ALK20" s="55"/>
      <c r="ALL20" s="55"/>
      <c r="ALM20" s="55"/>
      <c r="ALN20" s="55"/>
      <c r="ALO20" s="55"/>
      <c r="ALP20" s="55"/>
      <c r="ALQ20" s="55"/>
      <c r="ALR20" s="55"/>
      <c r="ALS20" s="55"/>
      <c r="ALT20" s="55"/>
      <c r="ALU20" s="55"/>
      <c r="ALV20" s="55"/>
      <c r="ALW20" s="55"/>
      <c r="ALX20" s="55"/>
      <c r="ALY20" s="55"/>
      <c r="ALZ20" s="55"/>
      <c r="AMA20" s="55"/>
      <c r="AMB20" s="55"/>
      <c r="AMC20" s="55"/>
      <c r="AMD20" s="55"/>
      <c r="AME20" s="55"/>
      <c r="AMF20" s="55"/>
      <c r="AMG20" s="55"/>
      <c r="AMH20" s="55"/>
    </row>
    <row r="21" s="62" customFormat="true" ht="13.5" hidden="true" customHeight="true" outlineLevel="0" collapsed="false">
      <c r="A21" s="63" t="s">
        <v>45</v>
      </c>
      <c r="B21" s="63"/>
      <c r="C21" s="63"/>
      <c r="D21" s="63"/>
      <c r="E21" s="63"/>
      <c r="F21" s="63"/>
      <c r="G21" s="63"/>
      <c r="H21" s="64" t="n">
        <f aca="false">Resumo!I22</f>
        <v>0</v>
      </c>
      <c r="I21" s="65"/>
      <c r="J21" s="65"/>
      <c r="K21" s="66" t="n">
        <f aca="false">Resumo!L22</f>
        <v>0</v>
      </c>
      <c r="L21" s="67" t="n">
        <f aca="false">Resumo!O22</f>
        <v>0</v>
      </c>
      <c r="M21" s="67" t="n">
        <f aca="false">Resumo!R22</f>
        <v>0</v>
      </c>
      <c r="N21" s="68" t="n">
        <f aca="false">Resumo!V22</f>
        <v>0</v>
      </c>
      <c r="O21" s="69" t="n">
        <f aca="false">(H21+K21+L21+M21)</f>
        <v>0</v>
      </c>
      <c r="P21" s="70" t="n">
        <f aca="false">Resumo!V22</f>
        <v>0</v>
      </c>
      <c r="Q21" s="70" t="n">
        <f aca="false">SUM(Q11:Q20)</f>
        <v>155574.07</v>
      </c>
      <c r="R21" s="71"/>
      <c r="S21" s="70" t="n">
        <f aca="false">SUM(S11:S20)</f>
        <v>16013.54</v>
      </c>
      <c r="T21" s="70"/>
      <c r="U21" s="70" t="n">
        <f aca="false">SUM(U11:U20)</f>
        <v>155574.07</v>
      </c>
    </row>
    <row r="22" s="62" customFormat="true" ht="15" hidden="true" customHeight="false" outlineLevel="0" collapsed="false">
      <c r="A22" s="72" t="s">
        <v>46</v>
      </c>
      <c r="B22" s="19"/>
      <c r="C22" s="19"/>
      <c r="D22" s="19"/>
      <c r="E22" s="73"/>
      <c r="F22" s="73"/>
      <c r="G22" s="19"/>
      <c r="H22" s="19"/>
      <c r="I22" s="19"/>
      <c r="J22" s="19"/>
      <c r="K22" s="3"/>
      <c r="L22" s="3"/>
      <c r="M22" s="3"/>
      <c r="N22" s="1"/>
      <c r="O22" s="1"/>
      <c r="P22" s="1"/>
      <c r="Q22" s="1"/>
      <c r="R22" s="4"/>
      <c r="S22" s="4"/>
      <c r="T22" s="4"/>
      <c r="U22" s="4"/>
      <c r="V22" s="4"/>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row>
    <row r="23" s="62" customFormat="true" ht="15" hidden="true" customHeight="false" outlineLevel="0" collapsed="false">
      <c r="A23" s="74" t="s">
        <v>47</v>
      </c>
      <c r="B23" s="75"/>
      <c r="C23" s="75"/>
      <c r="D23" s="75"/>
      <c r="E23" s="76"/>
      <c r="F23" s="76"/>
      <c r="G23" s="75"/>
      <c r="H23" s="75"/>
      <c r="I23" s="75"/>
      <c r="J23" s="75"/>
      <c r="K23" s="3"/>
      <c r="L23" s="3"/>
      <c r="M23" s="3"/>
      <c r="N23" s="1"/>
      <c r="O23" s="1"/>
      <c r="P23" s="1"/>
      <c r="Q23" s="1"/>
      <c r="R23" s="4"/>
      <c r="S23" s="4"/>
      <c r="T23" s="4"/>
      <c r="U23" s="4"/>
      <c r="V23" s="4"/>
      <c r="W23" s="4"/>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row>
    <row r="24" s="62" customFormat="true" ht="25.5" hidden="true" customHeight="true" outlineLevel="0" collapsed="false">
      <c r="A24" s="77" t="s">
        <v>48</v>
      </c>
      <c r="B24" s="77"/>
      <c r="C24" s="77" t="s">
        <v>49</v>
      </c>
      <c r="D24" s="77" t="s">
        <v>50</v>
      </c>
      <c r="E24" s="77" t="s">
        <v>51</v>
      </c>
      <c r="F24" s="77" t="s">
        <v>52</v>
      </c>
      <c r="H24" s="74"/>
      <c r="I24" s="78"/>
      <c r="J24" s="79"/>
      <c r="K24" s="78"/>
      <c r="L24" s="78"/>
      <c r="M24" s="78"/>
      <c r="R24" s="78"/>
      <c r="S24" s="78"/>
      <c r="T24" s="78"/>
      <c r="U24" s="78"/>
      <c r="V24" s="78"/>
      <c r="W24" s="78"/>
    </row>
    <row r="25" customFormat="false" ht="15" hidden="true" customHeight="false" outlineLevel="0" collapsed="false">
      <c r="A25" s="77"/>
      <c r="B25" s="77"/>
      <c r="C25" s="80" t="n">
        <v>220</v>
      </c>
      <c r="D25" s="80" t="n">
        <v>0</v>
      </c>
      <c r="E25" s="81" t="n">
        <v>133</v>
      </c>
      <c r="F25" s="82" t="n">
        <f aca="false">ROUND((D25/VLOOKUP(C25,$B$154:$C$160,2,FALSE())+E25/60/VLOOKUP(C25,$B$154:$C$160,2,FALSE())),2)</f>
        <v>0.25</v>
      </c>
      <c r="G25" s="62"/>
      <c r="H25" s="74"/>
      <c r="I25" s="78"/>
      <c r="J25" s="74"/>
      <c r="K25" s="78"/>
      <c r="L25" s="78"/>
      <c r="M25" s="78"/>
      <c r="N25" s="62"/>
      <c r="O25" s="62"/>
      <c r="P25" s="62"/>
      <c r="Q25" s="62"/>
      <c r="R25" s="78"/>
      <c r="S25" s="78"/>
      <c r="T25" s="78"/>
      <c r="U25" s="78"/>
      <c r="V25" s="78"/>
      <c r="W25" s="78"/>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62"/>
      <c r="ON25" s="62"/>
      <c r="OO25" s="62"/>
      <c r="OP25" s="62"/>
      <c r="OQ25" s="62"/>
      <c r="OR25" s="62"/>
      <c r="OS25" s="62"/>
      <c r="OT25" s="62"/>
      <c r="OU25" s="62"/>
      <c r="OV25" s="62"/>
      <c r="OW25" s="62"/>
      <c r="OX25" s="62"/>
      <c r="OY25" s="62"/>
      <c r="OZ25" s="62"/>
      <c r="PA25" s="62"/>
      <c r="PB25" s="62"/>
      <c r="PC25" s="62"/>
      <c r="PD25" s="62"/>
      <c r="PE25" s="62"/>
      <c r="PF25" s="62"/>
      <c r="PG25" s="62"/>
      <c r="PH25" s="62"/>
      <c r="PI25" s="62"/>
      <c r="PJ25" s="62"/>
      <c r="PK25" s="62"/>
      <c r="PL25" s="62"/>
      <c r="PM25" s="62"/>
      <c r="PN25" s="62"/>
      <c r="PO25" s="62"/>
      <c r="PP25" s="62"/>
      <c r="PQ25" s="62"/>
      <c r="PR25" s="62"/>
      <c r="PS25" s="62"/>
      <c r="PT25" s="62"/>
      <c r="PU25" s="62"/>
      <c r="PV25" s="62"/>
      <c r="PW25" s="62"/>
      <c r="PX25" s="62"/>
      <c r="PY25" s="62"/>
      <c r="PZ25" s="62"/>
      <c r="QA25" s="62"/>
      <c r="QB25" s="62"/>
      <c r="QC25" s="62"/>
      <c r="QD25" s="62"/>
      <c r="QE25" s="62"/>
      <c r="QF25" s="62"/>
      <c r="QG25" s="62"/>
      <c r="QH25" s="62"/>
      <c r="QI25" s="62"/>
      <c r="QJ25" s="62"/>
      <c r="QK25" s="62"/>
      <c r="QL25" s="62"/>
      <c r="QM25" s="62"/>
      <c r="QN25" s="62"/>
      <c r="QO25" s="62"/>
      <c r="QP25" s="62"/>
      <c r="QQ25" s="62"/>
      <c r="QR25" s="62"/>
      <c r="QS25" s="62"/>
      <c r="QT25" s="62"/>
      <c r="QU25" s="62"/>
      <c r="QV25" s="62"/>
      <c r="QW25" s="62"/>
      <c r="QX25" s="62"/>
      <c r="QY25" s="62"/>
      <c r="QZ25" s="62"/>
      <c r="RA25" s="62"/>
      <c r="RB25" s="62"/>
      <c r="RC25" s="62"/>
      <c r="RD25" s="62"/>
      <c r="RE25" s="62"/>
      <c r="RF25" s="62"/>
      <c r="RG25" s="62"/>
      <c r="RH25" s="62"/>
      <c r="RI25" s="62"/>
      <c r="RJ25" s="62"/>
      <c r="RK25" s="62"/>
      <c r="RL25" s="62"/>
      <c r="RM25" s="62"/>
      <c r="RN25" s="62"/>
      <c r="RO25" s="62"/>
      <c r="RP25" s="62"/>
      <c r="RQ25" s="62"/>
      <c r="RR25" s="62"/>
      <c r="RS25" s="62"/>
      <c r="RT25" s="62"/>
      <c r="RU25" s="62"/>
      <c r="RV25" s="62"/>
      <c r="RW25" s="62"/>
      <c r="RX25" s="62"/>
      <c r="RY25" s="62"/>
      <c r="RZ25" s="62"/>
      <c r="SA25" s="62"/>
      <c r="SB25" s="62"/>
      <c r="SC25" s="62"/>
      <c r="SD25" s="62"/>
      <c r="SE25" s="62"/>
      <c r="SF25" s="62"/>
      <c r="SG25" s="62"/>
      <c r="SH25" s="62"/>
      <c r="SI25" s="62"/>
      <c r="SJ25" s="62"/>
      <c r="SK25" s="62"/>
      <c r="SL25" s="62"/>
      <c r="SM25" s="62"/>
      <c r="SN25" s="62"/>
      <c r="SO25" s="62"/>
      <c r="SP25" s="62"/>
      <c r="SQ25" s="62"/>
      <c r="SR25" s="62"/>
      <c r="SS25" s="62"/>
      <c r="ST25" s="62"/>
      <c r="SU25" s="62"/>
      <c r="SV25" s="62"/>
      <c r="SW25" s="62"/>
      <c r="SX25" s="62"/>
      <c r="SY25" s="62"/>
      <c r="SZ25" s="62"/>
      <c r="TA25" s="62"/>
      <c r="TB25" s="62"/>
      <c r="TC25" s="62"/>
      <c r="TD25" s="62"/>
      <c r="TE25" s="62"/>
      <c r="TF25" s="62"/>
      <c r="TG25" s="62"/>
      <c r="TH25" s="62"/>
      <c r="TI25" s="62"/>
      <c r="TJ25" s="62"/>
      <c r="TK25" s="62"/>
      <c r="TL25" s="62"/>
      <c r="TM25" s="62"/>
      <c r="TN25" s="62"/>
      <c r="TO25" s="62"/>
      <c r="TP25" s="62"/>
      <c r="TQ25" s="62"/>
      <c r="TR25" s="62"/>
      <c r="TS25" s="62"/>
      <c r="TT25" s="62"/>
      <c r="TU25" s="62"/>
      <c r="TV25" s="62"/>
      <c r="TW25" s="62"/>
      <c r="TX25" s="62"/>
      <c r="TY25" s="62"/>
      <c r="TZ25" s="62"/>
      <c r="UA25" s="62"/>
      <c r="UB25" s="62"/>
      <c r="UC25" s="62"/>
      <c r="UD25" s="62"/>
      <c r="UE25" s="62"/>
      <c r="UF25" s="62"/>
      <c r="UG25" s="62"/>
      <c r="UH25" s="62"/>
      <c r="UI25" s="62"/>
      <c r="UJ25" s="62"/>
      <c r="UK25" s="62"/>
      <c r="UL25" s="62"/>
      <c r="UM25" s="62"/>
      <c r="UN25" s="62"/>
      <c r="UO25" s="62"/>
      <c r="UP25" s="62"/>
      <c r="UQ25" s="62"/>
      <c r="UR25" s="62"/>
      <c r="US25" s="62"/>
      <c r="UT25" s="62"/>
      <c r="UU25" s="62"/>
      <c r="UV25" s="62"/>
      <c r="UW25" s="62"/>
      <c r="UX25" s="62"/>
      <c r="UY25" s="62"/>
      <c r="UZ25" s="62"/>
      <c r="VA25" s="62"/>
      <c r="VB25" s="62"/>
      <c r="VC25" s="62"/>
      <c r="VD25" s="62"/>
      <c r="VE25" s="62"/>
      <c r="VF25" s="62"/>
      <c r="VG25" s="62"/>
      <c r="VH25" s="62"/>
      <c r="VI25" s="62"/>
      <c r="VJ25" s="62"/>
      <c r="VK25" s="62"/>
      <c r="VL25" s="62"/>
      <c r="VM25" s="62"/>
      <c r="VN25" s="62"/>
      <c r="VO25" s="62"/>
      <c r="VP25" s="62"/>
      <c r="VQ25" s="62"/>
      <c r="VR25" s="62"/>
      <c r="VS25" s="62"/>
      <c r="VT25" s="62"/>
      <c r="VU25" s="62"/>
      <c r="VV25" s="62"/>
      <c r="VW25" s="62"/>
      <c r="VX25" s="62"/>
      <c r="VY25" s="62"/>
      <c r="VZ25" s="62"/>
      <c r="WA25" s="62"/>
      <c r="WB25" s="62"/>
      <c r="WC25" s="62"/>
      <c r="WD25" s="62"/>
      <c r="WE25" s="62"/>
      <c r="WF25" s="62"/>
      <c r="WG25" s="62"/>
      <c r="WH25" s="62"/>
      <c r="WI25" s="62"/>
      <c r="WJ25" s="62"/>
      <c r="WK25" s="62"/>
      <c r="WL25" s="62"/>
      <c r="WM25" s="62"/>
      <c r="WN25" s="62"/>
      <c r="WO25" s="62"/>
      <c r="WP25" s="62"/>
      <c r="WQ25" s="62"/>
      <c r="WR25" s="62"/>
      <c r="WS25" s="62"/>
      <c r="WT25" s="62"/>
      <c r="WU25" s="62"/>
      <c r="WV25" s="62"/>
      <c r="WW25" s="62"/>
      <c r="WX25" s="62"/>
      <c r="WY25" s="62"/>
      <c r="WZ25" s="62"/>
      <c r="XA25" s="62"/>
      <c r="XB25" s="62"/>
      <c r="XC25" s="62"/>
      <c r="XD25" s="62"/>
      <c r="XE25" s="62"/>
      <c r="XF25" s="62"/>
      <c r="XG25" s="62"/>
      <c r="XH25" s="62"/>
      <c r="XI25" s="62"/>
      <c r="XJ25" s="62"/>
      <c r="XK25" s="62"/>
      <c r="XL25" s="62"/>
      <c r="XM25" s="62"/>
      <c r="XN25" s="62"/>
      <c r="XO25" s="62"/>
      <c r="XP25" s="62"/>
      <c r="XQ25" s="62"/>
      <c r="XR25" s="62"/>
      <c r="XS25" s="62"/>
      <c r="XT25" s="62"/>
      <c r="XU25" s="62"/>
      <c r="XV25" s="62"/>
      <c r="XW25" s="62"/>
      <c r="XX25" s="62"/>
      <c r="XY25" s="62"/>
      <c r="XZ25" s="62"/>
      <c r="YA25" s="62"/>
      <c r="YB25" s="62"/>
      <c r="YC25" s="62"/>
      <c r="YD25" s="62"/>
      <c r="YE25" s="62"/>
      <c r="YF25" s="62"/>
      <c r="YG25" s="62"/>
      <c r="YH25" s="62"/>
      <c r="YI25" s="62"/>
      <c r="YJ25" s="62"/>
      <c r="YK25" s="62"/>
      <c r="YL25" s="62"/>
      <c r="YM25" s="62"/>
      <c r="YN25" s="62"/>
      <c r="YO25" s="62"/>
      <c r="YP25" s="62"/>
      <c r="YQ25" s="62"/>
      <c r="YR25" s="62"/>
      <c r="YS25" s="62"/>
      <c r="YT25" s="62"/>
      <c r="YU25" s="62"/>
      <c r="YV25" s="62"/>
      <c r="YW25" s="62"/>
      <c r="YX25" s="62"/>
      <c r="YY25" s="62"/>
      <c r="YZ25" s="62"/>
      <c r="ZA25" s="62"/>
      <c r="ZB25" s="62"/>
      <c r="ZC25" s="62"/>
      <c r="ZD25" s="62"/>
      <c r="ZE25" s="62"/>
      <c r="ZF25" s="62"/>
      <c r="ZG25" s="62"/>
      <c r="ZH25" s="62"/>
      <c r="ZI25" s="62"/>
      <c r="ZJ25" s="62"/>
      <c r="ZK25" s="62"/>
      <c r="ZL25" s="62"/>
      <c r="ZM25" s="62"/>
      <c r="ZN25" s="62"/>
      <c r="ZO25" s="62"/>
      <c r="ZP25" s="62"/>
      <c r="ZQ25" s="62"/>
      <c r="ZR25" s="62"/>
      <c r="ZS25" s="62"/>
      <c r="ZT25" s="62"/>
      <c r="ZU25" s="62"/>
      <c r="ZV25" s="62"/>
      <c r="ZW25" s="62"/>
      <c r="ZX25" s="62"/>
      <c r="ZY25" s="62"/>
      <c r="ZZ25" s="62"/>
      <c r="AAA25" s="62"/>
      <c r="AAB25" s="62"/>
      <c r="AAC25" s="62"/>
      <c r="AAD25" s="62"/>
      <c r="AAE25" s="62"/>
      <c r="AAF25" s="62"/>
      <c r="AAG25" s="62"/>
      <c r="AAH25" s="62"/>
      <c r="AAI25" s="62"/>
      <c r="AAJ25" s="62"/>
      <c r="AAK25" s="62"/>
      <c r="AAL25" s="62"/>
      <c r="AAM25" s="62"/>
      <c r="AAN25" s="62"/>
      <c r="AAO25" s="62"/>
      <c r="AAP25" s="62"/>
      <c r="AAQ25" s="62"/>
      <c r="AAR25" s="62"/>
      <c r="AAS25" s="62"/>
      <c r="AAT25" s="62"/>
      <c r="AAU25" s="62"/>
      <c r="AAV25" s="62"/>
      <c r="AAW25" s="62"/>
      <c r="AAX25" s="62"/>
      <c r="AAY25" s="62"/>
      <c r="AAZ25" s="62"/>
      <c r="ABA25" s="62"/>
      <c r="ABB25" s="62"/>
      <c r="ABC25" s="62"/>
      <c r="ABD25" s="62"/>
      <c r="ABE25" s="62"/>
      <c r="ABF25" s="62"/>
      <c r="ABG25" s="62"/>
      <c r="ABH25" s="62"/>
      <c r="ABI25" s="62"/>
      <c r="ABJ25" s="62"/>
      <c r="ABK25" s="62"/>
      <c r="ABL25" s="62"/>
      <c r="ABM25" s="62"/>
      <c r="ABN25" s="62"/>
      <c r="ABO25" s="62"/>
      <c r="ABP25" s="62"/>
      <c r="ABQ25" s="62"/>
      <c r="ABR25" s="62"/>
      <c r="ABS25" s="62"/>
      <c r="ABT25" s="62"/>
      <c r="ABU25" s="62"/>
      <c r="ABV25" s="62"/>
      <c r="ABW25" s="62"/>
      <c r="ABX25" s="62"/>
      <c r="ABY25" s="62"/>
      <c r="ABZ25" s="62"/>
      <c r="ACA25" s="62"/>
      <c r="ACB25" s="62"/>
      <c r="ACC25" s="62"/>
      <c r="ACD25" s="62"/>
      <c r="ACE25" s="62"/>
      <c r="ACF25" s="62"/>
      <c r="ACG25" s="62"/>
      <c r="ACH25" s="62"/>
      <c r="ACI25" s="62"/>
      <c r="ACJ25" s="62"/>
      <c r="ACK25" s="62"/>
      <c r="ACL25" s="62"/>
      <c r="ACM25" s="62"/>
      <c r="ACN25" s="62"/>
      <c r="ACO25" s="62"/>
      <c r="ACP25" s="62"/>
      <c r="ACQ25" s="62"/>
      <c r="ACR25" s="62"/>
      <c r="ACS25" s="62"/>
      <c r="ACT25" s="62"/>
      <c r="ACU25" s="62"/>
      <c r="ACV25" s="62"/>
      <c r="ACW25" s="62"/>
      <c r="ACX25" s="62"/>
      <c r="ACY25" s="62"/>
      <c r="ACZ25" s="62"/>
      <c r="ADA25" s="62"/>
      <c r="ADB25" s="62"/>
      <c r="ADC25" s="62"/>
      <c r="ADD25" s="62"/>
      <c r="ADE25" s="62"/>
      <c r="ADF25" s="62"/>
      <c r="ADG25" s="62"/>
      <c r="ADH25" s="62"/>
      <c r="ADI25" s="62"/>
      <c r="ADJ25" s="62"/>
      <c r="ADK25" s="62"/>
      <c r="ADL25" s="62"/>
      <c r="ADM25" s="62"/>
      <c r="ADN25" s="62"/>
      <c r="ADO25" s="62"/>
      <c r="ADP25" s="62"/>
      <c r="ADQ25" s="62"/>
      <c r="ADR25" s="62"/>
      <c r="ADS25" s="62"/>
      <c r="ADT25" s="62"/>
      <c r="ADU25" s="62"/>
      <c r="ADV25" s="62"/>
      <c r="ADW25" s="62"/>
      <c r="ADX25" s="62"/>
      <c r="ADY25" s="62"/>
      <c r="ADZ25" s="62"/>
      <c r="AEA25" s="62"/>
      <c r="AEB25" s="62"/>
      <c r="AEC25" s="62"/>
      <c r="AED25" s="62"/>
      <c r="AEE25" s="62"/>
      <c r="AEF25" s="62"/>
      <c r="AEG25" s="62"/>
      <c r="AEH25" s="62"/>
      <c r="AEI25" s="62"/>
      <c r="AEJ25" s="62"/>
      <c r="AEK25" s="62"/>
      <c r="AEL25" s="62"/>
      <c r="AEM25" s="62"/>
      <c r="AEN25" s="62"/>
      <c r="AEO25" s="62"/>
      <c r="AEP25" s="62"/>
      <c r="AEQ25" s="62"/>
      <c r="AER25" s="62"/>
      <c r="AES25" s="62"/>
      <c r="AET25" s="62"/>
      <c r="AEU25" s="62"/>
      <c r="AEV25" s="62"/>
      <c r="AEW25" s="62"/>
      <c r="AEX25" s="62"/>
      <c r="AEY25" s="62"/>
      <c r="AEZ25" s="62"/>
      <c r="AFA25" s="62"/>
      <c r="AFB25" s="62"/>
      <c r="AFC25" s="62"/>
      <c r="AFD25" s="62"/>
      <c r="AFE25" s="62"/>
      <c r="AFF25" s="62"/>
      <c r="AFG25" s="62"/>
      <c r="AFH25" s="62"/>
      <c r="AFI25" s="62"/>
      <c r="AFJ25" s="62"/>
      <c r="AFK25" s="62"/>
      <c r="AFL25" s="62"/>
      <c r="AFM25" s="62"/>
      <c r="AFN25" s="62"/>
      <c r="AFO25" s="62"/>
      <c r="AFP25" s="62"/>
      <c r="AFQ25" s="62"/>
      <c r="AFR25" s="62"/>
      <c r="AFS25" s="62"/>
      <c r="AFT25" s="62"/>
      <c r="AFU25" s="62"/>
      <c r="AFV25" s="62"/>
      <c r="AFW25" s="62"/>
      <c r="AFX25" s="62"/>
      <c r="AFY25" s="62"/>
      <c r="AFZ25" s="62"/>
      <c r="AGA25" s="62"/>
      <c r="AGB25" s="62"/>
      <c r="AGC25" s="62"/>
      <c r="AGD25" s="62"/>
      <c r="AGE25" s="62"/>
      <c r="AGF25" s="62"/>
      <c r="AGG25" s="62"/>
      <c r="AGH25" s="62"/>
      <c r="AGI25" s="62"/>
      <c r="AGJ25" s="62"/>
      <c r="AGK25" s="62"/>
      <c r="AGL25" s="62"/>
      <c r="AGM25" s="62"/>
      <c r="AGN25" s="62"/>
      <c r="AGO25" s="62"/>
      <c r="AGP25" s="62"/>
      <c r="AGQ25" s="62"/>
      <c r="AGR25" s="62"/>
      <c r="AGS25" s="62"/>
      <c r="AGT25" s="62"/>
      <c r="AGU25" s="62"/>
      <c r="AGV25" s="62"/>
      <c r="AGW25" s="62"/>
      <c r="AGX25" s="62"/>
      <c r="AGY25" s="62"/>
      <c r="AGZ25" s="62"/>
      <c r="AHA25" s="62"/>
      <c r="AHB25" s="62"/>
      <c r="AHC25" s="62"/>
      <c r="AHD25" s="62"/>
      <c r="AHE25" s="62"/>
      <c r="AHF25" s="62"/>
      <c r="AHG25" s="62"/>
      <c r="AHH25" s="62"/>
      <c r="AHI25" s="62"/>
      <c r="AHJ25" s="62"/>
      <c r="AHK25" s="62"/>
      <c r="AHL25" s="62"/>
      <c r="AHM25" s="62"/>
      <c r="AHN25" s="62"/>
      <c r="AHO25" s="62"/>
      <c r="AHP25" s="62"/>
      <c r="AHQ25" s="62"/>
      <c r="AHR25" s="62"/>
      <c r="AHS25" s="62"/>
      <c r="AHT25" s="62"/>
      <c r="AHU25" s="62"/>
      <c r="AHV25" s="62"/>
      <c r="AHW25" s="62"/>
      <c r="AHX25" s="62"/>
      <c r="AHY25" s="62"/>
      <c r="AHZ25" s="62"/>
      <c r="AIA25" s="62"/>
      <c r="AIB25" s="62"/>
      <c r="AIC25" s="62"/>
      <c r="AID25" s="62"/>
      <c r="AIE25" s="62"/>
      <c r="AIF25" s="62"/>
      <c r="AIG25" s="62"/>
      <c r="AIH25" s="62"/>
      <c r="AII25" s="62"/>
      <c r="AIJ25" s="62"/>
      <c r="AIK25" s="62"/>
      <c r="AIL25" s="62"/>
      <c r="AIM25" s="62"/>
      <c r="AIN25" s="62"/>
      <c r="AIO25" s="62"/>
      <c r="AIP25" s="62"/>
      <c r="AIQ25" s="62"/>
      <c r="AIR25" s="62"/>
      <c r="AIS25" s="62"/>
      <c r="AIT25" s="62"/>
      <c r="AIU25" s="62"/>
      <c r="AIV25" s="62"/>
      <c r="AIW25" s="62"/>
      <c r="AIX25" s="62"/>
      <c r="AIY25" s="62"/>
      <c r="AIZ25" s="62"/>
      <c r="AJA25" s="62"/>
      <c r="AJB25" s="62"/>
      <c r="AJC25" s="62"/>
      <c r="AJD25" s="62"/>
      <c r="AJE25" s="62"/>
      <c r="AJF25" s="62"/>
      <c r="AJG25" s="62"/>
      <c r="AJH25" s="62"/>
      <c r="AJI25" s="62"/>
      <c r="AJJ25" s="62"/>
      <c r="AJK25" s="62"/>
      <c r="AJL25" s="62"/>
      <c r="AJM25" s="62"/>
      <c r="AJN25" s="62"/>
      <c r="AJO25" s="62"/>
      <c r="AJP25" s="62"/>
      <c r="AJQ25" s="62"/>
      <c r="AJR25" s="62"/>
      <c r="AJS25" s="62"/>
      <c r="AJT25" s="62"/>
      <c r="AJU25" s="62"/>
      <c r="AJV25" s="62"/>
      <c r="AJW25" s="62"/>
      <c r="AJX25" s="62"/>
      <c r="AJY25" s="62"/>
      <c r="AJZ25" s="62"/>
      <c r="AKA25" s="62"/>
      <c r="AKB25" s="62"/>
      <c r="AKC25" s="62"/>
      <c r="AKD25" s="62"/>
      <c r="AKE25" s="62"/>
      <c r="AKF25" s="62"/>
      <c r="AKG25" s="62"/>
      <c r="AKH25" s="62"/>
      <c r="AKI25" s="62"/>
      <c r="AKJ25" s="62"/>
      <c r="AKK25" s="62"/>
      <c r="AKL25" s="62"/>
      <c r="AKM25" s="62"/>
      <c r="AKN25" s="62"/>
      <c r="AKO25" s="62"/>
      <c r="AKP25" s="62"/>
      <c r="AKQ25" s="62"/>
      <c r="AKR25" s="62"/>
      <c r="AKS25" s="62"/>
      <c r="AKT25" s="62"/>
      <c r="AKU25" s="62"/>
      <c r="AKV25" s="62"/>
      <c r="AKW25" s="62"/>
      <c r="AKX25" s="62"/>
      <c r="AKY25" s="62"/>
      <c r="AKZ25" s="62"/>
      <c r="ALA25" s="62"/>
      <c r="ALB25" s="62"/>
      <c r="ALC25" s="62"/>
      <c r="ALD25" s="62"/>
      <c r="ALE25" s="62"/>
      <c r="ALF25" s="62"/>
      <c r="ALG25" s="62"/>
      <c r="ALH25" s="62"/>
      <c r="ALI25" s="62"/>
      <c r="ALJ25" s="62"/>
      <c r="ALK25" s="62"/>
      <c r="ALL25" s="62"/>
      <c r="ALM25" s="62"/>
      <c r="ALN25" s="62"/>
      <c r="ALO25" s="62"/>
      <c r="ALP25" s="62"/>
      <c r="ALQ25" s="62"/>
      <c r="ALR25" s="62"/>
      <c r="ALS25" s="62"/>
      <c r="ALT25" s="62"/>
      <c r="ALU25" s="62"/>
      <c r="ALV25" s="62"/>
      <c r="ALW25" s="62"/>
      <c r="ALX25" s="62"/>
      <c r="ALY25" s="62"/>
      <c r="ALZ25" s="62"/>
      <c r="AMA25" s="62"/>
      <c r="AMB25" s="62"/>
      <c r="AMC25" s="62"/>
      <c r="AMD25" s="62"/>
      <c r="AME25" s="62"/>
      <c r="AMF25" s="62"/>
      <c r="AMG25" s="62"/>
      <c r="AMH25" s="62"/>
      <c r="AMI25" s="62"/>
      <c r="AMJ25" s="62"/>
    </row>
    <row r="26" customFormat="false" ht="15" hidden="true" customHeight="true" outlineLevel="0" collapsed="false">
      <c r="A26" s="83" t="s">
        <v>53</v>
      </c>
      <c r="B26" s="83"/>
      <c r="C26" s="83"/>
      <c r="D26" s="83"/>
      <c r="E26" s="83"/>
      <c r="F26" s="83"/>
      <c r="G26" s="19"/>
      <c r="H26" s="19"/>
      <c r="I26" s="19"/>
      <c r="J26" s="74"/>
      <c r="K26" s="78"/>
      <c r="L26" s="78"/>
      <c r="M26" s="78"/>
      <c r="N26" s="62"/>
      <c r="O26" s="62"/>
      <c r="P26" s="62"/>
      <c r="Q26" s="62"/>
      <c r="R26" s="78"/>
      <c r="S26" s="78"/>
      <c r="T26" s="78"/>
      <c r="U26" s="78"/>
      <c r="V26" s="78"/>
      <c r="W26" s="78"/>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62"/>
      <c r="ON26" s="62"/>
      <c r="OO26" s="62"/>
      <c r="OP26" s="62"/>
      <c r="OQ26" s="62"/>
      <c r="OR26" s="62"/>
      <c r="OS26" s="62"/>
      <c r="OT26" s="62"/>
      <c r="OU26" s="62"/>
      <c r="OV26" s="62"/>
      <c r="OW26" s="62"/>
      <c r="OX26" s="62"/>
      <c r="OY26" s="62"/>
      <c r="OZ26" s="62"/>
      <c r="PA26" s="62"/>
      <c r="PB26" s="62"/>
      <c r="PC26" s="62"/>
      <c r="PD26" s="62"/>
      <c r="PE26" s="62"/>
      <c r="PF26" s="62"/>
      <c r="PG26" s="62"/>
      <c r="PH26" s="62"/>
      <c r="PI26" s="62"/>
      <c r="PJ26" s="62"/>
      <c r="PK26" s="62"/>
      <c r="PL26" s="62"/>
      <c r="PM26" s="62"/>
      <c r="PN26" s="62"/>
      <c r="PO26" s="62"/>
      <c r="PP26" s="62"/>
      <c r="PQ26" s="62"/>
      <c r="PR26" s="62"/>
      <c r="PS26" s="62"/>
      <c r="PT26" s="62"/>
      <c r="PU26" s="62"/>
      <c r="PV26" s="62"/>
      <c r="PW26" s="62"/>
      <c r="PX26" s="62"/>
      <c r="PY26" s="62"/>
      <c r="PZ26" s="62"/>
      <c r="QA26" s="62"/>
      <c r="QB26" s="62"/>
      <c r="QC26" s="62"/>
      <c r="QD26" s="62"/>
      <c r="QE26" s="62"/>
      <c r="QF26" s="62"/>
      <c r="QG26" s="62"/>
      <c r="QH26" s="62"/>
      <c r="QI26" s="62"/>
      <c r="QJ26" s="62"/>
      <c r="QK26" s="62"/>
      <c r="QL26" s="62"/>
      <c r="QM26" s="62"/>
      <c r="QN26" s="62"/>
      <c r="QO26" s="62"/>
      <c r="QP26" s="62"/>
      <c r="QQ26" s="62"/>
      <c r="QR26" s="62"/>
      <c r="QS26" s="62"/>
      <c r="QT26" s="62"/>
      <c r="QU26" s="62"/>
      <c r="QV26" s="62"/>
      <c r="QW26" s="62"/>
      <c r="QX26" s="62"/>
      <c r="QY26" s="62"/>
      <c r="QZ26" s="62"/>
      <c r="RA26" s="62"/>
      <c r="RB26" s="62"/>
      <c r="RC26" s="62"/>
      <c r="RD26" s="62"/>
      <c r="RE26" s="62"/>
      <c r="RF26" s="62"/>
      <c r="RG26" s="62"/>
      <c r="RH26" s="62"/>
      <c r="RI26" s="62"/>
      <c r="RJ26" s="62"/>
      <c r="RK26" s="62"/>
      <c r="RL26" s="62"/>
      <c r="RM26" s="62"/>
      <c r="RN26" s="62"/>
      <c r="RO26" s="62"/>
      <c r="RP26" s="62"/>
      <c r="RQ26" s="62"/>
      <c r="RR26" s="62"/>
      <c r="RS26" s="62"/>
      <c r="RT26" s="62"/>
      <c r="RU26" s="62"/>
      <c r="RV26" s="62"/>
      <c r="RW26" s="62"/>
      <c r="RX26" s="62"/>
      <c r="RY26" s="62"/>
      <c r="RZ26" s="62"/>
      <c r="SA26" s="62"/>
      <c r="SB26" s="62"/>
      <c r="SC26" s="62"/>
      <c r="SD26" s="62"/>
      <c r="SE26" s="62"/>
      <c r="SF26" s="62"/>
      <c r="SG26" s="62"/>
      <c r="SH26" s="62"/>
      <c r="SI26" s="62"/>
      <c r="SJ26" s="62"/>
      <c r="SK26" s="62"/>
      <c r="SL26" s="62"/>
      <c r="SM26" s="62"/>
      <c r="SN26" s="62"/>
      <c r="SO26" s="62"/>
      <c r="SP26" s="62"/>
      <c r="SQ26" s="62"/>
      <c r="SR26" s="62"/>
      <c r="SS26" s="62"/>
      <c r="ST26" s="62"/>
      <c r="SU26" s="62"/>
      <c r="SV26" s="62"/>
      <c r="SW26" s="62"/>
      <c r="SX26" s="62"/>
      <c r="SY26" s="62"/>
      <c r="SZ26" s="62"/>
      <c r="TA26" s="62"/>
      <c r="TB26" s="62"/>
      <c r="TC26" s="62"/>
      <c r="TD26" s="62"/>
      <c r="TE26" s="62"/>
      <c r="TF26" s="62"/>
      <c r="TG26" s="62"/>
      <c r="TH26" s="62"/>
      <c r="TI26" s="62"/>
      <c r="TJ26" s="62"/>
      <c r="TK26" s="62"/>
      <c r="TL26" s="62"/>
      <c r="TM26" s="62"/>
      <c r="TN26" s="62"/>
      <c r="TO26" s="62"/>
      <c r="TP26" s="62"/>
      <c r="TQ26" s="62"/>
      <c r="TR26" s="62"/>
      <c r="TS26" s="62"/>
      <c r="TT26" s="62"/>
      <c r="TU26" s="62"/>
      <c r="TV26" s="62"/>
      <c r="TW26" s="62"/>
      <c r="TX26" s="62"/>
      <c r="TY26" s="62"/>
      <c r="TZ26" s="62"/>
      <c r="UA26" s="62"/>
      <c r="UB26" s="62"/>
      <c r="UC26" s="62"/>
      <c r="UD26" s="62"/>
      <c r="UE26" s="62"/>
      <c r="UF26" s="62"/>
      <c r="UG26" s="62"/>
      <c r="UH26" s="62"/>
      <c r="UI26" s="62"/>
      <c r="UJ26" s="62"/>
      <c r="UK26" s="62"/>
      <c r="UL26" s="62"/>
      <c r="UM26" s="62"/>
      <c r="UN26" s="62"/>
      <c r="UO26" s="62"/>
      <c r="UP26" s="62"/>
      <c r="UQ26" s="62"/>
      <c r="UR26" s="62"/>
      <c r="US26" s="62"/>
      <c r="UT26" s="62"/>
      <c r="UU26" s="62"/>
      <c r="UV26" s="62"/>
      <c r="UW26" s="62"/>
      <c r="UX26" s="62"/>
      <c r="UY26" s="62"/>
      <c r="UZ26" s="62"/>
      <c r="VA26" s="62"/>
      <c r="VB26" s="62"/>
      <c r="VC26" s="62"/>
      <c r="VD26" s="62"/>
      <c r="VE26" s="62"/>
      <c r="VF26" s="62"/>
      <c r="VG26" s="62"/>
      <c r="VH26" s="62"/>
      <c r="VI26" s="62"/>
      <c r="VJ26" s="62"/>
      <c r="VK26" s="62"/>
      <c r="VL26" s="62"/>
      <c r="VM26" s="62"/>
      <c r="VN26" s="62"/>
      <c r="VO26" s="62"/>
      <c r="VP26" s="62"/>
      <c r="VQ26" s="62"/>
      <c r="VR26" s="62"/>
      <c r="VS26" s="62"/>
      <c r="VT26" s="62"/>
      <c r="VU26" s="62"/>
      <c r="VV26" s="62"/>
      <c r="VW26" s="62"/>
      <c r="VX26" s="62"/>
      <c r="VY26" s="62"/>
      <c r="VZ26" s="62"/>
      <c r="WA26" s="62"/>
      <c r="WB26" s="62"/>
      <c r="WC26" s="62"/>
      <c r="WD26" s="62"/>
      <c r="WE26" s="62"/>
      <c r="WF26" s="62"/>
      <c r="WG26" s="62"/>
      <c r="WH26" s="62"/>
      <c r="WI26" s="62"/>
      <c r="WJ26" s="62"/>
      <c r="WK26" s="62"/>
      <c r="WL26" s="62"/>
      <c r="WM26" s="62"/>
      <c r="WN26" s="62"/>
      <c r="WO26" s="62"/>
      <c r="WP26" s="62"/>
      <c r="WQ26" s="62"/>
      <c r="WR26" s="62"/>
      <c r="WS26" s="62"/>
      <c r="WT26" s="62"/>
      <c r="WU26" s="62"/>
      <c r="WV26" s="62"/>
      <c r="WW26" s="62"/>
      <c r="WX26" s="62"/>
      <c r="WY26" s="62"/>
      <c r="WZ26" s="62"/>
      <c r="XA26" s="62"/>
      <c r="XB26" s="62"/>
      <c r="XC26" s="62"/>
      <c r="XD26" s="62"/>
      <c r="XE26" s="62"/>
      <c r="XF26" s="62"/>
      <c r="XG26" s="62"/>
      <c r="XH26" s="62"/>
      <c r="XI26" s="62"/>
      <c r="XJ26" s="62"/>
      <c r="XK26" s="62"/>
      <c r="XL26" s="62"/>
      <c r="XM26" s="62"/>
      <c r="XN26" s="62"/>
      <c r="XO26" s="62"/>
      <c r="XP26" s="62"/>
      <c r="XQ26" s="62"/>
      <c r="XR26" s="62"/>
      <c r="XS26" s="62"/>
      <c r="XT26" s="62"/>
      <c r="XU26" s="62"/>
      <c r="XV26" s="62"/>
      <c r="XW26" s="62"/>
      <c r="XX26" s="62"/>
      <c r="XY26" s="62"/>
      <c r="XZ26" s="62"/>
      <c r="YA26" s="62"/>
      <c r="YB26" s="62"/>
      <c r="YC26" s="62"/>
      <c r="YD26" s="62"/>
      <c r="YE26" s="62"/>
      <c r="YF26" s="62"/>
      <c r="YG26" s="62"/>
      <c r="YH26" s="62"/>
      <c r="YI26" s="62"/>
      <c r="YJ26" s="62"/>
      <c r="YK26" s="62"/>
      <c r="YL26" s="62"/>
      <c r="YM26" s="62"/>
      <c r="YN26" s="62"/>
      <c r="YO26" s="62"/>
      <c r="YP26" s="62"/>
      <c r="YQ26" s="62"/>
      <c r="YR26" s="62"/>
      <c r="YS26" s="62"/>
      <c r="YT26" s="62"/>
      <c r="YU26" s="62"/>
      <c r="YV26" s="62"/>
      <c r="YW26" s="62"/>
      <c r="YX26" s="62"/>
      <c r="YY26" s="62"/>
      <c r="YZ26" s="62"/>
      <c r="ZA26" s="62"/>
      <c r="ZB26" s="62"/>
      <c r="ZC26" s="62"/>
      <c r="ZD26" s="62"/>
      <c r="ZE26" s="62"/>
      <c r="ZF26" s="62"/>
      <c r="ZG26" s="62"/>
      <c r="ZH26" s="62"/>
      <c r="ZI26" s="62"/>
      <c r="ZJ26" s="62"/>
      <c r="ZK26" s="62"/>
      <c r="ZL26" s="62"/>
      <c r="ZM26" s="62"/>
      <c r="ZN26" s="62"/>
      <c r="ZO26" s="62"/>
      <c r="ZP26" s="62"/>
      <c r="ZQ26" s="62"/>
      <c r="ZR26" s="62"/>
      <c r="ZS26" s="62"/>
      <c r="ZT26" s="62"/>
      <c r="ZU26" s="62"/>
      <c r="ZV26" s="62"/>
      <c r="ZW26" s="62"/>
      <c r="ZX26" s="62"/>
      <c r="ZY26" s="62"/>
      <c r="ZZ26" s="62"/>
      <c r="AAA26" s="62"/>
      <c r="AAB26" s="62"/>
      <c r="AAC26" s="62"/>
      <c r="AAD26" s="62"/>
      <c r="AAE26" s="62"/>
      <c r="AAF26" s="62"/>
      <c r="AAG26" s="62"/>
      <c r="AAH26" s="62"/>
      <c r="AAI26" s="62"/>
      <c r="AAJ26" s="62"/>
      <c r="AAK26" s="62"/>
      <c r="AAL26" s="62"/>
      <c r="AAM26" s="62"/>
      <c r="AAN26" s="62"/>
      <c r="AAO26" s="62"/>
      <c r="AAP26" s="62"/>
      <c r="AAQ26" s="62"/>
      <c r="AAR26" s="62"/>
      <c r="AAS26" s="62"/>
      <c r="AAT26" s="62"/>
      <c r="AAU26" s="62"/>
      <c r="AAV26" s="62"/>
      <c r="AAW26" s="62"/>
      <c r="AAX26" s="62"/>
      <c r="AAY26" s="62"/>
      <c r="AAZ26" s="62"/>
      <c r="ABA26" s="62"/>
      <c r="ABB26" s="62"/>
      <c r="ABC26" s="62"/>
      <c r="ABD26" s="62"/>
      <c r="ABE26" s="62"/>
      <c r="ABF26" s="62"/>
      <c r="ABG26" s="62"/>
      <c r="ABH26" s="62"/>
      <c r="ABI26" s="62"/>
      <c r="ABJ26" s="62"/>
      <c r="ABK26" s="62"/>
      <c r="ABL26" s="62"/>
      <c r="ABM26" s="62"/>
      <c r="ABN26" s="62"/>
      <c r="ABO26" s="62"/>
      <c r="ABP26" s="62"/>
      <c r="ABQ26" s="62"/>
      <c r="ABR26" s="62"/>
      <c r="ABS26" s="62"/>
      <c r="ABT26" s="62"/>
      <c r="ABU26" s="62"/>
      <c r="ABV26" s="62"/>
      <c r="ABW26" s="62"/>
      <c r="ABX26" s="62"/>
      <c r="ABY26" s="62"/>
      <c r="ABZ26" s="62"/>
      <c r="ACA26" s="62"/>
      <c r="ACB26" s="62"/>
      <c r="ACC26" s="62"/>
      <c r="ACD26" s="62"/>
      <c r="ACE26" s="62"/>
      <c r="ACF26" s="62"/>
      <c r="ACG26" s="62"/>
      <c r="ACH26" s="62"/>
      <c r="ACI26" s="62"/>
      <c r="ACJ26" s="62"/>
      <c r="ACK26" s="62"/>
      <c r="ACL26" s="62"/>
      <c r="ACM26" s="62"/>
      <c r="ACN26" s="62"/>
      <c r="ACO26" s="62"/>
      <c r="ACP26" s="62"/>
      <c r="ACQ26" s="62"/>
      <c r="ACR26" s="62"/>
      <c r="ACS26" s="62"/>
      <c r="ACT26" s="62"/>
      <c r="ACU26" s="62"/>
      <c r="ACV26" s="62"/>
      <c r="ACW26" s="62"/>
      <c r="ACX26" s="62"/>
      <c r="ACY26" s="62"/>
      <c r="ACZ26" s="62"/>
      <c r="ADA26" s="62"/>
      <c r="ADB26" s="62"/>
      <c r="ADC26" s="62"/>
      <c r="ADD26" s="62"/>
      <c r="ADE26" s="62"/>
      <c r="ADF26" s="62"/>
      <c r="ADG26" s="62"/>
      <c r="ADH26" s="62"/>
      <c r="ADI26" s="62"/>
      <c r="ADJ26" s="62"/>
      <c r="ADK26" s="62"/>
      <c r="ADL26" s="62"/>
      <c r="ADM26" s="62"/>
      <c r="ADN26" s="62"/>
      <c r="ADO26" s="62"/>
      <c r="ADP26" s="62"/>
      <c r="ADQ26" s="62"/>
      <c r="ADR26" s="62"/>
      <c r="ADS26" s="62"/>
      <c r="ADT26" s="62"/>
      <c r="ADU26" s="62"/>
      <c r="ADV26" s="62"/>
      <c r="ADW26" s="62"/>
      <c r="ADX26" s="62"/>
      <c r="ADY26" s="62"/>
      <c r="ADZ26" s="62"/>
      <c r="AEA26" s="62"/>
      <c r="AEB26" s="62"/>
      <c r="AEC26" s="62"/>
      <c r="AED26" s="62"/>
      <c r="AEE26" s="62"/>
      <c r="AEF26" s="62"/>
      <c r="AEG26" s="62"/>
      <c r="AEH26" s="62"/>
      <c r="AEI26" s="62"/>
      <c r="AEJ26" s="62"/>
      <c r="AEK26" s="62"/>
      <c r="AEL26" s="62"/>
      <c r="AEM26" s="62"/>
      <c r="AEN26" s="62"/>
      <c r="AEO26" s="62"/>
      <c r="AEP26" s="62"/>
      <c r="AEQ26" s="62"/>
      <c r="AER26" s="62"/>
      <c r="AES26" s="62"/>
      <c r="AET26" s="62"/>
      <c r="AEU26" s="62"/>
      <c r="AEV26" s="62"/>
      <c r="AEW26" s="62"/>
      <c r="AEX26" s="62"/>
      <c r="AEY26" s="62"/>
      <c r="AEZ26" s="62"/>
      <c r="AFA26" s="62"/>
      <c r="AFB26" s="62"/>
      <c r="AFC26" s="62"/>
      <c r="AFD26" s="62"/>
      <c r="AFE26" s="62"/>
      <c r="AFF26" s="62"/>
      <c r="AFG26" s="62"/>
      <c r="AFH26" s="62"/>
      <c r="AFI26" s="62"/>
      <c r="AFJ26" s="62"/>
      <c r="AFK26" s="62"/>
      <c r="AFL26" s="62"/>
      <c r="AFM26" s="62"/>
      <c r="AFN26" s="62"/>
      <c r="AFO26" s="62"/>
      <c r="AFP26" s="62"/>
      <c r="AFQ26" s="62"/>
      <c r="AFR26" s="62"/>
      <c r="AFS26" s="62"/>
      <c r="AFT26" s="62"/>
      <c r="AFU26" s="62"/>
      <c r="AFV26" s="62"/>
      <c r="AFW26" s="62"/>
      <c r="AFX26" s="62"/>
      <c r="AFY26" s="62"/>
      <c r="AFZ26" s="62"/>
      <c r="AGA26" s="62"/>
      <c r="AGB26" s="62"/>
      <c r="AGC26" s="62"/>
      <c r="AGD26" s="62"/>
      <c r="AGE26" s="62"/>
      <c r="AGF26" s="62"/>
      <c r="AGG26" s="62"/>
      <c r="AGH26" s="62"/>
      <c r="AGI26" s="62"/>
      <c r="AGJ26" s="62"/>
      <c r="AGK26" s="62"/>
      <c r="AGL26" s="62"/>
      <c r="AGM26" s="62"/>
      <c r="AGN26" s="62"/>
      <c r="AGO26" s="62"/>
      <c r="AGP26" s="62"/>
      <c r="AGQ26" s="62"/>
      <c r="AGR26" s="62"/>
      <c r="AGS26" s="62"/>
      <c r="AGT26" s="62"/>
      <c r="AGU26" s="62"/>
      <c r="AGV26" s="62"/>
      <c r="AGW26" s="62"/>
      <c r="AGX26" s="62"/>
      <c r="AGY26" s="62"/>
      <c r="AGZ26" s="62"/>
      <c r="AHA26" s="62"/>
      <c r="AHB26" s="62"/>
      <c r="AHC26" s="62"/>
      <c r="AHD26" s="62"/>
      <c r="AHE26" s="62"/>
      <c r="AHF26" s="62"/>
      <c r="AHG26" s="62"/>
      <c r="AHH26" s="62"/>
      <c r="AHI26" s="62"/>
      <c r="AHJ26" s="62"/>
      <c r="AHK26" s="62"/>
      <c r="AHL26" s="62"/>
      <c r="AHM26" s="62"/>
      <c r="AHN26" s="62"/>
      <c r="AHO26" s="62"/>
      <c r="AHP26" s="62"/>
      <c r="AHQ26" s="62"/>
      <c r="AHR26" s="62"/>
      <c r="AHS26" s="62"/>
      <c r="AHT26" s="62"/>
      <c r="AHU26" s="62"/>
      <c r="AHV26" s="62"/>
      <c r="AHW26" s="62"/>
      <c r="AHX26" s="62"/>
      <c r="AHY26" s="62"/>
      <c r="AHZ26" s="62"/>
      <c r="AIA26" s="62"/>
      <c r="AIB26" s="62"/>
      <c r="AIC26" s="62"/>
      <c r="AID26" s="62"/>
      <c r="AIE26" s="62"/>
      <c r="AIF26" s="62"/>
      <c r="AIG26" s="62"/>
      <c r="AIH26" s="62"/>
      <c r="AII26" s="62"/>
      <c r="AIJ26" s="62"/>
      <c r="AIK26" s="62"/>
      <c r="AIL26" s="62"/>
      <c r="AIM26" s="62"/>
      <c r="AIN26" s="62"/>
      <c r="AIO26" s="62"/>
      <c r="AIP26" s="62"/>
      <c r="AIQ26" s="62"/>
      <c r="AIR26" s="62"/>
      <c r="AIS26" s="62"/>
      <c r="AIT26" s="62"/>
      <c r="AIU26" s="62"/>
      <c r="AIV26" s="62"/>
      <c r="AIW26" s="62"/>
      <c r="AIX26" s="62"/>
      <c r="AIY26" s="62"/>
      <c r="AIZ26" s="62"/>
      <c r="AJA26" s="62"/>
      <c r="AJB26" s="62"/>
      <c r="AJC26" s="62"/>
      <c r="AJD26" s="62"/>
      <c r="AJE26" s="62"/>
      <c r="AJF26" s="62"/>
      <c r="AJG26" s="62"/>
      <c r="AJH26" s="62"/>
      <c r="AJI26" s="62"/>
      <c r="AJJ26" s="62"/>
      <c r="AJK26" s="62"/>
      <c r="AJL26" s="62"/>
      <c r="AJM26" s="62"/>
      <c r="AJN26" s="62"/>
      <c r="AJO26" s="62"/>
      <c r="AJP26" s="62"/>
      <c r="AJQ26" s="62"/>
      <c r="AJR26" s="62"/>
      <c r="AJS26" s="62"/>
      <c r="AJT26" s="62"/>
      <c r="AJU26" s="62"/>
      <c r="AJV26" s="62"/>
      <c r="AJW26" s="62"/>
      <c r="AJX26" s="62"/>
      <c r="AJY26" s="62"/>
      <c r="AJZ26" s="62"/>
      <c r="AKA26" s="62"/>
      <c r="AKB26" s="62"/>
      <c r="AKC26" s="62"/>
      <c r="AKD26" s="62"/>
      <c r="AKE26" s="62"/>
      <c r="AKF26" s="62"/>
      <c r="AKG26" s="62"/>
      <c r="AKH26" s="62"/>
      <c r="AKI26" s="62"/>
      <c r="AKJ26" s="62"/>
      <c r="AKK26" s="62"/>
      <c r="AKL26" s="62"/>
      <c r="AKM26" s="62"/>
      <c r="AKN26" s="62"/>
      <c r="AKO26" s="62"/>
      <c r="AKP26" s="62"/>
      <c r="AKQ26" s="62"/>
      <c r="AKR26" s="62"/>
      <c r="AKS26" s="62"/>
      <c r="AKT26" s="62"/>
      <c r="AKU26" s="62"/>
      <c r="AKV26" s="62"/>
      <c r="AKW26" s="62"/>
      <c r="AKX26" s="62"/>
      <c r="AKY26" s="62"/>
      <c r="AKZ26" s="62"/>
      <c r="ALA26" s="62"/>
      <c r="ALB26" s="62"/>
      <c r="ALC26" s="62"/>
      <c r="ALD26" s="62"/>
      <c r="ALE26" s="62"/>
      <c r="ALF26" s="62"/>
      <c r="ALG26" s="62"/>
      <c r="ALH26" s="62"/>
      <c r="ALI26" s="62"/>
      <c r="ALJ26" s="62"/>
      <c r="ALK26" s="62"/>
      <c r="ALL26" s="62"/>
      <c r="ALM26" s="62"/>
      <c r="ALN26" s="62"/>
      <c r="ALO26" s="62"/>
      <c r="ALP26" s="62"/>
      <c r="ALQ26" s="62"/>
      <c r="ALR26" s="62"/>
      <c r="ALS26" s="62"/>
      <c r="ALT26" s="62"/>
      <c r="ALU26" s="62"/>
      <c r="ALV26" s="62"/>
      <c r="ALW26" s="62"/>
      <c r="ALX26" s="62"/>
      <c r="ALY26" s="62"/>
      <c r="ALZ26" s="62"/>
      <c r="AMA26" s="62"/>
      <c r="AMB26" s="62"/>
      <c r="AMC26" s="62"/>
      <c r="AMD26" s="62"/>
      <c r="AME26" s="62"/>
      <c r="AMF26" s="62"/>
      <c r="AMG26" s="62"/>
      <c r="AMH26" s="62"/>
      <c r="AMI26" s="62"/>
      <c r="AMJ26" s="62"/>
    </row>
    <row r="27" s="1" customFormat="true" ht="28.5" hidden="true" customHeight="true" outlineLevel="0" collapsed="false">
      <c r="A27" s="83"/>
      <c r="B27" s="83"/>
      <c r="C27" s="83"/>
      <c r="D27" s="83"/>
      <c r="E27" s="83"/>
      <c r="F27" s="83"/>
      <c r="G27" s="19"/>
      <c r="H27" s="19"/>
      <c r="I27" s="19"/>
      <c r="J27" s="74"/>
      <c r="K27" s="78"/>
      <c r="L27" s="78"/>
      <c r="M27" s="78"/>
      <c r="N27" s="62"/>
      <c r="O27" s="62"/>
      <c r="P27" s="62"/>
      <c r="Q27" s="62"/>
      <c r="R27" s="78"/>
      <c r="S27" s="78"/>
      <c r="T27" s="78"/>
      <c r="U27" s="78"/>
      <c r="V27" s="78"/>
      <c r="W27" s="78"/>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62"/>
      <c r="ON27" s="62"/>
      <c r="OO27" s="62"/>
      <c r="OP27" s="62"/>
      <c r="OQ27" s="62"/>
      <c r="OR27" s="62"/>
      <c r="OS27" s="62"/>
      <c r="OT27" s="62"/>
      <c r="OU27" s="62"/>
      <c r="OV27" s="62"/>
      <c r="OW27" s="62"/>
      <c r="OX27" s="62"/>
      <c r="OY27" s="62"/>
      <c r="OZ27" s="62"/>
      <c r="PA27" s="62"/>
      <c r="PB27" s="62"/>
      <c r="PC27" s="62"/>
      <c r="PD27" s="62"/>
      <c r="PE27" s="62"/>
      <c r="PF27" s="62"/>
      <c r="PG27" s="62"/>
      <c r="PH27" s="62"/>
      <c r="PI27" s="62"/>
      <c r="PJ27" s="62"/>
      <c r="PK27" s="62"/>
      <c r="PL27" s="62"/>
      <c r="PM27" s="62"/>
      <c r="PN27" s="62"/>
      <c r="PO27" s="62"/>
      <c r="PP27" s="62"/>
      <c r="PQ27" s="62"/>
      <c r="PR27" s="62"/>
      <c r="PS27" s="62"/>
      <c r="PT27" s="62"/>
      <c r="PU27" s="62"/>
      <c r="PV27" s="62"/>
      <c r="PW27" s="62"/>
      <c r="PX27" s="62"/>
      <c r="PY27" s="62"/>
      <c r="PZ27" s="62"/>
      <c r="QA27" s="62"/>
      <c r="QB27" s="62"/>
      <c r="QC27" s="62"/>
      <c r="QD27" s="62"/>
      <c r="QE27" s="62"/>
      <c r="QF27" s="62"/>
      <c r="QG27" s="62"/>
      <c r="QH27" s="62"/>
      <c r="QI27" s="62"/>
      <c r="QJ27" s="62"/>
      <c r="QK27" s="62"/>
      <c r="QL27" s="62"/>
      <c r="QM27" s="62"/>
      <c r="QN27" s="62"/>
      <c r="QO27" s="62"/>
      <c r="QP27" s="62"/>
      <c r="QQ27" s="62"/>
      <c r="QR27" s="62"/>
      <c r="QS27" s="62"/>
      <c r="QT27" s="62"/>
      <c r="QU27" s="62"/>
      <c r="QV27" s="62"/>
      <c r="QW27" s="62"/>
      <c r="QX27" s="62"/>
      <c r="QY27" s="62"/>
      <c r="QZ27" s="62"/>
      <c r="RA27" s="62"/>
      <c r="RB27" s="62"/>
      <c r="RC27" s="62"/>
      <c r="RD27" s="62"/>
      <c r="RE27" s="62"/>
      <c r="RF27" s="62"/>
      <c r="RG27" s="62"/>
      <c r="RH27" s="62"/>
      <c r="RI27" s="62"/>
      <c r="RJ27" s="62"/>
      <c r="RK27" s="62"/>
      <c r="RL27" s="62"/>
      <c r="RM27" s="62"/>
      <c r="RN27" s="62"/>
      <c r="RO27" s="62"/>
      <c r="RP27" s="62"/>
      <c r="RQ27" s="62"/>
      <c r="RR27" s="62"/>
      <c r="RS27" s="62"/>
      <c r="RT27" s="62"/>
      <c r="RU27" s="62"/>
      <c r="RV27" s="62"/>
      <c r="RW27" s="62"/>
      <c r="RX27" s="62"/>
      <c r="RY27" s="62"/>
      <c r="RZ27" s="62"/>
      <c r="SA27" s="62"/>
      <c r="SB27" s="62"/>
      <c r="SC27" s="62"/>
      <c r="SD27" s="62"/>
      <c r="SE27" s="62"/>
      <c r="SF27" s="62"/>
      <c r="SG27" s="62"/>
      <c r="SH27" s="62"/>
      <c r="SI27" s="62"/>
      <c r="SJ27" s="62"/>
      <c r="SK27" s="62"/>
      <c r="SL27" s="62"/>
      <c r="SM27" s="62"/>
      <c r="SN27" s="62"/>
      <c r="SO27" s="62"/>
      <c r="SP27" s="62"/>
      <c r="SQ27" s="62"/>
      <c r="SR27" s="62"/>
      <c r="SS27" s="62"/>
      <c r="ST27" s="62"/>
      <c r="SU27" s="62"/>
      <c r="SV27" s="62"/>
      <c r="SW27" s="62"/>
      <c r="SX27" s="62"/>
      <c r="SY27" s="62"/>
      <c r="SZ27" s="62"/>
      <c r="TA27" s="62"/>
      <c r="TB27" s="62"/>
      <c r="TC27" s="62"/>
      <c r="TD27" s="62"/>
      <c r="TE27" s="62"/>
      <c r="TF27" s="62"/>
      <c r="TG27" s="62"/>
      <c r="TH27" s="62"/>
      <c r="TI27" s="62"/>
      <c r="TJ27" s="62"/>
      <c r="TK27" s="62"/>
      <c r="TL27" s="62"/>
      <c r="TM27" s="62"/>
      <c r="TN27" s="62"/>
      <c r="TO27" s="62"/>
      <c r="TP27" s="62"/>
      <c r="TQ27" s="62"/>
      <c r="TR27" s="62"/>
      <c r="TS27" s="62"/>
      <c r="TT27" s="62"/>
      <c r="TU27" s="62"/>
      <c r="TV27" s="62"/>
      <c r="TW27" s="62"/>
      <c r="TX27" s="62"/>
      <c r="TY27" s="62"/>
      <c r="TZ27" s="62"/>
      <c r="UA27" s="62"/>
      <c r="UB27" s="62"/>
      <c r="UC27" s="62"/>
      <c r="UD27" s="62"/>
      <c r="UE27" s="62"/>
      <c r="UF27" s="62"/>
      <c r="UG27" s="62"/>
      <c r="UH27" s="62"/>
      <c r="UI27" s="62"/>
      <c r="UJ27" s="62"/>
      <c r="UK27" s="62"/>
      <c r="UL27" s="62"/>
      <c r="UM27" s="62"/>
      <c r="UN27" s="62"/>
      <c r="UO27" s="62"/>
      <c r="UP27" s="62"/>
      <c r="UQ27" s="62"/>
      <c r="UR27" s="62"/>
      <c r="US27" s="62"/>
      <c r="UT27" s="62"/>
      <c r="UU27" s="62"/>
      <c r="UV27" s="62"/>
      <c r="UW27" s="62"/>
      <c r="UX27" s="62"/>
      <c r="UY27" s="62"/>
      <c r="UZ27" s="62"/>
      <c r="VA27" s="62"/>
      <c r="VB27" s="62"/>
      <c r="VC27" s="62"/>
      <c r="VD27" s="62"/>
      <c r="VE27" s="62"/>
      <c r="VF27" s="62"/>
      <c r="VG27" s="62"/>
      <c r="VH27" s="62"/>
      <c r="VI27" s="62"/>
      <c r="VJ27" s="62"/>
      <c r="VK27" s="62"/>
      <c r="VL27" s="62"/>
      <c r="VM27" s="62"/>
      <c r="VN27" s="62"/>
      <c r="VO27" s="62"/>
      <c r="VP27" s="62"/>
      <c r="VQ27" s="62"/>
      <c r="VR27" s="62"/>
      <c r="VS27" s="62"/>
      <c r="VT27" s="62"/>
      <c r="VU27" s="62"/>
      <c r="VV27" s="62"/>
      <c r="VW27" s="62"/>
      <c r="VX27" s="62"/>
      <c r="VY27" s="62"/>
      <c r="VZ27" s="62"/>
      <c r="WA27" s="62"/>
      <c r="WB27" s="62"/>
      <c r="WC27" s="62"/>
      <c r="WD27" s="62"/>
      <c r="WE27" s="62"/>
      <c r="WF27" s="62"/>
      <c r="WG27" s="62"/>
      <c r="WH27" s="62"/>
      <c r="WI27" s="62"/>
      <c r="WJ27" s="62"/>
      <c r="WK27" s="62"/>
      <c r="WL27" s="62"/>
      <c r="WM27" s="62"/>
      <c r="WN27" s="62"/>
      <c r="WO27" s="62"/>
      <c r="WP27" s="62"/>
      <c r="WQ27" s="62"/>
      <c r="WR27" s="62"/>
      <c r="WS27" s="62"/>
      <c r="WT27" s="62"/>
      <c r="WU27" s="62"/>
      <c r="WV27" s="62"/>
      <c r="WW27" s="62"/>
      <c r="WX27" s="62"/>
      <c r="WY27" s="62"/>
      <c r="WZ27" s="62"/>
      <c r="XA27" s="62"/>
      <c r="XB27" s="62"/>
      <c r="XC27" s="62"/>
      <c r="XD27" s="62"/>
      <c r="XE27" s="62"/>
      <c r="XF27" s="62"/>
      <c r="XG27" s="62"/>
      <c r="XH27" s="62"/>
      <c r="XI27" s="62"/>
      <c r="XJ27" s="62"/>
      <c r="XK27" s="62"/>
      <c r="XL27" s="62"/>
      <c r="XM27" s="62"/>
      <c r="XN27" s="62"/>
      <c r="XO27" s="62"/>
      <c r="XP27" s="62"/>
      <c r="XQ27" s="62"/>
      <c r="XR27" s="62"/>
      <c r="XS27" s="62"/>
      <c r="XT27" s="62"/>
      <c r="XU27" s="62"/>
      <c r="XV27" s="62"/>
      <c r="XW27" s="62"/>
      <c r="XX27" s="62"/>
      <c r="XY27" s="62"/>
      <c r="XZ27" s="62"/>
      <c r="YA27" s="62"/>
      <c r="YB27" s="62"/>
      <c r="YC27" s="62"/>
      <c r="YD27" s="62"/>
      <c r="YE27" s="62"/>
      <c r="YF27" s="62"/>
      <c r="YG27" s="62"/>
      <c r="YH27" s="62"/>
      <c r="YI27" s="62"/>
      <c r="YJ27" s="62"/>
      <c r="YK27" s="62"/>
      <c r="YL27" s="62"/>
      <c r="YM27" s="62"/>
      <c r="YN27" s="62"/>
      <c r="YO27" s="62"/>
      <c r="YP27" s="62"/>
      <c r="YQ27" s="62"/>
      <c r="YR27" s="62"/>
      <c r="YS27" s="62"/>
      <c r="YT27" s="62"/>
      <c r="YU27" s="62"/>
      <c r="YV27" s="62"/>
      <c r="YW27" s="62"/>
      <c r="YX27" s="62"/>
      <c r="YY27" s="62"/>
      <c r="YZ27" s="62"/>
      <c r="ZA27" s="62"/>
      <c r="ZB27" s="62"/>
      <c r="ZC27" s="62"/>
      <c r="ZD27" s="62"/>
      <c r="ZE27" s="62"/>
      <c r="ZF27" s="62"/>
      <c r="ZG27" s="62"/>
      <c r="ZH27" s="62"/>
      <c r="ZI27" s="62"/>
      <c r="ZJ27" s="62"/>
      <c r="ZK27" s="62"/>
      <c r="ZL27" s="62"/>
      <c r="ZM27" s="62"/>
      <c r="ZN27" s="62"/>
      <c r="ZO27" s="62"/>
      <c r="ZP27" s="62"/>
      <c r="ZQ27" s="62"/>
      <c r="ZR27" s="62"/>
      <c r="ZS27" s="62"/>
      <c r="ZT27" s="62"/>
      <c r="ZU27" s="62"/>
      <c r="ZV27" s="62"/>
      <c r="ZW27" s="62"/>
      <c r="ZX27" s="62"/>
      <c r="ZY27" s="62"/>
      <c r="ZZ27" s="62"/>
      <c r="AAA27" s="62"/>
      <c r="AAB27" s="62"/>
      <c r="AAC27" s="62"/>
      <c r="AAD27" s="62"/>
      <c r="AAE27" s="62"/>
      <c r="AAF27" s="62"/>
      <c r="AAG27" s="62"/>
      <c r="AAH27" s="62"/>
      <c r="AAI27" s="62"/>
      <c r="AAJ27" s="62"/>
      <c r="AAK27" s="62"/>
      <c r="AAL27" s="62"/>
      <c r="AAM27" s="62"/>
      <c r="AAN27" s="62"/>
      <c r="AAO27" s="62"/>
      <c r="AAP27" s="62"/>
      <c r="AAQ27" s="62"/>
      <c r="AAR27" s="62"/>
      <c r="AAS27" s="62"/>
      <c r="AAT27" s="62"/>
      <c r="AAU27" s="62"/>
      <c r="AAV27" s="62"/>
      <c r="AAW27" s="62"/>
      <c r="AAX27" s="62"/>
      <c r="AAY27" s="62"/>
      <c r="AAZ27" s="62"/>
      <c r="ABA27" s="62"/>
      <c r="ABB27" s="62"/>
      <c r="ABC27" s="62"/>
      <c r="ABD27" s="62"/>
      <c r="ABE27" s="62"/>
      <c r="ABF27" s="62"/>
      <c r="ABG27" s="62"/>
      <c r="ABH27" s="62"/>
      <c r="ABI27" s="62"/>
      <c r="ABJ27" s="62"/>
      <c r="ABK27" s="62"/>
      <c r="ABL27" s="62"/>
      <c r="ABM27" s="62"/>
      <c r="ABN27" s="62"/>
      <c r="ABO27" s="62"/>
      <c r="ABP27" s="62"/>
      <c r="ABQ27" s="62"/>
      <c r="ABR27" s="62"/>
      <c r="ABS27" s="62"/>
      <c r="ABT27" s="62"/>
      <c r="ABU27" s="62"/>
      <c r="ABV27" s="62"/>
      <c r="ABW27" s="62"/>
      <c r="ABX27" s="62"/>
      <c r="ABY27" s="62"/>
      <c r="ABZ27" s="62"/>
      <c r="ACA27" s="62"/>
      <c r="ACB27" s="62"/>
      <c r="ACC27" s="62"/>
      <c r="ACD27" s="62"/>
      <c r="ACE27" s="62"/>
      <c r="ACF27" s="62"/>
      <c r="ACG27" s="62"/>
      <c r="ACH27" s="62"/>
      <c r="ACI27" s="62"/>
      <c r="ACJ27" s="62"/>
      <c r="ACK27" s="62"/>
      <c r="ACL27" s="62"/>
      <c r="ACM27" s="62"/>
      <c r="ACN27" s="62"/>
      <c r="ACO27" s="62"/>
      <c r="ACP27" s="62"/>
      <c r="ACQ27" s="62"/>
      <c r="ACR27" s="62"/>
      <c r="ACS27" s="62"/>
      <c r="ACT27" s="62"/>
      <c r="ACU27" s="62"/>
      <c r="ACV27" s="62"/>
      <c r="ACW27" s="62"/>
      <c r="ACX27" s="62"/>
      <c r="ACY27" s="62"/>
      <c r="ACZ27" s="62"/>
      <c r="ADA27" s="62"/>
      <c r="ADB27" s="62"/>
      <c r="ADC27" s="62"/>
      <c r="ADD27" s="62"/>
      <c r="ADE27" s="62"/>
      <c r="ADF27" s="62"/>
      <c r="ADG27" s="62"/>
      <c r="ADH27" s="62"/>
      <c r="ADI27" s="62"/>
      <c r="ADJ27" s="62"/>
      <c r="ADK27" s="62"/>
      <c r="ADL27" s="62"/>
      <c r="ADM27" s="62"/>
      <c r="ADN27" s="62"/>
      <c r="ADO27" s="62"/>
      <c r="ADP27" s="62"/>
      <c r="ADQ27" s="62"/>
      <c r="ADR27" s="62"/>
      <c r="ADS27" s="62"/>
      <c r="ADT27" s="62"/>
      <c r="ADU27" s="62"/>
      <c r="ADV27" s="62"/>
      <c r="ADW27" s="62"/>
      <c r="ADX27" s="62"/>
      <c r="ADY27" s="62"/>
      <c r="ADZ27" s="62"/>
      <c r="AEA27" s="62"/>
      <c r="AEB27" s="62"/>
      <c r="AEC27" s="62"/>
      <c r="AED27" s="62"/>
      <c r="AEE27" s="62"/>
      <c r="AEF27" s="62"/>
      <c r="AEG27" s="62"/>
      <c r="AEH27" s="62"/>
      <c r="AEI27" s="62"/>
      <c r="AEJ27" s="62"/>
      <c r="AEK27" s="62"/>
      <c r="AEL27" s="62"/>
      <c r="AEM27" s="62"/>
      <c r="AEN27" s="62"/>
      <c r="AEO27" s="62"/>
      <c r="AEP27" s="62"/>
      <c r="AEQ27" s="62"/>
      <c r="AER27" s="62"/>
      <c r="AES27" s="62"/>
      <c r="AET27" s="62"/>
      <c r="AEU27" s="62"/>
      <c r="AEV27" s="62"/>
      <c r="AEW27" s="62"/>
      <c r="AEX27" s="62"/>
      <c r="AEY27" s="62"/>
      <c r="AEZ27" s="62"/>
      <c r="AFA27" s="62"/>
      <c r="AFB27" s="62"/>
      <c r="AFC27" s="62"/>
      <c r="AFD27" s="62"/>
      <c r="AFE27" s="62"/>
      <c r="AFF27" s="62"/>
      <c r="AFG27" s="62"/>
      <c r="AFH27" s="62"/>
      <c r="AFI27" s="62"/>
      <c r="AFJ27" s="62"/>
      <c r="AFK27" s="62"/>
      <c r="AFL27" s="62"/>
      <c r="AFM27" s="62"/>
      <c r="AFN27" s="62"/>
      <c r="AFO27" s="62"/>
      <c r="AFP27" s="62"/>
      <c r="AFQ27" s="62"/>
      <c r="AFR27" s="62"/>
      <c r="AFS27" s="62"/>
      <c r="AFT27" s="62"/>
      <c r="AFU27" s="62"/>
      <c r="AFV27" s="62"/>
      <c r="AFW27" s="62"/>
      <c r="AFX27" s="62"/>
      <c r="AFY27" s="62"/>
      <c r="AFZ27" s="62"/>
      <c r="AGA27" s="62"/>
      <c r="AGB27" s="62"/>
      <c r="AGC27" s="62"/>
      <c r="AGD27" s="62"/>
      <c r="AGE27" s="62"/>
      <c r="AGF27" s="62"/>
      <c r="AGG27" s="62"/>
      <c r="AGH27" s="62"/>
      <c r="AGI27" s="62"/>
      <c r="AGJ27" s="62"/>
      <c r="AGK27" s="62"/>
      <c r="AGL27" s="62"/>
      <c r="AGM27" s="62"/>
      <c r="AGN27" s="62"/>
      <c r="AGO27" s="62"/>
      <c r="AGP27" s="62"/>
      <c r="AGQ27" s="62"/>
      <c r="AGR27" s="62"/>
      <c r="AGS27" s="62"/>
      <c r="AGT27" s="62"/>
      <c r="AGU27" s="62"/>
      <c r="AGV27" s="62"/>
      <c r="AGW27" s="62"/>
      <c r="AGX27" s="62"/>
      <c r="AGY27" s="62"/>
      <c r="AGZ27" s="62"/>
      <c r="AHA27" s="62"/>
      <c r="AHB27" s="62"/>
      <c r="AHC27" s="62"/>
      <c r="AHD27" s="62"/>
      <c r="AHE27" s="62"/>
      <c r="AHF27" s="62"/>
      <c r="AHG27" s="62"/>
      <c r="AHH27" s="62"/>
      <c r="AHI27" s="62"/>
      <c r="AHJ27" s="62"/>
      <c r="AHK27" s="62"/>
      <c r="AHL27" s="62"/>
      <c r="AHM27" s="62"/>
      <c r="AHN27" s="62"/>
      <c r="AHO27" s="62"/>
      <c r="AHP27" s="62"/>
      <c r="AHQ27" s="62"/>
      <c r="AHR27" s="62"/>
      <c r="AHS27" s="62"/>
      <c r="AHT27" s="62"/>
      <c r="AHU27" s="62"/>
      <c r="AHV27" s="62"/>
      <c r="AHW27" s="62"/>
      <c r="AHX27" s="62"/>
      <c r="AHY27" s="62"/>
      <c r="AHZ27" s="62"/>
      <c r="AIA27" s="62"/>
      <c r="AIB27" s="62"/>
      <c r="AIC27" s="62"/>
      <c r="AID27" s="62"/>
      <c r="AIE27" s="62"/>
      <c r="AIF27" s="62"/>
      <c r="AIG27" s="62"/>
      <c r="AIH27" s="62"/>
      <c r="AII27" s="62"/>
      <c r="AIJ27" s="62"/>
      <c r="AIK27" s="62"/>
      <c r="AIL27" s="62"/>
      <c r="AIM27" s="62"/>
      <c r="AIN27" s="62"/>
      <c r="AIO27" s="62"/>
      <c r="AIP27" s="62"/>
      <c r="AIQ27" s="62"/>
      <c r="AIR27" s="62"/>
      <c r="AIS27" s="62"/>
      <c r="AIT27" s="62"/>
      <c r="AIU27" s="62"/>
      <c r="AIV27" s="62"/>
      <c r="AIW27" s="62"/>
      <c r="AIX27" s="62"/>
      <c r="AIY27" s="62"/>
      <c r="AIZ27" s="62"/>
      <c r="AJA27" s="62"/>
      <c r="AJB27" s="62"/>
      <c r="AJC27" s="62"/>
      <c r="AJD27" s="62"/>
      <c r="AJE27" s="62"/>
      <c r="AJF27" s="62"/>
      <c r="AJG27" s="62"/>
      <c r="AJH27" s="62"/>
      <c r="AJI27" s="62"/>
      <c r="AJJ27" s="62"/>
      <c r="AJK27" s="62"/>
      <c r="AJL27" s="62"/>
      <c r="AJM27" s="62"/>
      <c r="AJN27" s="62"/>
      <c r="AJO27" s="62"/>
      <c r="AJP27" s="62"/>
      <c r="AJQ27" s="62"/>
      <c r="AJR27" s="62"/>
      <c r="AJS27" s="62"/>
      <c r="AJT27" s="62"/>
      <c r="AJU27" s="62"/>
      <c r="AJV27" s="62"/>
      <c r="AJW27" s="62"/>
      <c r="AJX27" s="62"/>
      <c r="AJY27" s="62"/>
      <c r="AJZ27" s="62"/>
      <c r="AKA27" s="62"/>
      <c r="AKB27" s="62"/>
      <c r="AKC27" s="62"/>
      <c r="AKD27" s="62"/>
      <c r="AKE27" s="62"/>
      <c r="AKF27" s="62"/>
      <c r="AKG27" s="62"/>
      <c r="AKH27" s="62"/>
      <c r="AKI27" s="62"/>
      <c r="AKJ27" s="62"/>
      <c r="AKK27" s="62"/>
      <c r="AKL27" s="62"/>
      <c r="AKM27" s="62"/>
      <c r="AKN27" s="62"/>
      <c r="AKO27" s="62"/>
      <c r="AKP27" s="62"/>
      <c r="AKQ27" s="62"/>
      <c r="AKR27" s="62"/>
      <c r="AKS27" s="62"/>
      <c r="AKT27" s="62"/>
      <c r="AKU27" s="62"/>
      <c r="AKV27" s="62"/>
      <c r="AKW27" s="62"/>
      <c r="AKX27" s="62"/>
      <c r="AKY27" s="62"/>
      <c r="AKZ27" s="62"/>
      <c r="ALA27" s="62"/>
      <c r="ALB27" s="62"/>
      <c r="ALC27" s="62"/>
      <c r="ALD27" s="62"/>
      <c r="ALE27" s="62"/>
      <c r="ALF27" s="62"/>
      <c r="ALG27" s="62"/>
      <c r="ALH27" s="62"/>
      <c r="ALI27" s="62"/>
      <c r="ALJ27" s="62"/>
      <c r="ALK27" s="62"/>
      <c r="ALL27" s="62"/>
      <c r="ALM27" s="62"/>
      <c r="ALN27" s="62"/>
      <c r="ALO27" s="62"/>
      <c r="ALP27" s="62"/>
      <c r="ALQ27" s="62"/>
      <c r="ALR27" s="62"/>
      <c r="ALS27" s="62"/>
      <c r="ALT27" s="62"/>
      <c r="ALU27" s="62"/>
      <c r="ALV27" s="62"/>
      <c r="ALW27" s="62"/>
      <c r="ALX27" s="62"/>
      <c r="ALY27" s="62"/>
      <c r="ALZ27" s="62"/>
      <c r="AMA27" s="62"/>
      <c r="AMB27" s="62"/>
      <c r="AMC27" s="62"/>
      <c r="AMD27" s="62"/>
      <c r="AME27" s="62"/>
      <c r="AMF27" s="62"/>
      <c r="AMG27" s="62"/>
      <c r="AMH27" s="62"/>
      <c r="AMI27" s="62"/>
      <c r="AMJ27" s="62"/>
    </row>
    <row r="28" s="1" customFormat="true" ht="15" hidden="true" customHeight="false" outlineLevel="0" collapsed="false">
      <c r="A28" s="74" t="s">
        <v>54</v>
      </c>
      <c r="B28" s="19"/>
      <c r="C28" s="19"/>
      <c r="D28" s="19"/>
      <c r="E28" s="73"/>
      <c r="F28" s="73"/>
      <c r="G28" s="19"/>
      <c r="H28" s="19"/>
      <c r="I28" s="19"/>
      <c r="J28" s="19"/>
      <c r="K28" s="3"/>
      <c r="L28" s="3"/>
      <c r="M28" s="3"/>
      <c r="R28" s="4"/>
      <c r="S28" s="4"/>
      <c r="T28" s="84"/>
      <c r="U28" s="4"/>
      <c r="V28" s="4"/>
      <c r="W28" s="4"/>
    </row>
    <row r="29" s="1" customFormat="true" ht="15" hidden="true" customHeight="false" outlineLevel="0" collapsed="false">
      <c r="A29" s="19"/>
      <c r="B29" s="19"/>
      <c r="C29" s="19"/>
      <c r="D29" s="19"/>
      <c r="E29" s="73"/>
      <c r="F29" s="73"/>
      <c r="G29" s="19"/>
      <c r="H29" s="19"/>
      <c r="I29" s="19"/>
      <c r="J29" s="19"/>
      <c r="K29" s="3"/>
      <c r="L29" s="3"/>
      <c r="M29" s="3"/>
      <c r="N29" s="85"/>
      <c r="O29" s="86"/>
      <c r="P29" s="86"/>
      <c r="R29" s="4"/>
      <c r="S29" s="4"/>
      <c r="T29" s="84"/>
      <c r="U29" s="4"/>
      <c r="V29" s="4"/>
      <c r="W29" s="4"/>
    </row>
    <row r="30" s="1" customFormat="true" ht="48" hidden="true" customHeight="true" outlineLevel="0" collapsed="false">
      <c r="A30" s="87" t="s">
        <v>55</v>
      </c>
      <c r="B30" s="88" t="s">
        <v>56</v>
      </c>
      <c r="C30" s="88"/>
      <c r="D30" s="88"/>
      <c r="E30" s="88"/>
      <c r="F30" s="89" t="s">
        <v>57</v>
      </c>
      <c r="G30" s="89"/>
      <c r="H30" s="89"/>
      <c r="I30" s="90" t="s">
        <v>58</v>
      </c>
      <c r="J30" s="90"/>
      <c r="K30" s="90"/>
      <c r="L30" s="91" t="s">
        <v>59</v>
      </c>
      <c r="M30" s="91"/>
      <c r="N30" s="91"/>
      <c r="O30" s="91"/>
      <c r="T30" s="92"/>
    </row>
    <row r="31" s="1" customFormat="true" ht="63.75" hidden="true" customHeight="true" outlineLevel="0" collapsed="false">
      <c r="A31" s="87"/>
      <c r="B31" s="77" t="s">
        <v>60</v>
      </c>
      <c r="C31" s="77"/>
      <c r="D31" s="77"/>
      <c r="E31" s="77" t="s">
        <v>61</v>
      </c>
      <c r="F31" s="77" t="s">
        <v>62</v>
      </c>
      <c r="G31" s="77" t="s">
        <v>63</v>
      </c>
      <c r="H31" s="93" t="s">
        <v>64</v>
      </c>
      <c r="I31" s="90"/>
      <c r="J31" s="90"/>
      <c r="K31" s="90"/>
      <c r="L31" s="94" t="s">
        <v>65</v>
      </c>
      <c r="M31" s="77" t="s">
        <v>66</v>
      </c>
      <c r="N31" s="77" t="s">
        <v>67</v>
      </c>
      <c r="O31" s="93" t="s">
        <v>68</v>
      </c>
      <c r="V31" s="19"/>
    </row>
    <row r="32" s="1" customFormat="true" ht="30.75" hidden="true" customHeight="true" outlineLevel="0" collapsed="false">
      <c r="A32" s="95" t="n">
        <v>1</v>
      </c>
      <c r="B32" s="96" t="str">
        <f aca="false">Insumos!B9</f>
        <v>Água sanitária galão de 5 litros, composição do produto: hipoclorito de sódio 2,5%, hidróxido de sódio e veículo, teor de cloro ativo entre 2,0 e 2,5% p/p.</v>
      </c>
      <c r="C32" s="96"/>
      <c r="D32" s="96"/>
      <c r="E32" s="97" t="str">
        <f aca="false">Insumos!C9</f>
        <v>galão</v>
      </c>
      <c r="F32" s="97" t="str">
        <f aca="false">Insumos!D9</f>
        <v>Santa Clara</v>
      </c>
      <c r="G32" s="98" t="n">
        <f aca="false">L32</f>
        <v>16</v>
      </c>
      <c r="H32" s="99" t="n">
        <f aca="false">G32*Insumos!G9</f>
        <v>243.68</v>
      </c>
      <c r="I32" s="100" t="str">
        <f aca="false">IF(G32&lt;L32,"Fornecimento inferior ao estimado mensalmente",IF(G32=L32,"Fornecimento igual ao estimado mensalmente",IF(G32&gt;L32,"Fornecimento superior ao estimado mensalmente",)))</f>
        <v>Fornecimento igual ao estimado mensalmente</v>
      </c>
      <c r="J32" s="100"/>
      <c r="K32" s="100"/>
      <c r="L32" s="101" t="n">
        <f aca="false">M32/O32</f>
        <v>16</v>
      </c>
      <c r="M32" s="102" t="n">
        <f aca="false">Insumos!E9</f>
        <v>16</v>
      </c>
      <c r="N32" s="103" t="str">
        <f aca="false">Insumos!F9</f>
        <v>Mensal</v>
      </c>
      <c r="O32" s="104" t="n">
        <f aca="false">IF(N32="MENSAL",1,IF(N32="BIMESTRAL",2,IF(N32="TRIMESTRAL",3,IF(N32="QUADRIMESTRAL",4,IF(N32="SEMESTRAL",6,IF(N32="ANUAL",12,IF(N32="BIENAL",24,"")))))))</f>
        <v>1</v>
      </c>
      <c r="V32" s="78"/>
    </row>
    <row r="33" s="1" customFormat="true" ht="54" hidden="true" customHeight="true" outlineLevel="0" collapsed="false">
      <c r="A33" s="95" t="n">
        <v>2</v>
      </c>
      <c r="B33" s="96" t="str">
        <f aca="false">Insumos!B10</f>
        <v>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33" s="96"/>
      <c r="D33" s="96"/>
      <c r="E33" s="97" t="str">
        <f aca="false">Insumos!C10</f>
        <v>galão</v>
      </c>
      <c r="F33" s="97" t="str">
        <f aca="false">Insumos!D10</f>
        <v>Asseptgel</v>
      </c>
      <c r="G33" s="98" t="n">
        <f aca="false">L33</f>
        <v>2</v>
      </c>
      <c r="H33" s="99" t="n">
        <f aca="false">G33*Insumos!G10</f>
        <v>114.78</v>
      </c>
      <c r="I33" s="100" t="str">
        <f aca="false">IF(G33&lt;L33,"Fornecimento inferior ao estimado mensalmente",IF(G33=L33,"Fornecimento igual ao estimado mensalmente",IF(G33&gt;L33,"Fornecimento superior ao estimado mensalmente",)))</f>
        <v>Fornecimento igual ao estimado mensalmente</v>
      </c>
      <c r="J33" s="100"/>
      <c r="K33" s="100"/>
      <c r="L33" s="101" t="n">
        <f aca="false">M33/O33</f>
        <v>2</v>
      </c>
      <c r="M33" s="102" t="n">
        <f aca="false">Insumos!E10</f>
        <v>2</v>
      </c>
      <c r="N33" s="103" t="str">
        <f aca="false">Insumos!F10</f>
        <v>Mensal</v>
      </c>
      <c r="O33" s="104" t="n">
        <f aca="false">IF(N33="MENSAL",1,IF(N33="BIMESTRAL",2,IF(N33="TRIMESTRAL",3,IF(N33="QUADRIMESTRAL",4,IF(N33="SEMESTRAL",6,IF(N33="ANUAL",12,IF(N33="BIENAL",24,"")))))))</f>
        <v>1</v>
      </c>
      <c r="V33" s="78"/>
    </row>
    <row r="34" s="1" customFormat="true" ht="25.5" hidden="true" customHeight="true" outlineLevel="0" collapsed="false">
      <c r="A34" s="95" t="n">
        <v>3</v>
      </c>
      <c r="B34" s="96" t="str">
        <f aca="false">Insumos!B11</f>
        <v>Balde Material: Plástico, Material Alça: Arame Galvanizado, Capacidade: 10 L, Cor: Preta, Características Adicionais: Reforço Fundo E Borda</v>
      </c>
      <c r="C34" s="96"/>
      <c r="D34" s="96"/>
      <c r="E34" s="97" t="str">
        <f aca="false">Insumos!C11</f>
        <v>unid.</v>
      </c>
      <c r="F34" s="97" t="str">
        <f aca="false">Insumos!D11</f>
        <v>Sanremo</v>
      </c>
      <c r="G34" s="98" t="n">
        <f aca="false">L34</f>
        <v>3.33333333333333</v>
      </c>
      <c r="H34" s="99" t="n">
        <f aca="false">G34*Insumos!G11</f>
        <v>46.3</v>
      </c>
      <c r="I34" s="100" t="str">
        <f aca="false">IF(G34&lt;L34,"Fornecimento inferior ao estimado mensalmente",IF(G34=L34,"Fornecimento igual ao estimado mensalmente",IF(G34&gt;L34,"Fornecimento superior ao estimado mensalmente",)))</f>
        <v>Fornecimento igual ao estimado mensalmente</v>
      </c>
      <c r="J34" s="100"/>
      <c r="K34" s="100"/>
      <c r="L34" s="101" t="n">
        <f aca="false">M34/O34</f>
        <v>3.33333333333333</v>
      </c>
      <c r="M34" s="102" t="n">
        <f aca="false">Insumos!E11</f>
        <v>20</v>
      </c>
      <c r="N34" s="103" t="str">
        <f aca="false">Insumos!F11</f>
        <v>Semestral</v>
      </c>
      <c r="O34" s="104" t="n">
        <f aca="false">IF(N34="MENSAL",1,IF(N34="BIMESTRAL",2,IF(N34="TRIMESTRAL",3,IF(N34="QUADRIMESTRAL",4,IF(N34="SEMESTRAL",6,IF(N34="ANUAL",12,IF(N34="BIENAL",24,"")))))))</f>
        <v>6</v>
      </c>
      <c r="V34" s="78"/>
    </row>
    <row r="35" s="1" customFormat="true" ht="41.25" hidden="true" customHeight="true" outlineLevel="0" collapsed="false">
      <c r="A35" s="95" t="n">
        <v>4</v>
      </c>
      <c r="B35" s="96" t="str">
        <f aca="false">Insumos!B12</f>
        <v>Balde plástico em polietileno de alta densidade, alta resistência a impacto, com paredes e fundo reforçados, com reforço no encaixe da alça de aço zincado constando no corpo a marcado fabricante, capacidade de 20 litros.</v>
      </c>
      <c r="C35" s="96"/>
      <c r="D35" s="96"/>
      <c r="E35" s="97" t="str">
        <f aca="false">Insumos!C12</f>
        <v>unid.</v>
      </c>
      <c r="F35" s="97" t="str">
        <f aca="false">Insumos!D12</f>
        <v>Arqplast</v>
      </c>
      <c r="G35" s="98" t="n">
        <f aca="false">L35</f>
        <v>3.33333333333333</v>
      </c>
      <c r="H35" s="99" t="n">
        <f aca="false">G35*Insumos!G12</f>
        <v>87.9333333333333</v>
      </c>
      <c r="I35" s="100" t="str">
        <f aca="false">IF(G35&lt;L35,"Fornecimento inferior ao estimado mensalmente",IF(G35=L35,"Fornecimento igual ao estimado mensalmente",IF(G35&gt;L35,"Fornecimento superior ao estimado mensalmente",)))</f>
        <v>Fornecimento igual ao estimado mensalmente</v>
      </c>
      <c r="J35" s="100"/>
      <c r="K35" s="100"/>
      <c r="L35" s="101" t="n">
        <f aca="false">M35/O35</f>
        <v>3.33333333333333</v>
      </c>
      <c r="M35" s="102" t="n">
        <f aca="false">Insumos!E12</f>
        <v>20</v>
      </c>
      <c r="N35" s="103" t="str">
        <f aca="false">Insumos!F12</f>
        <v>Semestral</v>
      </c>
      <c r="O35" s="104" t="n">
        <f aca="false">IF(N35="MENSAL",1,IF(N35="BIMESTRAL",2,IF(N35="TRIMESTRAL",3,IF(N35="QUADRIMESTRAL",4,IF(N35="SEMESTRAL",6,IF(N35="ANUAL",12,IF(N35="BIENAL",24,"")))))))</f>
        <v>6</v>
      </c>
      <c r="V35" s="78"/>
    </row>
    <row r="36" s="1" customFormat="true" ht="78.75" hidden="true" customHeight="true" outlineLevel="0" collapsed="false">
      <c r="A36" s="95" t="n">
        <v>5</v>
      </c>
      <c r="B36" s="96" t="str">
        <f aca="false">Insumos!B13</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36" s="96"/>
      <c r="D36" s="96"/>
      <c r="E36" s="97" t="str">
        <f aca="false">Insumos!C13</f>
        <v>unid.</v>
      </c>
      <c r="F36" s="97" t="str">
        <f aca="false">Insumos!D13</f>
        <v>Azulim</v>
      </c>
      <c r="G36" s="98" t="n">
        <f aca="false">L36</f>
        <v>2</v>
      </c>
      <c r="H36" s="99" t="n">
        <f aca="false">G36*Insumos!G13</f>
        <v>10.92</v>
      </c>
      <c r="I36" s="100" t="str">
        <f aca="false">IF(G36&lt;L36,"Fornecimento inferior ao estimado mensalmente",IF(G36=L36,"Fornecimento igual ao estimado mensalmente",IF(G36&gt;L36,"Fornecimento superior ao estimado mensalmente",)))</f>
        <v>Fornecimento igual ao estimado mensalmente</v>
      </c>
      <c r="J36" s="100"/>
      <c r="K36" s="100"/>
      <c r="L36" s="101" t="n">
        <f aca="false">M36/O36</f>
        <v>2</v>
      </c>
      <c r="M36" s="102" t="n">
        <f aca="false">Insumos!E13</f>
        <v>2</v>
      </c>
      <c r="N36" s="103" t="str">
        <f aca="false">Insumos!F13</f>
        <v>Mensal</v>
      </c>
      <c r="O36" s="104" t="n">
        <f aca="false">IF(N36="MENSAL",1,IF(N36="BIMESTRAL",2,IF(N36="TRIMESTRAL",3,IF(N36="QUADRIMESTRAL",4,IF(N36="SEMESTRAL",6,IF(N36="ANUAL",12,IF(N36="BIENAL",24,"")))))))</f>
        <v>1</v>
      </c>
      <c r="V36" s="78"/>
    </row>
    <row r="37" s="1" customFormat="true" ht="29.25" hidden="true" customHeight="true" outlineLevel="0" collapsed="false">
      <c r="A37" s="95" t="n">
        <v>6</v>
      </c>
      <c r="B37" s="96" t="str">
        <f aca="false">Insumos!B14</f>
        <v>Cesto para lixo de 100 litros - tipo balde, com tampa e pedal - confeccionado em material de polipropileno ou poliestireno resistente, atóxico, com tampa sobreposta, duas alças laterais, cesto em formato redondo.</v>
      </c>
      <c r="C37" s="96"/>
      <c r="D37" s="96"/>
      <c r="E37" s="97" t="str">
        <f aca="false">Insumos!C14</f>
        <v>unid.</v>
      </c>
      <c r="F37" s="97" t="n">
        <f aca="false">Insumos!D14</f>
        <v>0</v>
      </c>
      <c r="G37" s="98" t="n">
        <f aca="false">L37</f>
        <v>1.66666666666667</v>
      </c>
      <c r="H37" s="99" t="n">
        <f aca="false">G37*Insumos!G14</f>
        <v>165</v>
      </c>
      <c r="I37" s="100" t="str">
        <f aca="false">IF(G37&lt;L37,"Fornecimento inferior ao estimado mensalmente",IF(G37=L37,"Fornecimento igual ao estimado mensalmente",IF(G37&gt;L37,"Fornecimento superior ao estimado mensalmente",)))</f>
        <v>Fornecimento igual ao estimado mensalmente</v>
      </c>
      <c r="J37" s="100"/>
      <c r="K37" s="100"/>
      <c r="L37" s="101" t="n">
        <f aca="false">M37/O37</f>
        <v>1.66666666666667</v>
      </c>
      <c r="M37" s="102" t="n">
        <f aca="false">Insumos!E14</f>
        <v>20</v>
      </c>
      <c r="N37" s="103" t="str">
        <f aca="false">Insumos!F14</f>
        <v>Anual</v>
      </c>
      <c r="O37" s="104" t="n">
        <f aca="false">IF(N37="MENSAL",1,IF(N37="BIMESTRAL",2,IF(N37="TRIMESTRAL",3,IF(N37="QUADRIMESTRAL",4,IF(N37="SEMESTRAL",6,IF(N37="ANUAL",12,IF(N37="BIENAL",24,"")))))))</f>
        <v>12</v>
      </c>
      <c r="V37" s="78"/>
    </row>
    <row r="38" s="1" customFormat="true" ht="30" hidden="true" customHeight="true" outlineLevel="0" collapsed="false">
      <c r="A38" s="95" t="n">
        <v>7</v>
      </c>
      <c r="B38" s="96" t="str">
        <f aca="false">Insumos!B15</f>
        <v>Desentupidor Pia: Tipo: Sanfonado, Com Alto Poder De Sucção. Material: Borracha Flexível, Composto Por Polipropileno E Borracha Termoplástica. Plástico Resistente, Cabo Longo, mínimo 20 CM.</v>
      </c>
      <c r="C38" s="96"/>
      <c r="D38" s="96"/>
      <c r="E38" s="97" t="str">
        <f aca="false">Insumos!C15</f>
        <v>unid.</v>
      </c>
      <c r="F38" s="97" t="str">
        <f aca="false">Insumos!D15</f>
        <v>Oliveira e Azevedo</v>
      </c>
      <c r="G38" s="98" t="n">
        <f aca="false">L38</f>
        <v>0.25</v>
      </c>
      <c r="H38" s="99" t="n">
        <f aca="false">G38*Insumos!G15</f>
        <v>2.6025</v>
      </c>
      <c r="I38" s="100" t="str">
        <f aca="false">IF(G38&lt;L38,"Fornecimento inferior ao estimado mensalmente",IF(G38=L38,"Fornecimento igual ao estimado mensalmente",IF(G38&gt;L38,"Fornecimento superior ao estimado mensalmente",)))</f>
        <v>Fornecimento igual ao estimado mensalmente</v>
      </c>
      <c r="J38" s="100"/>
      <c r="K38" s="100"/>
      <c r="L38" s="101" t="n">
        <f aca="false">M38/O38</f>
        <v>0.25</v>
      </c>
      <c r="M38" s="102" t="n">
        <f aca="false">Insumos!E15</f>
        <v>3</v>
      </c>
      <c r="N38" s="103" t="str">
        <f aca="false">Insumos!F15</f>
        <v>Anual</v>
      </c>
      <c r="O38" s="104" t="n">
        <f aca="false">IF(N38="MENSAL",1,IF(N38="BIMESTRAL",2,IF(N38="TRIMESTRAL",3,IF(N38="QUADRIMESTRAL",4,IF(N38="SEMESTRAL",6,IF(N38="ANUAL",12,IF(N38="BIENAL",24,"")))))))</f>
        <v>12</v>
      </c>
      <c r="V38" s="78"/>
    </row>
    <row r="39" s="1" customFormat="true" ht="30" hidden="true" customHeight="true" outlineLevel="0" collapsed="false">
      <c r="A39" s="105" t="n">
        <v>8</v>
      </c>
      <c r="B39" s="96" t="str">
        <f aca="false">Insumos!B16</f>
        <v>Desentupidor Vaso Sanitário Material: Borracha Flexível, Medidas aproximadas: Comprimento Cabo: 50 CM, Altura: 10 CM, Diâmetro: 16 CM, Material Cabo: Madeira</v>
      </c>
      <c r="C39" s="96"/>
      <c r="D39" s="96"/>
      <c r="E39" s="97" t="str">
        <f aca="false">Insumos!C16</f>
        <v>Unid.</v>
      </c>
      <c r="F39" s="97" t="str">
        <f aca="false">Insumos!D16</f>
        <v>Canada</v>
      </c>
      <c r="G39" s="98" t="n">
        <f aca="false">L39</f>
        <v>0.25</v>
      </c>
      <c r="H39" s="99" t="n">
        <f aca="false">G39*Insumos!G16</f>
        <v>2.77</v>
      </c>
      <c r="I39" s="100" t="str">
        <f aca="false">IF(G39&lt;L39,"Fornecimento inferior ao estimado mensalmente",IF(G39=L39,"Fornecimento igual ao estimado mensalmente",IF(G39&gt;L39,"Fornecimento superior ao estimado mensalmente",)))</f>
        <v>Fornecimento igual ao estimado mensalmente</v>
      </c>
      <c r="J39" s="100"/>
      <c r="K39" s="100"/>
      <c r="L39" s="101" t="n">
        <f aca="false">M39/O39</f>
        <v>0.25</v>
      </c>
      <c r="M39" s="102" t="n">
        <f aca="false">Insumos!E16</f>
        <v>3</v>
      </c>
      <c r="N39" s="103" t="str">
        <f aca="false">Insumos!F16</f>
        <v>Anual</v>
      </c>
      <c r="O39" s="104" t="n">
        <f aca="false">IF(N39="MENSAL",1,IF(N39="BIMESTRAL",2,IF(N39="TRIMESTRAL",3,IF(N39="QUADRIMESTRAL",4,IF(N39="SEMESTRAL",6,IF(N39="ANUAL",12,IF(N39="BIENAL",24,"")))))))</f>
        <v>12</v>
      </c>
      <c r="V39" s="78"/>
    </row>
    <row r="40" s="1" customFormat="true" ht="57" hidden="true" customHeight="true" outlineLevel="0" collapsed="false">
      <c r="A40" s="95" t="n">
        <v>9</v>
      </c>
      <c r="B40" s="96" t="str">
        <f aca="false">Insumos!B17</f>
        <v>Desodorizador de ambiente com 360ml. Aromatizador de Ambientes Aerosol, conteúdo 360ml/240g sem Cfc. Essências suaves. Aplicação: aromatizador ambiental. Embalagem deverá conter externamente os dados de identificação, procedência, número do lote, validade e número do registro no Ministério da Saúde. Marca igual ou superior a Bom Ar, Glade ou Ultra Fresh.</v>
      </c>
      <c r="C40" s="96"/>
      <c r="D40" s="96"/>
      <c r="E40" s="97" t="str">
        <f aca="false">Insumos!C17</f>
        <v>unid.</v>
      </c>
      <c r="F40" s="97" t="str">
        <f aca="false">Insumos!D17</f>
        <v>Glade</v>
      </c>
      <c r="G40" s="98" t="n">
        <f aca="false">L40</f>
        <v>30</v>
      </c>
      <c r="H40" s="99" t="n">
        <f aca="false">G40*Insumos!G17</f>
        <v>515.7</v>
      </c>
      <c r="I40" s="100" t="str">
        <f aca="false">IF(G40&lt;L40,"Fornecimento inferior ao estimado mensalmente",IF(G40=L40,"Fornecimento igual ao estimado mensalmente",IF(G40&gt;L40,"Fornecimento superior ao estimado mensalmente",)))</f>
        <v>Fornecimento igual ao estimado mensalmente</v>
      </c>
      <c r="J40" s="100"/>
      <c r="K40" s="100"/>
      <c r="L40" s="101" t="n">
        <f aca="false">M40/O40</f>
        <v>30</v>
      </c>
      <c r="M40" s="102" t="n">
        <f aca="false">Insumos!E17</f>
        <v>30</v>
      </c>
      <c r="N40" s="103" t="str">
        <f aca="false">Insumos!F17</f>
        <v>Mensal</v>
      </c>
      <c r="O40" s="104" t="n">
        <f aca="false">IF(N40="MENSAL",1,IF(N40="BIMESTRAL",2,IF(N40="TRIMESTRAL",3,IF(N40="QUADRIMESTRAL",4,IF(N40="SEMESTRAL",6,IF(N40="ANUAL",12,IF(N40="BIENAL",24,"")))))))</f>
        <v>1</v>
      </c>
      <c r="V40" s="78"/>
    </row>
    <row r="41" s="1" customFormat="true" ht="55.5" hidden="true" customHeight="true" outlineLevel="0" collapsed="false">
      <c r="A41" s="95" t="n">
        <v>10</v>
      </c>
      <c r="B41" s="96" t="str">
        <f aca="false">Insumos!B18</f>
        <v>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350mm, limpador confeccionado em fibra sintética e mineral abrasivo;</v>
      </c>
      <c r="C41" s="96"/>
      <c r="D41" s="96"/>
      <c r="E41" s="97" t="str">
        <f aca="false">Insumos!C18</f>
        <v>galão</v>
      </c>
      <c r="F41" s="97" t="str">
        <f aca="false">Insumos!D18</f>
        <v>Mirax Floral Bouquet</v>
      </c>
      <c r="G41" s="98" t="n">
        <f aca="false">L41</f>
        <v>35</v>
      </c>
      <c r="H41" s="99" t="n">
        <f aca="false">G41*Insumos!G18</f>
        <v>1567.65</v>
      </c>
      <c r="I41" s="100" t="str">
        <f aca="false">IF(G41&lt;L41,"Fornecimento inferior ao estimado mensalmente",IF(G41=L41,"Fornecimento igual ao estimado mensalmente",IF(G41&gt;L41,"Fornecimento superior ao estimado mensalmente",)))</f>
        <v>Fornecimento igual ao estimado mensalmente</v>
      </c>
      <c r="J41" s="100"/>
      <c r="K41" s="100"/>
      <c r="L41" s="101" t="n">
        <f aca="false">M41/O41</f>
        <v>35</v>
      </c>
      <c r="M41" s="102" t="n">
        <f aca="false">Insumos!E18</f>
        <v>35</v>
      </c>
      <c r="N41" s="103" t="str">
        <f aca="false">Insumos!F18</f>
        <v>Mensal</v>
      </c>
      <c r="O41" s="104" t="n">
        <f aca="false">IF(N41="MENSAL",1,IF(N41="BIMESTRAL",2,IF(N41="TRIMESTRAL",3,IF(N41="QUADRIMESTRAL",4,IF(N41="SEMESTRAL",6,IF(N41="ANUAL",12,IF(N41="BIENAL",24,"")))))))</f>
        <v>1</v>
      </c>
      <c r="V41" s="78"/>
    </row>
    <row r="42" s="1" customFormat="true" ht="39" hidden="true" customHeight="true" outlineLevel="0" collapsed="false">
      <c r="A42" s="95" t="n">
        <v>11</v>
      </c>
      <c r="B42" s="96" t="str">
        <f aca="false">Insumos!B19</f>
        <v>Disco Escova Nylon branco ou verde para enceradeira industrial disco 350mm. Disco para enceradeira industrial, limpador confeccionado em fibra sintética e mineral abrasivo,com diâmetro de 350mm.industrial disco 350mm, limpador confeccionado em fibra sintética e mineral abrasivo;</v>
      </c>
      <c r="C42" s="96"/>
      <c r="D42" s="96"/>
      <c r="E42" s="97" t="str">
        <f aca="false">Insumos!C19</f>
        <v>unid.</v>
      </c>
      <c r="F42" s="97" t="str">
        <f aca="false">Insumos!D19</f>
        <v>Cleaner</v>
      </c>
      <c r="G42" s="98" t="n">
        <f aca="false">L42</f>
        <v>1</v>
      </c>
      <c r="H42" s="99" t="n">
        <f aca="false">G42*Insumos!G19</f>
        <v>28.44</v>
      </c>
      <c r="I42" s="100" t="str">
        <f aca="false">IF(G42&lt;L42,"Fornecimento inferior ao estimado mensalmente",IF(G42=L42,"Fornecimento igual ao estimado mensalmente",IF(G42&gt;L42,"Fornecimento superior ao estimado mensalmente",)))</f>
        <v>Fornecimento igual ao estimado mensalmente</v>
      </c>
      <c r="J42" s="100"/>
      <c r="K42" s="100"/>
      <c r="L42" s="101" t="n">
        <f aca="false">M42/O42</f>
        <v>1</v>
      </c>
      <c r="M42" s="102" t="n">
        <f aca="false">Insumos!E19</f>
        <v>6</v>
      </c>
      <c r="N42" s="103" t="str">
        <f aca="false">Insumos!F19</f>
        <v>Semestral</v>
      </c>
      <c r="O42" s="104" t="n">
        <f aca="false">IF(N42="MENSAL",1,IF(N42="BIMESTRAL",2,IF(N42="TRIMESTRAL",3,IF(N42="QUADRIMESTRAL",4,IF(N42="SEMESTRAL",6,IF(N42="ANUAL",12,IF(N42="BIENAL",24,"")))))))</f>
        <v>6</v>
      </c>
      <c r="V42" s="78"/>
    </row>
    <row r="43" s="1" customFormat="true" ht="27.75" hidden="true" customHeight="true" outlineLevel="0" collapsed="false">
      <c r="A43" s="95" t="n">
        <v>12</v>
      </c>
      <c r="B43" s="96" t="str">
        <f aca="false">Insumos!B20</f>
        <v>Escova para lavar multiuso, oval, base plástica e cerdas de escova para lavar multiuso, oval, base plástica e cerdas de nylon.para lavar multiuso, oval, base plástica e cerdas de nylon.</v>
      </c>
      <c r="C43" s="96"/>
      <c r="D43" s="96"/>
      <c r="E43" s="97" t="str">
        <f aca="false">Insumos!C20</f>
        <v>unid.</v>
      </c>
      <c r="F43" s="97" t="str">
        <f aca="false">Insumos!D20</f>
        <v>Condor</v>
      </c>
      <c r="G43" s="98" t="n">
        <f aca="false">L43</f>
        <v>1.66666666666667</v>
      </c>
      <c r="H43" s="99" t="n">
        <f aca="false">G43*Insumos!G20</f>
        <v>9.28333333333334</v>
      </c>
      <c r="I43" s="100" t="str">
        <f aca="false">IF(G43&lt;L43,"Fornecimento inferior ao estimado mensalmente",IF(G43=L43,"Fornecimento igual ao estimado mensalmente",IF(G43&gt;L43,"Fornecimento superior ao estimado mensalmente",)))</f>
        <v>Fornecimento igual ao estimado mensalmente</v>
      </c>
      <c r="J43" s="100"/>
      <c r="K43" s="100"/>
      <c r="L43" s="101" t="n">
        <f aca="false">M43/O43</f>
        <v>1.66666666666667</v>
      </c>
      <c r="M43" s="102" t="n">
        <f aca="false">Insumos!E20</f>
        <v>5</v>
      </c>
      <c r="N43" s="103" t="str">
        <f aca="false">Insumos!F20</f>
        <v>Trimestral</v>
      </c>
      <c r="O43" s="104" t="n">
        <f aca="false">IF(N43="MENSAL",1,IF(N43="BIMESTRAL",2,IF(N43="TRIMESTRAL",3,IF(N43="QUADRIMESTRAL",4,IF(N43="SEMESTRAL",6,IF(N43="ANUAL",12,IF(N43="BIENAL",24,"")))))))</f>
        <v>3</v>
      </c>
      <c r="V43" s="78"/>
    </row>
    <row r="44" s="1" customFormat="true" ht="30" hidden="true" customHeight="true" outlineLevel="0" collapsed="false">
      <c r="A44" s="95" t="n">
        <v>13</v>
      </c>
      <c r="B44" s="96" t="str">
        <f aca="false">Insumos!B21</f>
        <v>Escova Sanitária Redonda em plástico Branco contendo 01 escova para vaso sanitário e 01 suporte redondo: Branco Tamanho aprox.: 14 x 42 cm</v>
      </c>
      <c r="C44" s="96"/>
      <c r="D44" s="96"/>
      <c r="E44" s="97" t="str">
        <f aca="false">Insumos!C21</f>
        <v>unid.</v>
      </c>
      <c r="F44" s="97" t="str">
        <f aca="false">Insumos!D21</f>
        <v>Limpamania</v>
      </c>
      <c r="G44" s="98" t="n">
        <f aca="false">L44</f>
        <v>2.5</v>
      </c>
      <c r="H44" s="99" t="n">
        <f aca="false">G44*Insumos!G21</f>
        <v>40.275</v>
      </c>
      <c r="I44" s="100" t="str">
        <f aca="false">IF(G44&lt;L44,"Fornecimento inferior ao estimado mensalmente",IF(G44=L44,"Fornecimento igual ao estimado mensalmente",IF(G44&gt;L44,"Fornecimento superior ao estimado mensalmente",)))</f>
        <v>Fornecimento igual ao estimado mensalmente</v>
      </c>
      <c r="J44" s="100"/>
      <c r="K44" s="100"/>
      <c r="L44" s="101" t="n">
        <f aca="false">M44/O44</f>
        <v>2.5</v>
      </c>
      <c r="M44" s="102" t="n">
        <f aca="false">Insumos!E21</f>
        <v>30</v>
      </c>
      <c r="N44" s="103" t="str">
        <f aca="false">Insumos!F21</f>
        <v>Anual</v>
      </c>
      <c r="O44" s="104" t="n">
        <f aca="false">IF(N44="MENSAL",1,IF(N44="BIMESTRAL",2,IF(N44="TRIMESTRAL",3,IF(N44="QUADRIMESTRAL",4,IF(N44="SEMESTRAL",6,IF(N44="ANUAL",12,IF(N44="BIENAL",24,"")))))))</f>
        <v>12</v>
      </c>
      <c r="V44" s="78"/>
    </row>
    <row r="45" s="1" customFormat="true" ht="41.25" hidden="true" customHeight="true" outlineLevel="0" collapsed="false">
      <c r="A45" s="95" t="n">
        <v>14</v>
      </c>
      <c r="B45" s="96" t="str">
        <f aca="false">Insumos!B22</f>
        <v>Esponja Para Lavagem De Louças E Limpeza Em Geral, Dupla Face Sintética, Um Lado Em Espuma Poliuretano E Outro Em Fibra Sintética Abrasiva, Antibacteriana, Formato Retangular, Medindo Aproximadamente 110mm X 75mm X 20mm De Espessura. Pacote com 4 unidades.</v>
      </c>
      <c r="C45" s="96"/>
      <c r="D45" s="96"/>
      <c r="E45" s="97" t="str">
        <f aca="false">Insumos!C22</f>
        <v>pacote</v>
      </c>
      <c r="F45" s="97" t="str">
        <f aca="false">Insumos!D22</f>
        <v>Scotch-Brite</v>
      </c>
      <c r="G45" s="98" t="n">
        <f aca="false">L45</f>
        <v>6</v>
      </c>
      <c r="H45" s="99" t="n">
        <f aca="false">G45*Insumos!G22</f>
        <v>38.4</v>
      </c>
      <c r="I45" s="100" t="str">
        <f aca="false">IF(G45&lt;L45,"Fornecimento inferior ao estimado mensalmente",IF(G45=L45,"Fornecimento igual ao estimado mensalmente",IF(G45&gt;L45,"Fornecimento superior ao estimado mensalmente",)))</f>
        <v>Fornecimento igual ao estimado mensalmente</v>
      </c>
      <c r="J45" s="100"/>
      <c r="K45" s="100"/>
      <c r="L45" s="101" t="n">
        <f aca="false">M45/O45</f>
        <v>6</v>
      </c>
      <c r="M45" s="102" t="n">
        <f aca="false">Insumos!E22</f>
        <v>6</v>
      </c>
      <c r="N45" s="103" t="str">
        <f aca="false">Insumos!F22</f>
        <v>Mensal</v>
      </c>
      <c r="O45" s="104" t="n">
        <f aca="false">IF(N45="MENSAL",1,IF(N45="BIMESTRAL",2,IF(N45="TRIMESTRAL",3,IF(N45="QUADRIMESTRAL",4,IF(N45="SEMESTRAL",6,IF(N45="ANUAL",12,IF(N45="BIENAL",24,"")))))))</f>
        <v>1</v>
      </c>
      <c r="V45" s="78"/>
    </row>
    <row r="46" s="1" customFormat="true" ht="29.25" hidden="true" customHeight="true" outlineLevel="0" collapsed="false">
      <c r="A46" s="95" t="n">
        <v>15</v>
      </c>
      <c r="B46" s="96" t="str">
        <f aca="false">Insumos!B23</f>
        <v>Esponja de LÃ DE AÇO, composição básica: aço carbono abrasivo, p/ limpeza em geral, acondicionada em embalagem plástica original do fabricante, peso líquido aproximado de 60g, pacote c/ 08 unidades.</v>
      </c>
      <c r="C46" s="96"/>
      <c r="D46" s="96"/>
      <c r="E46" s="97" t="str">
        <f aca="false">Insumos!C23</f>
        <v>pacote</v>
      </c>
      <c r="F46" s="97" t="str">
        <f aca="false">Insumos!D23</f>
        <v>Bombril</v>
      </c>
      <c r="G46" s="98" t="n">
        <f aca="false">L46</f>
        <v>4</v>
      </c>
      <c r="H46" s="99" t="n">
        <f aca="false">G46*Insumos!G23</f>
        <v>11.76</v>
      </c>
      <c r="I46" s="100" t="str">
        <f aca="false">IF(G46&lt;L46,"Fornecimento inferior ao estimado mensalmente",IF(G46=L46,"Fornecimento igual ao estimado mensalmente",IF(G46&gt;L46,"Fornecimento superior ao estimado mensalmente",)))</f>
        <v>Fornecimento igual ao estimado mensalmente</v>
      </c>
      <c r="J46" s="100"/>
      <c r="K46" s="100"/>
      <c r="L46" s="101" t="n">
        <f aca="false">M46/O46</f>
        <v>4</v>
      </c>
      <c r="M46" s="102" t="n">
        <f aca="false">Insumos!E23</f>
        <v>4</v>
      </c>
      <c r="N46" s="103" t="str">
        <f aca="false">Insumos!F23</f>
        <v>Mensal</v>
      </c>
      <c r="O46" s="104" t="n">
        <f aca="false">IF(N46="MENSAL",1,IF(N46="BIMESTRAL",2,IF(N46="TRIMESTRAL",3,IF(N46="QUADRIMESTRAL",4,IF(N46="SEMESTRAL",6,IF(N46="ANUAL",12,IF(N46="BIENAL",24,"")))))))</f>
        <v>1</v>
      </c>
      <c r="V46" s="78"/>
    </row>
    <row r="47" s="1" customFormat="true" ht="79.5" hidden="true" customHeight="true" outlineLevel="0" collapsed="false">
      <c r="A47" s="95" t="n">
        <v>16</v>
      </c>
      <c r="B47" s="96" t="str">
        <f aca="false">Insumos!B24</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7" s="96"/>
      <c r="D47" s="96"/>
      <c r="E47" s="97" t="str">
        <f aca="false">Insumos!C24</f>
        <v>unid.</v>
      </c>
      <c r="F47" s="97" t="str">
        <f aca="false">Insumos!D24</f>
        <v>Intextil</v>
      </c>
      <c r="G47" s="98" t="n">
        <f aca="false">L47</f>
        <v>24</v>
      </c>
      <c r="H47" s="99" t="n">
        <f aca="false">G47*Insumos!G24</f>
        <v>102.72</v>
      </c>
      <c r="I47" s="100" t="str">
        <f aca="false">IF(G47&lt;L47,"Fornecimento inferior ao estimado mensalmente",IF(G47=L47,"Fornecimento igual ao estimado mensalmente",IF(G47&gt;L47,"Fornecimento superior ao estimado mensalmente",)))</f>
        <v>Fornecimento igual ao estimado mensalmente</v>
      </c>
      <c r="J47" s="100"/>
      <c r="K47" s="100"/>
      <c r="L47" s="101" t="n">
        <f aca="false">M47/O47</f>
        <v>24</v>
      </c>
      <c r="M47" s="102" t="n">
        <f aca="false">Insumos!E24</f>
        <v>24</v>
      </c>
      <c r="N47" s="103" t="str">
        <f aca="false">Insumos!F24</f>
        <v>Mensal</v>
      </c>
      <c r="O47" s="104" t="n">
        <f aca="false">IF(N47="MENSAL",1,IF(N47="BIMESTRAL",2,IF(N47="TRIMESTRAL",3,IF(N47="QUADRIMESTRAL",4,IF(N47="SEMESTRAL",6,IF(N47="ANUAL",12,IF(N47="BIENAL",24,"")))))))</f>
        <v>1</v>
      </c>
      <c r="V47" s="78"/>
    </row>
    <row r="48" s="1" customFormat="true" ht="28.5" hidden="true" customHeight="true" outlineLevel="0" collapsed="false">
      <c r="A48" s="95" t="n">
        <v>17</v>
      </c>
      <c r="B48" s="96" t="str">
        <f aca="false">Insumos!B25</f>
        <v>Funil, material plástico, uso doméstico, diâmetro nominal 120 mm, características adicionais branco, com pegador.</v>
      </c>
      <c r="C48" s="96"/>
      <c r="D48" s="96"/>
      <c r="E48" s="97" t="str">
        <f aca="false">Insumos!C25</f>
        <v>unid.</v>
      </c>
      <c r="F48" s="97" t="str">
        <f aca="false">Insumos!D25</f>
        <v>Plasútil</v>
      </c>
      <c r="G48" s="98" t="n">
        <f aca="false">L48</f>
        <v>0.416666666666667</v>
      </c>
      <c r="H48" s="99" t="n">
        <f aca="false">G48*Insumos!G25</f>
        <v>3.85</v>
      </c>
      <c r="I48" s="100" t="str">
        <f aca="false">IF(G48&lt;L48,"Fornecimento inferior ao estimado mensalmente",IF(G48=L48,"Fornecimento igual ao estimado mensalmente",IF(G48&gt;L48,"Fornecimento superior ao estimado mensalmente",)))</f>
        <v>Fornecimento igual ao estimado mensalmente</v>
      </c>
      <c r="J48" s="100"/>
      <c r="K48" s="100"/>
      <c r="L48" s="101" t="n">
        <f aca="false">M48/O48</f>
        <v>0.416666666666667</v>
      </c>
      <c r="M48" s="102" t="n">
        <f aca="false">Insumos!E25</f>
        <v>5</v>
      </c>
      <c r="N48" s="103" t="str">
        <f aca="false">Insumos!F25</f>
        <v>Anual</v>
      </c>
      <c r="O48" s="104" t="n">
        <f aca="false">IF(N48="MENSAL",1,IF(N48="BIMESTRAL",2,IF(N48="TRIMESTRAL",3,IF(N48="QUADRIMESTRAL",4,IF(N48="SEMESTRAL",6,IF(N48="ANUAL",12,IF(N48="BIENAL",24,"")))))))</f>
        <v>12</v>
      </c>
      <c r="V48" s="78"/>
    </row>
    <row r="49" s="1" customFormat="true" ht="39.75" hidden="true" customHeight="true" outlineLevel="0" collapsed="false">
      <c r="A49" s="95" t="n">
        <v>18</v>
      </c>
      <c r="B49" s="96" t="str">
        <f aca="false">Insumos!B26</f>
        <v>Kit limpador de vidro: Rodo 2 em 1 limpa vidros com cabo telescópico extensor de 06 (seis) metros. Extremidade composta por lavador de acrílico e limpador com lâmina de borracha esponja de limpeza de aproximadamente 35 cm. Utilizado para limpeza de vidros e vidraças.</v>
      </c>
      <c r="C49" s="96"/>
      <c r="D49" s="96"/>
      <c r="E49" s="97" t="str">
        <f aca="false">Insumos!C26</f>
        <v>unid.</v>
      </c>
      <c r="F49" s="97" t="str">
        <f aca="false">Insumos!D26</f>
        <v>Bralimpia</v>
      </c>
      <c r="G49" s="98" t="n">
        <f aca="false">L49</f>
        <v>0.333333333333333</v>
      </c>
      <c r="H49" s="99" t="n">
        <f aca="false">G49*Insumos!G26</f>
        <v>55.2166666666667</v>
      </c>
      <c r="I49" s="100" t="str">
        <f aca="false">IF(G49&lt;L49,"Fornecimento inferior ao estimado mensalmente",IF(G49=L49,"Fornecimento igual ao estimado mensalmente",IF(G49&gt;L49,"Fornecimento superior ao estimado mensalmente",)))</f>
        <v>Fornecimento igual ao estimado mensalmente</v>
      </c>
      <c r="J49" s="100"/>
      <c r="K49" s="100"/>
      <c r="L49" s="101" t="n">
        <f aca="false">M49/O49</f>
        <v>0.333333333333333</v>
      </c>
      <c r="M49" s="102" t="n">
        <f aca="false">Insumos!E26</f>
        <v>2</v>
      </c>
      <c r="N49" s="103" t="str">
        <f aca="false">Insumos!F26</f>
        <v>Semestral</v>
      </c>
      <c r="O49" s="104" t="n">
        <f aca="false">IF(N49="MENSAL",1,IF(N49="BIMESTRAL",2,IF(N49="TRIMESTRAL",3,IF(N49="QUADRIMESTRAL",4,IF(N49="SEMESTRAL",6,IF(N49="ANUAL",12,IF(N49="BIENAL",24,"")))))))</f>
        <v>6</v>
      </c>
      <c r="V49" s="78"/>
    </row>
    <row r="50" s="1" customFormat="true" ht="55.5" hidden="true" customHeight="true" outlineLevel="0" collapsed="false">
      <c r="A50" s="95" t="n">
        <v>19</v>
      </c>
      <c r="B50" s="96" t="str">
        <f aca="false">Insumos!B27</f>
        <v>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v>
      </c>
      <c r="C50" s="96"/>
      <c r="D50" s="96"/>
      <c r="E50" s="97" t="str">
        <f aca="false">Insumos!C27</f>
        <v>galão</v>
      </c>
      <c r="F50" s="97" t="str">
        <f aca="false">Insumos!D27</f>
        <v>Pedrex</v>
      </c>
      <c r="G50" s="98" t="n">
        <f aca="false">L50</f>
        <v>1.66666666666667</v>
      </c>
      <c r="H50" s="99" t="n">
        <f aca="false">G50*Insumos!G27</f>
        <v>97.25</v>
      </c>
      <c r="I50" s="100" t="str">
        <f aca="false">IF(G50&lt;L50,"Fornecimento inferior ao estimado mensalmente",IF(G50=L50,"Fornecimento igual ao estimado mensalmente",IF(G50&gt;L50,"Fornecimento superior ao estimado mensalmente",)))</f>
        <v>Fornecimento igual ao estimado mensalmente</v>
      </c>
      <c r="J50" s="100"/>
      <c r="K50" s="100"/>
      <c r="L50" s="101" t="n">
        <f aca="false">M50/O50</f>
        <v>1.66666666666667</v>
      </c>
      <c r="M50" s="102" t="n">
        <f aca="false">Insumos!E27</f>
        <v>5</v>
      </c>
      <c r="N50" s="103" t="str">
        <f aca="false">Insumos!F27</f>
        <v>Trimestral</v>
      </c>
      <c r="O50" s="104" t="n">
        <f aca="false">IF(N50="MENSAL",1,IF(N50="BIMESTRAL",2,IF(N50="TRIMESTRAL",3,IF(N50="QUADRIMESTRAL",4,IF(N50="SEMESTRAL",6,IF(N50="ANUAL",12,IF(N50="BIENAL",24,"")))))))</f>
        <v>3</v>
      </c>
      <c r="V50" s="78"/>
    </row>
    <row r="51" s="1" customFormat="true" ht="40.5" hidden="true" customHeight="true" outlineLevel="0" collapsed="false">
      <c r="A51" s="95" t="n">
        <v>20</v>
      </c>
      <c r="B51" s="96" t="str">
        <f aca="false">Insumos!B28</f>
        <v>Lustra Móveis, Embalagem de 200 ml, Emulsão aquosa cremosa, perfumada, para aplicação em móveis e superfícies lisas. aromas diversos. frasco plástico de 200ml com bico econômico. embalagem certificada pelo INMETRO contendo data de fabricação, validade.</v>
      </c>
      <c r="C51" s="96"/>
      <c r="D51" s="96"/>
      <c r="E51" s="97" t="str">
        <f aca="false">Insumos!C28</f>
        <v>Unid.</v>
      </c>
      <c r="F51" s="97" t="str">
        <f aca="false">Insumos!D28</f>
        <v>Ypê ou Minuano</v>
      </c>
      <c r="G51" s="98" t="n">
        <f aca="false">L51</f>
        <v>2</v>
      </c>
      <c r="H51" s="99" t="n">
        <f aca="false">G51*Insumos!G28</f>
        <v>13.64</v>
      </c>
      <c r="I51" s="100" t="str">
        <f aca="false">IF(G51&lt;L51,"Fornecimento inferior ao estimado mensalmente",IF(G51=L51,"Fornecimento igual ao estimado mensalmente",IF(G51&gt;L51,"Fornecimento superior ao estimado mensalmente",)))</f>
        <v>Fornecimento igual ao estimado mensalmente</v>
      </c>
      <c r="J51" s="100"/>
      <c r="K51" s="100"/>
      <c r="L51" s="101" t="n">
        <f aca="false">M51/O51</f>
        <v>2</v>
      </c>
      <c r="M51" s="102" t="n">
        <f aca="false">Insumos!E28</f>
        <v>2</v>
      </c>
      <c r="N51" s="103" t="str">
        <f aca="false">Insumos!F28</f>
        <v>Mensal</v>
      </c>
      <c r="O51" s="104" t="n">
        <f aca="false">IF(N51="MENSAL",1,IF(N51="BIMESTRAL",2,IF(N51="TRIMESTRAL",3,IF(N51="QUADRIMESTRAL",4,IF(N51="SEMESTRAL",6,IF(N51="ANUAL",12,IF(N51="BIENAL",24,"")))))))</f>
        <v>1</v>
      </c>
      <c r="V51" s="78"/>
    </row>
    <row r="52" s="1" customFormat="true" ht="39.75" hidden="true" customHeight="true" outlineLevel="0" collapsed="false">
      <c r="A52" s="95" t="n">
        <v>21</v>
      </c>
      <c r="B52" s="96" t="str">
        <f aca="false">Insumos!B29</f>
        <v>Luva Segurança Com Forro. Material: 100% Látex Nitrílico, Tamanho: M ou G, Aplicação: Manuseio Reagente Químico E Radioativo, Características Adicionais: Com Forro, Sem Talco, Pulso Com Bainha, Modelo: Palma Antiderrapante, Cor: Verde, Tipo: Ambidestra</v>
      </c>
      <c r="C52" s="96"/>
      <c r="D52" s="96"/>
      <c r="E52" s="97" t="str">
        <f aca="false">Insumos!C29</f>
        <v>Par</v>
      </c>
      <c r="F52" s="97" t="str">
        <f aca="false">Insumos!D29</f>
        <v>Bettanin</v>
      </c>
      <c r="G52" s="98" t="n">
        <f aca="false">L52</f>
        <v>35</v>
      </c>
      <c r="H52" s="99" t="n">
        <f aca="false">G52*Insumos!G29</f>
        <v>468.3</v>
      </c>
      <c r="I52" s="100" t="str">
        <f aca="false">IF(G52&lt;L52,"Fornecimento inferior ao estimado mensalmente",IF(G52=L52,"Fornecimento igual ao estimado mensalmente",IF(G52&gt;L52,"Fornecimento superior ao estimado mensalmente",)))</f>
        <v>Fornecimento igual ao estimado mensalmente</v>
      </c>
      <c r="J52" s="100"/>
      <c r="K52" s="100"/>
      <c r="L52" s="101" t="n">
        <f aca="false">M52/O52</f>
        <v>35</v>
      </c>
      <c r="M52" s="102" t="n">
        <f aca="false">Insumos!E29</f>
        <v>35</v>
      </c>
      <c r="N52" s="103" t="str">
        <f aca="false">Insumos!F29</f>
        <v>Mensal</v>
      </c>
      <c r="O52" s="104" t="n">
        <f aca="false">IF(N52="MENSAL",1,IF(N52="BIMESTRAL",2,IF(N52="TRIMESTRAL",3,IF(N52="QUADRIMESTRAL",4,IF(N52="SEMESTRAL",6,IF(N52="ANUAL",12,IF(N52="BIENAL",24,"")))))))</f>
        <v>1</v>
      </c>
      <c r="V52" s="78"/>
    </row>
    <row r="53" s="1" customFormat="true" ht="30" hidden="true" customHeight="true" outlineLevel="0" collapsed="false">
      <c r="A53" s="95" t="n">
        <v>22</v>
      </c>
      <c r="B53" s="96" t="str">
        <f aca="false">Insumos!B30</f>
        <v>Mangueira para jardim, com 50 metros de extensão ou mais, antitorção, com engate de torneira e esguicho jato regulável</v>
      </c>
      <c r="C53" s="96"/>
      <c r="D53" s="96"/>
      <c r="E53" s="97" t="str">
        <f aca="false">Insumos!C30</f>
        <v>unid.</v>
      </c>
      <c r="F53" s="97" t="str">
        <f aca="false">Insumos!D30</f>
        <v>Tramontina</v>
      </c>
      <c r="G53" s="98" t="n">
        <f aca="false">L53</f>
        <v>0.166666666666667</v>
      </c>
      <c r="H53" s="99" t="n">
        <f aca="false">G53*Insumos!G30</f>
        <v>24.8316666666667</v>
      </c>
      <c r="I53" s="100" t="str">
        <f aca="false">IF(G53&lt;L53,"Fornecimento inferior ao estimado mensalmente",IF(G53=L53,"Fornecimento igual ao estimado mensalmente",IF(G53&gt;L53,"Fornecimento superior ao estimado mensalmente",)))</f>
        <v>Fornecimento igual ao estimado mensalmente</v>
      </c>
      <c r="J53" s="100"/>
      <c r="K53" s="100"/>
      <c r="L53" s="101" t="n">
        <f aca="false">M53/O53</f>
        <v>0.166666666666667</v>
      </c>
      <c r="M53" s="102" t="n">
        <f aca="false">Insumos!E30</f>
        <v>2</v>
      </c>
      <c r="N53" s="103" t="str">
        <f aca="false">Insumos!F30</f>
        <v>Anual</v>
      </c>
      <c r="O53" s="104" t="n">
        <f aca="false">IF(N53="MENSAL",1,IF(N53="BIMESTRAL",2,IF(N53="TRIMESTRAL",3,IF(N53="QUADRIMESTRAL",4,IF(N53="SEMESTRAL",6,IF(N53="ANUAL",12,IF(N53="BIENAL",24,"")))))))</f>
        <v>12</v>
      </c>
      <c r="V53" s="78"/>
    </row>
    <row r="54" s="1" customFormat="true" ht="17.25" hidden="true" customHeight="true" outlineLevel="0" collapsed="false">
      <c r="A54" s="95" t="n">
        <v>23</v>
      </c>
      <c r="B54" s="96" t="str">
        <f aca="false">Insumos!B31</f>
        <v>Pá p/ lixo em plástico resistente c/ cabo de madeira de aprox. 60cm de altura na vertical</v>
      </c>
      <c r="C54" s="96"/>
      <c r="D54" s="96"/>
      <c r="E54" s="97" t="str">
        <f aca="false">Insumos!C31</f>
        <v>unid.</v>
      </c>
      <c r="F54" s="97" t="str">
        <f aca="false">Insumos!D31</f>
        <v>Bettanin</v>
      </c>
      <c r="G54" s="98" t="n">
        <f aca="false">L54</f>
        <v>6.66666666666667</v>
      </c>
      <c r="H54" s="99" t="n">
        <f aca="false">G54*Insumos!G31</f>
        <v>87.2666666666667</v>
      </c>
      <c r="I54" s="100" t="str">
        <f aca="false">IF(G54&lt;L54,"Fornecimento inferior ao estimado mensalmente",IF(G54=L54,"Fornecimento igual ao estimado mensalmente",IF(G54&gt;L54,"Fornecimento superior ao estimado mensalmente",)))</f>
        <v>Fornecimento igual ao estimado mensalmente</v>
      </c>
      <c r="J54" s="100"/>
      <c r="K54" s="100"/>
      <c r="L54" s="101" t="n">
        <f aca="false">M54/O54</f>
        <v>6.66666666666667</v>
      </c>
      <c r="M54" s="102" t="n">
        <f aca="false">Insumos!E31</f>
        <v>20</v>
      </c>
      <c r="N54" s="103" t="str">
        <f aca="false">Insumos!F31</f>
        <v>Trimestral</v>
      </c>
      <c r="O54" s="104" t="n">
        <f aca="false">IF(N54="MENSAL",1,IF(N54="BIMESTRAL",2,IF(N54="TRIMESTRAL",3,IF(N54="QUADRIMESTRAL",4,IF(N54="SEMESTRAL",6,IF(N54="ANUAL",12,IF(N54="BIENAL",24,"")))))))</f>
        <v>3</v>
      </c>
      <c r="V54" s="78"/>
    </row>
    <row r="55" s="1" customFormat="true" ht="38.25" hidden="true" customHeight="true" outlineLevel="0" collapsed="false">
      <c r="A55" s="95" t="n">
        <v>24</v>
      </c>
      <c r="B55" s="96" t="str">
        <f aca="false">Insumos!B32</f>
        <v>Papel higiênico branco, folha dupla, de alta qualidade, com dimensões 10cm X 30m, com a marca do fabricante e indicação na embalagem, absorvente e resistente, fardo com 4 rolos de 30 metros. Tipo Neve ou de melhor qualidade.</v>
      </c>
      <c r="C55" s="96"/>
      <c r="D55" s="96"/>
      <c r="E55" s="97" t="str">
        <f aca="false">Insumos!C32</f>
        <v>Fardo com 4 rolos</v>
      </c>
      <c r="F55" s="97" t="str">
        <f aca="false">Insumos!D32</f>
        <v>Neve</v>
      </c>
      <c r="G55" s="98" t="n">
        <f aca="false">L55</f>
        <v>240</v>
      </c>
      <c r="H55" s="99" t="n">
        <f aca="false">G55*Insumos!G32</f>
        <v>900</v>
      </c>
      <c r="I55" s="100" t="str">
        <f aca="false">IF(G55&lt;L55,"Fornecimento inferior ao estimado mensalmente",IF(G55=L55,"Fornecimento igual ao estimado mensalmente",IF(G55&gt;L55,"Fornecimento superior ao estimado mensalmente",)))</f>
        <v>Fornecimento igual ao estimado mensalmente</v>
      </c>
      <c r="J55" s="100"/>
      <c r="K55" s="100"/>
      <c r="L55" s="101" t="n">
        <f aca="false">M55/O55</f>
        <v>240</v>
      </c>
      <c r="M55" s="102" t="n">
        <f aca="false">Insumos!E32</f>
        <v>240</v>
      </c>
      <c r="N55" s="103" t="str">
        <f aca="false">Insumos!F32</f>
        <v>Mensal</v>
      </c>
      <c r="O55" s="104" t="n">
        <f aca="false">IF(N55="MENSAL",1,IF(N55="BIMESTRAL",2,IF(N55="TRIMESTRAL",3,IF(N55="QUADRIMESTRAL",4,IF(N55="SEMESTRAL",6,IF(N55="ANUAL",12,IF(N55="BIENAL",24,"")))))))</f>
        <v>1</v>
      </c>
      <c r="V55" s="78"/>
    </row>
    <row r="56" s="1" customFormat="true" ht="38.25" hidden="true" customHeight="true" outlineLevel="0" collapsed="false">
      <c r="A56" s="95" t="n">
        <v>25</v>
      </c>
      <c r="B56" s="96" t="str">
        <f aca="false">Insumos!B33</f>
        <v>Papel Toalha Interfolhado, 2 dobras, 100% fibras celulósicas, branco extra luxo, sem pintas ou outros tipos de sujidades, boa qualidade , medindo aproximadamente 23cm x 23 cm , acondicionado em caixa c/1000 folhas.</v>
      </c>
      <c r="C56" s="96"/>
      <c r="D56" s="96"/>
      <c r="E56" s="97" t="str">
        <f aca="false">Insumos!C33</f>
        <v>caixa</v>
      </c>
      <c r="F56" s="97" t="str">
        <f aca="false">Insumos!D33</f>
        <v>Economy ou similar</v>
      </c>
      <c r="G56" s="98" t="n">
        <f aca="false">L56</f>
        <v>90</v>
      </c>
      <c r="H56" s="99" t="n">
        <f aca="false">G56*Insumos!G33</f>
        <v>2060.1</v>
      </c>
      <c r="I56" s="100" t="str">
        <f aca="false">IF(G56&lt;L56,"Fornecimento inferior ao estimado mensalmente",IF(G56=L56,"Fornecimento igual ao estimado mensalmente",IF(G56&gt;L56,"Fornecimento superior ao estimado mensalmente",)))</f>
        <v>Fornecimento igual ao estimado mensalmente</v>
      </c>
      <c r="J56" s="100"/>
      <c r="K56" s="100"/>
      <c r="L56" s="101" t="n">
        <f aca="false">M56/O56</f>
        <v>90</v>
      </c>
      <c r="M56" s="102" t="n">
        <f aca="false">Insumos!E33</f>
        <v>90</v>
      </c>
      <c r="N56" s="103" t="str">
        <f aca="false">Insumos!F33</f>
        <v>Mensal</v>
      </c>
      <c r="O56" s="104" t="n">
        <f aca="false">IF(N56="MENSAL",1,IF(N56="BIMESTRAL",2,IF(N56="TRIMESTRAL",3,IF(N56="QUADRIMESTRAL",4,IF(N56="SEMESTRAL",6,IF(N56="ANUAL",12,IF(N56="BIENAL",24,"")))))))</f>
        <v>1</v>
      </c>
      <c r="V56" s="78"/>
    </row>
    <row r="57" s="1" customFormat="true" ht="18" hidden="true" customHeight="true" outlineLevel="0" collapsed="false">
      <c r="A57" s="95" t="n">
        <v>26</v>
      </c>
      <c r="B57" s="96" t="str">
        <f aca="false">Insumos!B34</f>
        <v>Pedra sanitária c/ 25g - com suporte para fixar no vaso sanitário. Desinfetante sanitário em pedra 25 g</v>
      </c>
      <c r="C57" s="96"/>
      <c r="D57" s="96"/>
      <c r="E57" s="97" t="str">
        <f aca="false">Insumos!C34</f>
        <v>unid.</v>
      </c>
      <c r="F57" s="97" t="str">
        <f aca="false">Insumos!D34</f>
        <v>Harpic, Pato</v>
      </c>
      <c r="G57" s="98" t="n">
        <f aca="false">L57</f>
        <v>200</v>
      </c>
      <c r="H57" s="99" t="n">
        <f aca="false">G57*Insumos!G34</f>
        <v>482</v>
      </c>
      <c r="I57" s="100" t="str">
        <f aca="false">IF(G57&lt;L57,"Fornecimento inferior ao estimado mensalmente",IF(G57=L57,"Fornecimento igual ao estimado mensalmente",IF(G57&gt;L57,"Fornecimento superior ao estimado mensalmente",)))</f>
        <v>Fornecimento igual ao estimado mensalmente</v>
      </c>
      <c r="J57" s="100"/>
      <c r="K57" s="100"/>
      <c r="L57" s="101" t="n">
        <f aca="false">M57/O57</f>
        <v>200</v>
      </c>
      <c r="M57" s="102" t="n">
        <f aca="false">Insumos!E34</f>
        <v>200</v>
      </c>
      <c r="N57" s="103" t="str">
        <f aca="false">Insumos!F34</f>
        <v>Mensal</v>
      </c>
      <c r="O57" s="104" t="n">
        <f aca="false">IF(N57="MENSAL",1,IF(N57="BIMESTRAL",2,IF(N57="TRIMESTRAL",3,IF(N57="QUADRIMESTRAL",4,IF(N57="SEMESTRAL",6,IF(N57="ANUAL",12,IF(N57="BIENAL",24,"")))))))</f>
        <v>1</v>
      </c>
      <c r="V57" s="78"/>
    </row>
    <row r="58" s="1" customFormat="true" ht="24.75" hidden="true" customHeight="true" outlineLevel="0" collapsed="false">
      <c r="A58" s="95" t="n">
        <v>27</v>
      </c>
      <c r="B58" s="96" t="str">
        <f aca="false">Insumos!B35</f>
        <v>Rodo Plástico e borracha dupla expandida de 40cm de largura, acompanha cabo de madeira plastificado de aproximadamente 1,26m, com garras pontiagudas nas laterais para melhor fixar panos de chão.</v>
      </c>
      <c r="C58" s="96"/>
      <c r="D58" s="96"/>
      <c r="E58" s="97" t="str">
        <f aca="false">Insumos!C35</f>
        <v>unid.</v>
      </c>
      <c r="F58" s="97" t="str">
        <f aca="false">Insumos!D35</f>
        <v>Brubalar</v>
      </c>
      <c r="G58" s="98" t="n">
        <f aca="false">L58</f>
        <v>6.66666666666667</v>
      </c>
      <c r="H58" s="99" t="n">
        <f aca="false">G58*Insumos!G35</f>
        <v>132.666666666667</v>
      </c>
      <c r="I58" s="100" t="str">
        <f aca="false">IF(G58&lt;L58,"Fornecimento inferior ao estimado mensalmente",IF(G58=L58,"Fornecimento igual ao estimado mensalmente",IF(G58&gt;L58,"Fornecimento superior ao estimado mensalmente",)))</f>
        <v>Fornecimento igual ao estimado mensalmente</v>
      </c>
      <c r="J58" s="100"/>
      <c r="K58" s="100"/>
      <c r="L58" s="101" t="n">
        <f aca="false">M58/O58</f>
        <v>6.66666666666667</v>
      </c>
      <c r="M58" s="102" t="n">
        <f aca="false">Insumos!E35</f>
        <v>20</v>
      </c>
      <c r="N58" s="103" t="str">
        <f aca="false">Insumos!F35</f>
        <v>Trimestral</v>
      </c>
      <c r="O58" s="104" t="n">
        <f aca="false">IF(N58="MENSAL",1,IF(N58="BIMESTRAL",2,IF(N58="TRIMESTRAL",3,IF(N58="QUADRIMESTRAL",4,IF(N58="SEMESTRAL",6,IF(N58="ANUAL",12,IF(N58="BIENAL",24,"")))))))</f>
        <v>3</v>
      </c>
      <c r="V58" s="78"/>
    </row>
    <row r="59" s="1" customFormat="true" ht="25.5" hidden="true" customHeight="true" outlineLevel="0" collapsed="false">
      <c r="A59" s="95" t="n">
        <v>28</v>
      </c>
      <c r="B59" s="96" t="str">
        <f aca="false">Insumos!B36</f>
        <v>Rodo Plástico e borracha dupla expandida de 60cm, resistente e durável, que puxa e seca a água, feita em EVA e cepo em polipropileno com garras pontiagudas nas laterais para melhor fixar panos de chão.</v>
      </c>
      <c r="C59" s="96"/>
      <c r="D59" s="96"/>
      <c r="E59" s="97" t="str">
        <f aca="false">Insumos!C36</f>
        <v>Unid.</v>
      </c>
      <c r="F59" s="97" t="str">
        <f aca="false">Insumos!D36</f>
        <v>Brubalar</v>
      </c>
      <c r="G59" s="98" t="n">
        <f aca="false">L59</f>
        <v>6.66666666666667</v>
      </c>
      <c r="H59" s="99" t="n">
        <f aca="false">G59*Insumos!G36</f>
        <v>171.133333333333</v>
      </c>
      <c r="I59" s="100" t="str">
        <f aca="false">IF(G59&lt;L59,"Fornecimento inferior ao estimado mensalmente",IF(G59=L59,"Fornecimento igual ao estimado mensalmente",IF(G59&gt;L59,"Fornecimento superior ao estimado mensalmente",)))</f>
        <v>Fornecimento igual ao estimado mensalmente</v>
      </c>
      <c r="J59" s="100"/>
      <c r="K59" s="100"/>
      <c r="L59" s="101" t="n">
        <f aca="false">M59/O59</f>
        <v>6.66666666666667</v>
      </c>
      <c r="M59" s="102" t="n">
        <f aca="false">Insumos!E36</f>
        <v>20</v>
      </c>
      <c r="N59" s="103" t="str">
        <f aca="false">Insumos!F36</f>
        <v>Trimestral</v>
      </c>
      <c r="O59" s="104" t="n">
        <f aca="false">IF(N59="MENSAL",1,IF(N59="BIMESTRAL",2,IF(N59="TRIMESTRAL",3,IF(N59="QUADRIMESTRAL",4,IF(N59="SEMESTRAL",6,IF(N59="ANUAL",12,IF(N59="BIENAL",24,"")))))))</f>
        <v>3</v>
      </c>
      <c r="V59" s="78"/>
    </row>
    <row r="60" s="1" customFormat="true" ht="15" hidden="true" customHeight="false" outlineLevel="0" collapsed="false">
      <c r="A60" s="95" t="n">
        <v>29</v>
      </c>
      <c r="B60" s="96" t="str">
        <f aca="false">Insumos!B37</f>
        <v>Rodo Mop Limpa Vidros Cabo Extensor Telescópio - Dupla Face </v>
      </c>
      <c r="C60" s="96"/>
      <c r="D60" s="96"/>
      <c r="E60" s="97" t="str">
        <f aca="false">Insumos!C37</f>
        <v>Unid.</v>
      </c>
      <c r="F60" s="97" t="n">
        <f aca="false">Insumos!D37</f>
        <v>0</v>
      </c>
      <c r="G60" s="98" t="n">
        <f aca="false">L60</f>
        <v>0.333333333333333</v>
      </c>
      <c r="H60" s="99" t="n">
        <f aca="false">G60*Insumos!G37</f>
        <v>10.6333333333333</v>
      </c>
      <c r="I60" s="100" t="str">
        <f aca="false">IF(G60&lt;L60,"Fornecimento inferior ao estimado mensalmente",IF(G60=L60,"Fornecimento igual ao estimado mensalmente",IF(G60&gt;L60,"Fornecimento superior ao estimado mensalmente",)))</f>
        <v>Fornecimento igual ao estimado mensalmente</v>
      </c>
      <c r="J60" s="100"/>
      <c r="K60" s="100"/>
      <c r="L60" s="101" t="n">
        <f aca="false">M60/O60</f>
        <v>0.333333333333333</v>
      </c>
      <c r="M60" s="102" t="n">
        <f aca="false">Insumos!E37</f>
        <v>2</v>
      </c>
      <c r="N60" s="103" t="str">
        <f aca="false">Insumos!F37</f>
        <v>Semestral</v>
      </c>
      <c r="O60" s="104" t="n">
        <f aca="false">IF(N60="MENSAL",1,IF(N60="BIMESTRAL",2,IF(N60="TRIMESTRAL",3,IF(N60="QUADRIMESTRAL",4,IF(N60="SEMESTRAL",6,IF(N60="ANUAL",12,IF(N60="BIENAL",24,"")))))))</f>
        <v>6</v>
      </c>
      <c r="V60" s="78"/>
    </row>
    <row r="61" s="1" customFormat="true" ht="15" hidden="true" customHeight="false" outlineLevel="0" collapsed="false">
      <c r="A61" s="95" t="n">
        <v>30</v>
      </c>
      <c r="B61" s="96" t="str">
        <f aca="false">Insumos!B38</f>
        <v>Sabão em barra glicerinado - cor neutra. Pacote com 5 de 200g cada unidade.</v>
      </c>
      <c r="C61" s="96"/>
      <c r="D61" s="96"/>
      <c r="E61" s="97" t="str">
        <f aca="false">Insumos!C38</f>
        <v>pacote</v>
      </c>
      <c r="F61" s="97" t="str">
        <f aca="false">Insumos!D38</f>
        <v>Minuano</v>
      </c>
      <c r="G61" s="98" t="n">
        <f aca="false">L61</f>
        <v>5</v>
      </c>
      <c r="H61" s="99" t="n">
        <f aca="false">G61*Insumos!G38</f>
        <v>60</v>
      </c>
      <c r="I61" s="100" t="str">
        <f aca="false">IF(G61&lt;L61,"Fornecimento inferior ao estimado mensalmente",IF(G61=L61,"Fornecimento igual ao estimado mensalmente",IF(G61&gt;L61,"Fornecimento superior ao estimado mensalmente",)))</f>
        <v>Fornecimento igual ao estimado mensalmente</v>
      </c>
      <c r="J61" s="100"/>
      <c r="K61" s="100"/>
      <c r="L61" s="101" t="n">
        <f aca="false">M61/O61</f>
        <v>5</v>
      </c>
      <c r="M61" s="102" t="n">
        <f aca="false">Insumos!E38</f>
        <v>5</v>
      </c>
      <c r="N61" s="103" t="str">
        <f aca="false">Insumos!F38</f>
        <v>Mensal</v>
      </c>
      <c r="O61" s="104" t="n">
        <f aca="false">IF(N61="MENSAL",1,IF(N61="BIMESTRAL",2,IF(N61="TRIMESTRAL",3,IF(N61="QUADRIMESTRAL",4,IF(N61="SEMESTRAL",6,IF(N61="ANUAL",12,IF(N61="BIENAL",24,"")))))))</f>
        <v>1</v>
      </c>
      <c r="V61" s="78"/>
    </row>
    <row r="62" s="1" customFormat="true" ht="31.5" hidden="true" customHeight="true" outlineLevel="0" collapsed="false">
      <c r="A62" s="95" t="n">
        <v>31</v>
      </c>
      <c r="B62" s="96" t="str">
        <f aca="false">Insumos!B39</f>
        <v>Sabão em Pó – Caixa de 0,8 a 1Kg. Sabão em pó, convencional, de primeira linha. Para lavar roupas e limpeza em geral.</v>
      </c>
      <c r="C62" s="96"/>
      <c r="D62" s="96"/>
      <c r="E62" s="97" t="str">
        <f aca="false">Insumos!C39</f>
        <v>unid.</v>
      </c>
      <c r="F62" s="97" t="str">
        <f aca="false">Insumos!D39</f>
        <v>Omo ou similar</v>
      </c>
      <c r="G62" s="98" t="n">
        <f aca="false">L62</f>
        <v>4</v>
      </c>
      <c r="H62" s="99" t="n">
        <f aca="false">G62*Insumos!G39</f>
        <v>62.4</v>
      </c>
      <c r="I62" s="100" t="str">
        <f aca="false">IF(G62&lt;L62,"Fornecimento inferior ao estimado mensalmente",IF(G62=L62,"Fornecimento igual ao estimado mensalmente",IF(G62&gt;L62,"Fornecimento superior ao estimado mensalmente",)))</f>
        <v>Fornecimento igual ao estimado mensalmente</v>
      </c>
      <c r="J62" s="100"/>
      <c r="K62" s="100"/>
      <c r="L62" s="101" t="n">
        <f aca="false">M62/O62</f>
        <v>4</v>
      </c>
      <c r="M62" s="102" t="n">
        <f aca="false">Insumos!E39</f>
        <v>4</v>
      </c>
      <c r="N62" s="103" t="str">
        <f aca="false">Insumos!F39</f>
        <v>Mensal</v>
      </c>
      <c r="O62" s="104" t="n">
        <f aca="false">IF(N62="MENSAL",1,IF(N62="BIMESTRAL",2,IF(N62="TRIMESTRAL",3,IF(N62="QUADRIMESTRAL",4,IF(N62="SEMESTRAL",6,IF(N62="ANUAL",12,IF(N62="BIENAL",24,"")))))))</f>
        <v>1</v>
      </c>
      <c r="V62" s="78"/>
    </row>
    <row r="63" s="1" customFormat="true" ht="15" hidden="true" customHeight="false" outlineLevel="0" collapsed="false">
      <c r="A63" s="95" t="n">
        <v>32</v>
      </c>
      <c r="B63" s="96" t="str">
        <f aca="false">Insumos!B40</f>
        <v>Sapólio em pó 300g</v>
      </c>
      <c r="C63" s="96"/>
      <c r="D63" s="96"/>
      <c r="E63" s="97" t="str">
        <f aca="false">Insumos!C40</f>
        <v>unid.</v>
      </c>
      <c r="F63" s="97" t="str">
        <f aca="false">Insumos!D40</f>
        <v>Bombril</v>
      </c>
      <c r="G63" s="98" t="n">
        <f aca="false">L63</f>
        <v>20</v>
      </c>
      <c r="H63" s="99" t="n">
        <f aca="false">G63*Insumos!G40</f>
        <v>124.8</v>
      </c>
      <c r="I63" s="100" t="str">
        <f aca="false">IF(G63&lt;L63,"Fornecimento inferior ao estimado mensalmente",IF(G63=L63,"Fornecimento igual ao estimado mensalmente",IF(G63&gt;L63,"Fornecimento superior ao estimado mensalmente",)))</f>
        <v>Fornecimento igual ao estimado mensalmente</v>
      </c>
      <c r="J63" s="100"/>
      <c r="K63" s="100"/>
      <c r="L63" s="101" t="n">
        <f aca="false">M63/O63</f>
        <v>20</v>
      </c>
      <c r="M63" s="102" t="n">
        <f aca="false">Insumos!E40</f>
        <v>20</v>
      </c>
      <c r="N63" s="103" t="str">
        <f aca="false">Insumos!F40</f>
        <v>Mensal</v>
      </c>
      <c r="O63" s="104" t="n">
        <f aca="false">IF(N63="MENSAL",1,IF(N63="BIMESTRAL",2,IF(N63="TRIMESTRAL",3,IF(N63="QUADRIMESTRAL",4,IF(N63="SEMESTRAL",6,IF(N63="ANUAL",12,IF(N63="BIENAL",24,"")))))))</f>
        <v>1</v>
      </c>
      <c r="V63" s="78"/>
    </row>
    <row r="64" s="1" customFormat="true" ht="24.75" hidden="true" customHeight="true" outlineLevel="0" collapsed="false">
      <c r="A64" s="95" t="n">
        <v>33</v>
      </c>
      <c r="B64" s="96" t="str">
        <f aca="false">Insumos!B41</f>
        <v>Sabonete líquido Concentrado, cremoso perolizado, pronto pra uso, aroma erva-doce, lavanda ou similar, galão de 05 litros.</v>
      </c>
      <c r="C64" s="96"/>
      <c r="D64" s="96"/>
      <c r="E64" s="97" t="str">
        <f aca="false">Insumos!C41</f>
        <v>galão</v>
      </c>
      <c r="F64" s="97" t="str">
        <f aca="false">Insumos!D41</f>
        <v>Nobre, Start, Ikebana</v>
      </c>
      <c r="G64" s="98" t="n">
        <f aca="false">L64</f>
        <v>15</v>
      </c>
      <c r="H64" s="99" t="n">
        <f aca="false">G64*Insumos!G41</f>
        <v>356.4</v>
      </c>
      <c r="I64" s="100" t="str">
        <f aca="false">IF(G64&lt;L64,"Fornecimento inferior ao estimado mensalmente",IF(G64=L64,"Fornecimento igual ao estimado mensalmente",IF(G64&gt;L64,"Fornecimento superior ao estimado mensalmente",)))</f>
        <v>Fornecimento igual ao estimado mensalmente</v>
      </c>
      <c r="J64" s="100"/>
      <c r="K64" s="100"/>
      <c r="L64" s="101" t="n">
        <f aca="false">M64/O64</f>
        <v>15</v>
      </c>
      <c r="M64" s="102" t="n">
        <f aca="false">Insumos!E41</f>
        <v>15</v>
      </c>
      <c r="N64" s="103" t="str">
        <f aca="false">Insumos!F41</f>
        <v>Mensal</v>
      </c>
      <c r="O64" s="104" t="n">
        <f aca="false">IF(N64="MENSAL",1,IF(N64="BIMESTRAL",2,IF(N64="TRIMESTRAL",3,IF(N64="QUADRIMESTRAL",4,IF(N64="SEMESTRAL",6,IF(N64="ANUAL",12,IF(N64="BIENAL",24,"")))))))</f>
        <v>1</v>
      </c>
      <c r="V64" s="78"/>
    </row>
    <row r="65" s="1" customFormat="true" ht="18" hidden="true" customHeight="true" outlineLevel="0" collapsed="false">
      <c r="A65" s="95" t="n">
        <v>34</v>
      </c>
      <c r="B65" s="96" t="str">
        <f aca="false">Insumos!B42</f>
        <v>Saco de Algodão Tipo: Alvejado, Tamanho: 60 X 80 CM, Cor: Branco, Características Adicionais: Dupla Face</v>
      </c>
      <c r="C65" s="96"/>
      <c r="D65" s="96"/>
      <c r="E65" s="97" t="str">
        <f aca="false">Insumos!C42</f>
        <v>unid.</v>
      </c>
      <c r="F65" s="97" t="str">
        <f aca="false">Insumos!D42</f>
        <v>Santa Margarida</v>
      </c>
      <c r="G65" s="98" t="n">
        <f aca="false">L65</f>
        <v>70</v>
      </c>
      <c r="H65" s="99" t="n">
        <f aca="false">G65*Insumos!G42</f>
        <v>576.1</v>
      </c>
      <c r="I65" s="100" t="str">
        <f aca="false">IF(G65&lt;L65,"Fornecimento inferior ao estimado mensalmente",IF(G65=L65,"Fornecimento igual ao estimado mensalmente",IF(G65&gt;L65,"Fornecimento superior ao estimado mensalmente",)))</f>
        <v>Fornecimento igual ao estimado mensalmente</v>
      </c>
      <c r="J65" s="100"/>
      <c r="K65" s="100"/>
      <c r="L65" s="101" t="n">
        <f aca="false">M65/O65</f>
        <v>70</v>
      </c>
      <c r="M65" s="102" t="n">
        <f aca="false">Insumos!E42</f>
        <v>70</v>
      </c>
      <c r="N65" s="103" t="str">
        <f aca="false">Insumos!F42</f>
        <v>Mensal</v>
      </c>
      <c r="O65" s="104" t="n">
        <f aca="false">IF(N65="MENSAL",1,IF(N65="BIMESTRAL",2,IF(N65="TRIMESTRAL",3,IF(N65="QUADRIMESTRAL",4,IF(N65="SEMESTRAL",6,IF(N65="ANUAL",12,IF(N65="BIENAL",24,"")))))))</f>
        <v>1</v>
      </c>
      <c r="V65" s="78"/>
    </row>
    <row r="66" s="1" customFormat="true" ht="39.75" hidden="true" customHeight="true" outlineLevel="0" collapsed="false">
      <c r="A66" s="95" t="n">
        <v>35</v>
      </c>
      <c r="B66" s="96" t="str">
        <f aca="false">Insumos!B43</f>
        <v>Saco plástico reforçado para lixo em polietileno, com capacidade de 20 litros, com estanqueidade suficiente para que não haja vazamento de lixo líquido. com espessura mínima de 08 micra, na cor preta. Pacote com 100 unidades.</v>
      </c>
      <c r="C66" s="96"/>
      <c r="D66" s="96"/>
      <c r="E66" s="97" t="str">
        <f aca="false">Insumos!C43</f>
        <v>pacote</v>
      </c>
      <c r="F66" s="97" t="str">
        <f aca="false">Insumos!D43</f>
        <v>Altaplast</v>
      </c>
      <c r="G66" s="98" t="n">
        <f aca="false">L66</f>
        <v>20</v>
      </c>
      <c r="H66" s="99" t="n">
        <f aca="false">G66*Insumos!G43</f>
        <v>329.8</v>
      </c>
      <c r="I66" s="100" t="str">
        <f aca="false">IF(G66&lt;L66,"Fornecimento inferior ao estimado mensalmente",IF(G66=L66,"Fornecimento igual ao estimado mensalmente",IF(G66&gt;L66,"Fornecimento superior ao estimado mensalmente",)))</f>
        <v>Fornecimento igual ao estimado mensalmente</v>
      </c>
      <c r="J66" s="100"/>
      <c r="K66" s="100"/>
      <c r="L66" s="101" t="n">
        <f aca="false">M66/O66</f>
        <v>20</v>
      </c>
      <c r="M66" s="102" t="n">
        <f aca="false">Insumos!E43</f>
        <v>20</v>
      </c>
      <c r="N66" s="103" t="str">
        <f aca="false">Insumos!F43</f>
        <v>Mensal</v>
      </c>
      <c r="O66" s="104" t="n">
        <f aca="false">IF(N66="MENSAL",1,IF(N66="BIMESTRAL",2,IF(N66="TRIMESTRAL",3,IF(N66="QUADRIMESTRAL",4,IF(N66="SEMESTRAL",6,IF(N66="ANUAL",12,IF(N66="BIENAL",24,"")))))))</f>
        <v>1</v>
      </c>
      <c r="V66" s="78"/>
    </row>
    <row r="67" s="1" customFormat="true" ht="36" hidden="true" customHeight="true" outlineLevel="0" collapsed="false">
      <c r="A67" s="95" t="n">
        <v>36</v>
      </c>
      <c r="B67" s="96" t="str">
        <f aca="false">Insumos!B44</f>
        <v>Saco plástico reforçado para lixo em polietileno, com capacidade de 100 litros, com estanqueidade suficiente para que não haja vazamento de lixo líquido. com espessura mínima de 10 micra, na cor preta. Pacote com 100 unidades.</v>
      </c>
      <c r="C67" s="96"/>
      <c r="D67" s="96"/>
      <c r="E67" s="97" t="str">
        <f aca="false">Insumos!C44</f>
        <v>Pacote</v>
      </c>
      <c r="F67" s="97" t="str">
        <f aca="false">Insumos!D44</f>
        <v>Polisac</v>
      </c>
      <c r="G67" s="98" t="n">
        <f aca="false">L67</f>
        <v>3</v>
      </c>
      <c r="H67" s="99" t="n">
        <f aca="false">G67*Insumos!G44</f>
        <v>180.48</v>
      </c>
      <c r="I67" s="100" t="str">
        <f aca="false">IF(G67&lt;L67,"Fornecimento inferior ao estimado mensalmente",IF(G67=L67,"Fornecimento igual ao estimado mensalmente",IF(G67&gt;L67,"Fornecimento superior ao estimado mensalmente",)))</f>
        <v>Fornecimento igual ao estimado mensalmente</v>
      </c>
      <c r="J67" s="100"/>
      <c r="K67" s="100"/>
      <c r="L67" s="101" t="n">
        <f aca="false">M67/O67</f>
        <v>3</v>
      </c>
      <c r="M67" s="102" t="n">
        <f aca="false">Insumos!E44</f>
        <v>3</v>
      </c>
      <c r="N67" s="103" t="str">
        <f aca="false">Insumos!F44</f>
        <v>Mensal</v>
      </c>
      <c r="O67" s="104" t="n">
        <f aca="false">IF(N67="MENSAL",1,IF(N67="BIMESTRAL",2,IF(N67="TRIMESTRAL",3,IF(N67="QUADRIMESTRAL",4,IF(N67="SEMESTRAL",6,IF(N67="ANUAL",12,IF(N67="BIENAL",24,"")))))))</f>
        <v>1</v>
      </c>
      <c r="V67" s="78"/>
    </row>
    <row r="68" s="1" customFormat="true" ht="26.25" hidden="true" customHeight="true" outlineLevel="0" collapsed="false">
      <c r="A68" s="95" t="n">
        <v>37</v>
      </c>
      <c r="B68" s="96" t="str">
        <f aca="false">Insumos!B45</f>
        <v>Vassoura Material Cerdas: Pêlo Sintético, Comprimento Cepa: 60 CM, Tipo Cabo: Reforçado, Material Cabo: Madeira</v>
      </c>
      <c r="C68" s="96"/>
      <c r="D68" s="96"/>
      <c r="E68" s="97" t="str">
        <f aca="false">Insumos!C45</f>
        <v>unid.</v>
      </c>
      <c r="F68" s="97" t="str">
        <f aca="false">Insumos!D45</f>
        <v>Brubalar</v>
      </c>
      <c r="G68" s="98" t="n">
        <f aca="false">L68</f>
        <v>1.66666666666667</v>
      </c>
      <c r="H68" s="99" t="n">
        <f aca="false">G68*Insumos!G45</f>
        <v>30.3666666666667</v>
      </c>
      <c r="I68" s="100" t="str">
        <f aca="false">IF(G68&lt;L68,"Fornecimento inferior ao estimado mensalmente",IF(G68=L68,"Fornecimento igual ao estimado mensalmente",IF(G68&gt;L68,"Fornecimento superior ao estimado mensalmente",)))</f>
        <v>Fornecimento igual ao estimado mensalmente</v>
      </c>
      <c r="J68" s="100"/>
      <c r="K68" s="100"/>
      <c r="L68" s="101" t="n">
        <f aca="false">M68/O68</f>
        <v>1.66666666666667</v>
      </c>
      <c r="M68" s="102" t="n">
        <f aca="false">Insumos!E45</f>
        <v>5</v>
      </c>
      <c r="N68" s="103" t="str">
        <f aca="false">Insumos!F45</f>
        <v>Trimestral</v>
      </c>
      <c r="O68" s="104" t="n">
        <f aca="false">IF(N68="MENSAL",1,IF(N68="BIMESTRAL",2,IF(N68="TRIMESTRAL",3,IF(N68="QUADRIMESTRAL",4,IF(N68="SEMESTRAL",6,IF(N68="ANUAL",12,IF(N68="BIENAL",24,"")))))))</f>
        <v>3</v>
      </c>
      <c r="V68" s="78"/>
    </row>
    <row r="69" s="1" customFormat="true" ht="24" hidden="true" customHeight="true" outlineLevel="0" collapsed="false">
      <c r="A69" s="95" t="n">
        <v>38</v>
      </c>
      <c r="B69" s="96" t="str">
        <f aca="false">Insumos!B46</f>
        <v>Vassoura de nylon, cerdas c/ ponta desfiada, corpo de madeira medindo aproximadamente 25 x 05cm, c/ cabo de no mínimo 1,50m de comprimento</v>
      </c>
      <c r="C69" s="96"/>
      <c r="D69" s="96"/>
      <c r="E69" s="97" t="str">
        <f aca="false">Insumos!C46</f>
        <v>unid.</v>
      </c>
      <c r="F69" s="97" t="str">
        <f aca="false">Insumos!D46</f>
        <v>Oliveira e Azevedo</v>
      </c>
      <c r="G69" s="98" t="n">
        <f aca="false">L69</f>
        <v>6.66666666666667</v>
      </c>
      <c r="H69" s="99" t="n">
        <f aca="false">G69*Insumos!G46</f>
        <v>109.733333333333</v>
      </c>
      <c r="I69" s="100" t="str">
        <f aca="false">IF(G69&lt;L69,"Fornecimento inferior ao estimado mensalmente",IF(G69=L69,"Fornecimento igual ao estimado mensalmente",IF(G69&gt;L69,"Fornecimento superior ao estimado mensalmente",)))</f>
        <v>Fornecimento igual ao estimado mensalmente</v>
      </c>
      <c r="J69" s="100"/>
      <c r="K69" s="100"/>
      <c r="L69" s="101" t="n">
        <f aca="false">M69/O69</f>
        <v>6.66666666666667</v>
      </c>
      <c r="M69" s="102" t="n">
        <f aca="false">Insumos!E46</f>
        <v>20</v>
      </c>
      <c r="N69" s="103" t="str">
        <f aca="false">Insumos!F46</f>
        <v>Trimestral</v>
      </c>
      <c r="O69" s="104" t="n">
        <f aca="false">IF(N69="MENSAL",1,IF(N69="BIMESTRAL",2,IF(N69="TRIMESTRAL",3,IF(N69="QUADRIMESTRAL",4,IF(N69="SEMESTRAL",6,IF(N69="ANUAL",12,IF(N69="BIENAL",24,"")))))))</f>
        <v>3</v>
      </c>
      <c r="V69" s="78"/>
    </row>
    <row r="70" s="1" customFormat="true" ht="24.75" hidden="true" customHeight="true" outlineLevel="0" collapsed="false">
      <c r="A70" s="95" t="n">
        <v>39</v>
      </c>
      <c r="B70" s="96" t="str">
        <f aca="false">Insumos!B47</f>
        <v>Vassoura Material Cerdas: Piaçava, Aplicação: Limpeza, Material Cepa: Madeira, Comprimento Cepa: 40 CM, Comprimento Cerdas: 13 CM, Largura Cepa: 5 CM, Altura Cepa: 4 CM, Material Cabo: Madeira</v>
      </c>
      <c r="C70" s="96"/>
      <c r="D70" s="96"/>
      <c r="E70" s="97" t="str">
        <f aca="false">Insumos!C47</f>
        <v>unid.</v>
      </c>
      <c r="F70" s="97" t="str">
        <f aca="false">Insumos!D47</f>
        <v>Noviça</v>
      </c>
      <c r="G70" s="98" t="n">
        <f aca="false">L70</f>
        <v>3.33333333333333</v>
      </c>
      <c r="H70" s="99" t="n">
        <f aca="false">G70*Insumos!G47</f>
        <v>60.3333333333333</v>
      </c>
      <c r="I70" s="100" t="str">
        <f aca="false">IF(G70&lt;L70,"Fornecimento inferior ao estimado mensalmente",IF(G70=L70,"Fornecimento igual ao estimado mensalmente",IF(G70&gt;L70,"Fornecimento superior ao estimado mensalmente",)))</f>
        <v>Fornecimento igual ao estimado mensalmente</v>
      </c>
      <c r="J70" s="100"/>
      <c r="K70" s="100"/>
      <c r="L70" s="101" t="n">
        <f aca="false">M70/O70</f>
        <v>3.33333333333333</v>
      </c>
      <c r="M70" s="102" t="n">
        <f aca="false">Insumos!E47</f>
        <v>10</v>
      </c>
      <c r="N70" s="103" t="str">
        <f aca="false">Insumos!F47</f>
        <v>Trimestral</v>
      </c>
      <c r="O70" s="104" t="n">
        <f aca="false">IF(N70="MENSAL",1,IF(N70="BIMESTRAL",2,IF(N70="TRIMESTRAL",3,IF(N70="QUADRIMESTRAL",4,IF(N70="SEMESTRAL",6,IF(N70="ANUAL",12,IF(N70="BIENAL",24,"")))))))</f>
        <v>3</v>
      </c>
      <c r="V70" s="78"/>
    </row>
    <row r="71" s="1" customFormat="true" ht="34.5" hidden="true" customHeight="true" outlineLevel="0" collapsed="false">
      <c r="A71" s="95" t="n">
        <v>40</v>
      </c>
      <c r="B71" s="96" t="str">
        <f aca="false">Insumos!B48</f>
        <v>Limpa Carpetes e Estofados 5 litros, produto líquido para limpeza profunda e remoção de manchas e odores em tecidos como carpetes, tapetes, cortinas e estofados. Embalagem: Galão de 5L com rótulo completo</v>
      </c>
      <c r="C71" s="96"/>
      <c r="D71" s="96"/>
      <c r="E71" s="97" t="str">
        <f aca="false">Insumos!C48</f>
        <v>galão</v>
      </c>
      <c r="F71" s="97" t="str">
        <f aca="false">Insumos!D48</f>
        <v>Star Spartan</v>
      </c>
      <c r="G71" s="98" t="n">
        <f aca="false">L71</f>
        <v>0.166666666666667</v>
      </c>
      <c r="H71" s="99" t="n">
        <f aca="false">G71*Insumos!G48</f>
        <v>7.21666666666667</v>
      </c>
      <c r="I71" s="100" t="str">
        <f aca="false">IF(G71&lt;L71,"Fornecimento inferior ao estimado mensalmente",IF(G71=L71,"Fornecimento igual ao estimado mensalmente",IF(G71&gt;L71,"Fornecimento superior ao estimado mensalmente",)))</f>
        <v>Fornecimento igual ao estimado mensalmente</v>
      </c>
      <c r="J71" s="100"/>
      <c r="K71" s="100"/>
      <c r="L71" s="101" t="n">
        <f aca="false">M71/O71</f>
        <v>0.166666666666667</v>
      </c>
      <c r="M71" s="102" t="n">
        <f aca="false">Insumos!E48</f>
        <v>1</v>
      </c>
      <c r="N71" s="103" t="str">
        <f aca="false">Insumos!F48</f>
        <v>Semestral</v>
      </c>
      <c r="O71" s="104" t="n">
        <f aca="false">IF(N71="MENSAL",1,IF(N71="BIMESTRAL",2,IF(N71="TRIMESTRAL",3,IF(N71="QUADRIMESTRAL",4,IF(N71="SEMESTRAL",6,IF(N71="ANUAL",12,IF(N71="BIENAL",24,"")))))))</f>
        <v>6</v>
      </c>
      <c r="V71" s="78"/>
    </row>
    <row r="72" s="1" customFormat="true" ht="43.5" hidden="true" customHeight="true" outlineLevel="0" collapsed="false">
      <c r="A72" s="95" t="n">
        <v>41</v>
      </c>
      <c r="B72" s="96" t="str">
        <f aca="false">Insumos!B49</f>
        <v>Saco plástico reforçado para lixo em polietileno, com capacidade de 200 litros, com estanqueidade suficiente para que não haja vazamento de lixo líquido. com espessura mínima de 10 micra, na cor preta. Pacote com 100 unidades.</v>
      </c>
      <c r="C72" s="96"/>
      <c r="D72" s="96"/>
      <c r="E72" s="97" t="str">
        <f aca="false">Insumos!C49</f>
        <v>pacote</v>
      </c>
      <c r="F72" s="97" t="str">
        <f aca="false">Insumos!D49</f>
        <v>Altaplast</v>
      </c>
      <c r="G72" s="98" t="n">
        <f aca="false">L72</f>
        <v>2</v>
      </c>
      <c r="H72" s="99" t="n">
        <f aca="false">G72*Insumos!G49</f>
        <v>102.42</v>
      </c>
      <c r="I72" s="100" t="str">
        <f aca="false">IF(G72&lt;L72,"Fornecimento inferior ao estimado mensalmente",IF(G72=L72,"Fornecimento igual ao estimado mensalmente",IF(G72&gt;L72,"Fornecimento superior ao estimado mensalmente",)))</f>
        <v>Fornecimento igual ao estimado mensalmente</v>
      </c>
      <c r="J72" s="100"/>
      <c r="K72" s="100"/>
      <c r="L72" s="101" t="n">
        <f aca="false">M72/O72</f>
        <v>2</v>
      </c>
      <c r="M72" s="102" t="n">
        <f aca="false">Insumos!E49</f>
        <v>2</v>
      </c>
      <c r="N72" s="103" t="str">
        <f aca="false">Insumos!F49</f>
        <v>Mensal</v>
      </c>
      <c r="O72" s="104" t="n">
        <f aca="false">IF(N72="MENSAL",1,IF(N72="BIMESTRAL",2,IF(N72="TRIMESTRAL",3,IF(N72="QUADRIMESTRAL",4,IF(N72="SEMESTRAL",6,IF(N72="ANUAL",12,IF(N72="BIENAL",24,"")))))))</f>
        <v>1</v>
      </c>
      <c r="V72" s="78"/>
    </row>
    <row r="73" s="1" customFormat="true" ht="20.85" hidden="true" customHeight="false" outlineLevel="0" collapsed="false">
      <c r="A73" s="95" t="n">
        <v>42</v>
      </c>
      <c r="B73" s="96" t="str">
        <f aca="false">Insumos!B50</f>
        <v>Fibra de limpeza multiuso: produto não tecido à base de fibras sintéticas e mineral abrasivo unidos por resina á prova dàgua.</v>
      </c>
      <c r="C73" s="96"/>
      <c r="D73" s="96"/>
      <c r="E73" s="97" t="str">
        <f aca="false">Insumos!C50</f>
        <v>unid.</v>
      </c>
      <c r="F73" s="97" t="str">
        <f aca="false">Insumos!D50</f>
        <v>Scotch Brite</v>
      </c>
      <c r="G73" s="98" t="n">
        <f aca="false">L73</f>
        <v>60</v>
      </c>
      <c r="H73" s="99" t="n">
        <f aca="false">G73*Insumos!G50</f>
        <v>153</v>
      </c>
      <c r="I73" s="100" t="str">
        <f aca="false">IF(G73&lt;L73,"Fornecimento inferior ao estimado mensalmente",IF(G73=L73,"Fornecimento igual ao estimado mensalmente",IF(G73&gt;L73,"Fornecimento superior ao estimado mensalmente",)))</f>
        <v>Fornecimento igual ao estimado mensalmente</v>
      </c>
      <c r="J73" s="100"/>
      <c r="K73" s="100"/>
      <c r="L73" s="101" t="n">
        <f aca="false">M73/O73</f>
        <v>60</v>
      </c>
      <c r="M73" s="102" t="n">
        <f aca="false">Insumos!E50</f>
        <v>60</v>
      </c>
      <c r="N73" s="103" t="str">
        <f aca="false">Insumos!F50</f>
        <v>Mensal</v>
      </c>
      <c r="O73" s="104" t="n">
        <f aca="false">IF(N73="MENSAL",1,IF(N73="BIMESTRAL",2,IF(N73="TRIMESTRAL",3,IF(N73="QUADRIMESTRAL",4,IF(N73="SEMESTRAL",6,IF(N73="ANUAL",12,IF(N73="BIENAL",24,"")))))))</f>
        <v>1</v>
      </c>
      <c r="V73" s="78"/>
    </row>
    <row r="74" s="1" customFormat="true" ht="41.25" hidden="true" customHeight="true" outlineLevel="0" collapsed="false">
      <c r="A74" s="95" t="n">
        <v>43</v>
      </c>
      <c r="B74" s="96" t="str">
        <f aca="false">Insumos!B51</f>
        <v>Detergente líquido para louça, neutro, embalagem de 5 litros. Deverá conter glicerina e ser testado e aprovado por dermatologistas. Com fórmula biodegradável. Deve possuir registro na Anvisa/Ministério da Saúde, o qual deverá estar impresso no rótulo.</v>
      </c>
      <c r="C74" s="96"/>
      <c r="D74" s="96"/>
      <c r="E74" s="97" t="str">
        <f aca="false">Insumos!C51</f>
        <v>galão</v>
      </c>
      <c r="F74" s="97" t="str">
        <f aca="false">Insumos!D51</f>
        <v>Ypê, Limpol</v>
      </c>
      <c r="G74" s="98" t="n">
        <f aca="false">L74</f>
        <v>10</v>
      </c>
      <c r="H74" s="99" t="n">
        <f aca="false">G74*Insumos!G51</f>
        <v>221.6</v>
      </c>
      <c r="I74" s="100" t="str">
        <f aca="false">IF(G74&lt;L74,"Fornecimento inferior ao estimado mensalmente",IF(G74=L74,"Fornecimento igual ao estimado mensalmente",IF(G74&gt;L74,"Fornecimento superior ao estimado mensalmente",)))</f>
        <v>Fornecimento igual ao estimado mensalmente</v>
      </c>
      <c r="J74" s="100"/>
      <c r="K74" s="100"/>
      <c r="L74" s="101" t="n">
        <f aca="false">M74/O74</f>
        <v>10</v>
      </c>
      <c r="M74" s="102" t="n">
        <f aca="false">Insumos!E51</f>
        <v>10</v>
      </c>
      <c r="N74" s="103" t="str">
        <f aca="false">Insumos!F51</f>
        <v>Mensal</v>
      </c>
      <c r="O74" s="104" t="n">
        <f aca="false">IF(N74="MENSAL",1,IF(N74="BIMESTRAL",2,IF(N74="TRIMESTRAL",3,IF(N74="QUADRIMESTRAL",4,IF(N74="SEMESTRAL",6,IF(N74="ANUAL",12,IF(N74="BIENAL",24,"")))))))</f>
        <v>1</v>
      </c>
      <c r="V74" s="78"/>
    </row>
    <row r="75" s="1" customFormat="true" ht="87.75" hidden="true" customHeight="true" outlineLevel="0" collapsed="false">
      <c r="A75" s="95" t="n">
        <v>44</v>
      </c>
      <c r="B75" s="96" t="str">
        <f aca="false">Insumos!B52</f>
        <v>Pulverizador plástico 500 ml com regulador no borrifador. características do produto: capacidade: 500 ml. material: corpo e bomba em plástico resistente de alta qualidade (como polietileno ou polipropileno), garantindo durabilidade e resistência ao uso contínuo. borrifador: bico ajustável com regulador de intensidade, permitindo escolha entre pulverização fina ou mais intensa, conforme a necessidade. mangueira: mangueira interna resistente à pressão, com comprimento adequado para facilitar o uso. tampa: tampa de fechamento com vedação segura para evitar vazamentos durante o armazenamento ou transporte.</v>
      </c>
      <c r="C75" s="96"/>
      <c r="D75" s="96"/>
      <c r="E75" s="97" t="str">
        <f aca="false">Insumos!C52</f>
        <v>Unid.</v>
      </c>
      <c r="F75" s="97" t="str">
        <f aca="false">Insumos!D52</f>
        <v>Vonder</v>
      </c>
      <c r="G75" s="98" t="n">
        <f aca="false">L75</f>
        <v>10</v>
      </c>
      <c r="H75" s="99" t="n">
        <f aca="false">G75*Insumos!G52</f>
        <v>76.6</v>
      </c>
      <c r="I75" s="100" t="str">
        <f aca="false">IF(G75&lt;L75,"Fornecimento inferior ao estimado mensalmente",IF(G75=L75,"Fornecimento igual ao estimado mensalmente",IF(G75&gt;L75,"Fornecimento superior ao estimado mensalmente",)))</f>
        <v>Fornecimento igual ao estimado mensalmente</v>
      </c>
      <c r="J75" s="100"/>
      <c r="K75" s="100"/>
      <c r="L75" s="101" t="n">
        <f aca="false">M75/O75</f>
        <v>10</v>
      </c>
      <c r="M75" s="102" t="n">
        <f aca="false">Insumos!E52</f>
        <v>10</v>
      </c>
      <c r="N75" s="103" t="str">
        <f aca="false">Insumos!F52</f>
        <v>Mensal</v>
      </c>
      <c r="O75" s="104" t="n">
        <f aca="false">IF(N75="MENSAL",1,IF(N75="BIMESTRAL",2,IF(N75="TRIMESTRAL",3,IF(N75="QUADRIMESTRAL",4,IF(N75="SEMESTRAL",6,IF(N75="ANUAL",12,IF(N75="BIENAL",24,"")))))))</f>
        <v>1</v>
      </c>
      <c r="V75" s="78"/>
    </row>
    <row r="76" s="1" customFormat="true" ht="37.5" hidden="true" customHeight="true" outlineLevel="0" collapsed="false">
      <c r="A76" s="95" t="n">
        <v>45</v>
      </c>
      <c r="B76" s="96" t="str">
        <f aca="false">Insumos!B53</f>
        <v>Cera Líquida 5 litros. Cera Líquida Autobrilhante. Aplicação: Pisos Cerâmicos, granitos, Mármores e Paviflex. Cores: Incolor/Amarela/Vermelha. Galão de 5 litros. A embalagem deverá conter externamente os dados de identificação, procedência, numero do lote, validade e número do registro no Ministério da saúde. Marca igual ou superior a Brilho Fácil, Inglesa ou Poliflor </v>
      </c>
      <c r="C76" s="96"/>
      <c r="D76" s="96"/>
      <c r="E76" s="97" t="str">
        <f aca="false">Insumos!C53</f>
        <v>galão</v>
      </c>
      <c r="F76" s="97" t="str">
        <f aca="false">Insumos!D53</f>
        <v>Brilho Fácil,  Inglesa ou Poliflor</v>
      </c>
      <c r="G76" s="98" t="n">
        <f aca="false">L76</f>
        <v>3.33333333333333</v>
      </c>
      <c r="H76" s="99" t="n">
        <f aca="false">G76*Insumos!G53</f>
        <v>140.366666666667</v>
      </c>
      <c r="I76" s="100" t="str">
        <f aca="false">IF(G76&lt;L76,"Fornecimento inferior ao estimado mensalmente",IF(G76=L76,"Fornecimento igual ao estimado mensalmente",IF(G76&gt;L76,"Fornecimento superior ao estimado mensalmente",)))</f>
        <v>Fornecimento igual ao estimado mensalmente</v>
      </c>
      <c r="J76" s="100"/>
      <c r="K76" s="100"/>
      <c r="L76" s="101" t="n">
        <f aca="false">M76/O76</f>
        <v>3.33333333333333</v>
      </c>
      <c r="M76" s="102" t="n">
        <f aca="false">Insumos!E53</f>
        <v>10</v>
      </c>
      <c r="N76" s="103" t="str">
        <f aca="false">Insumos!F53</f>
        <v>Trimestral</v>
      </c>
      <c r="O76" s="104" t="n">
        <f aca="false">IF(N76="MENSAL",1,IF(N76="BIMESTRAL",2,IF(N76="TRIMESTRAL",3,IF(N76="QUADRIMESTRAL",4,IF(N76="SEMESTRAL",6,IF(N76="ANUAL",12,IF(N76="BIENAL",24,"")))))))</f>
        <v>3</v>
      </c>
      <c r="V76" s="78"/>
    </row>
    <row r="77" s="1" customFormat="true" ht="17.25" hidden="true" customHeight="true" outlineLevel="0" collapsed="false">
      <c r="A77" s="95" t="n">
        <v>46</v>
      </c>
      <c r="B77" s="96" t="str">
        <f aca="false">Insumos!B54</f>
        <v>Suporte para fibra abrasiva em polipropileno, com junção articulada e cabo em alumínio</v>
      </c>
      <c r="C77" s="96"/>
      <c r="D77" s="96"/>
      <c r="E77" s="97" t="str">
        <f aca="false">Insumos!C54</f>
        <v>Unid.</v>
      </c>
      <c r="F77" s="97" t="n">
        <f aca="false">Insumos!D54</f>
        <v>0</v>
      </c>
      <c r="G77" s="98" t="n">
        <f aca="false">L77</f>
        <v>1.66666666666667</v>
      </c>
      <c r="H77" s="99" t="n">
        <f aca="false">G77*Insumos!G54</f>
        <v>59.3666666666667</v>
      </c>
      <c r="I77" s="100" t="str">
        <f aca="false">IF(G77&lt;L77,"Fornecimento inferior ao estimado mensalmente",IF(G77=L77,"Fornecimento igual ao estimado mensalmente",IF(G77&gt;L77,"Fornecimento superior ao estimado mensalmente",)))</f>
        <v>Fornecimento igual ao estimado mensalmente</v>
      </c>
      <c r="J77" s="100"/>
      <c r="K77" s="100"/>
      <c r="L77" s="101" t="n">
        <f aca="false">M77/O77</f>
        <v>1.66666666666667</v>
      </c>
      <c r="M77" s="102" t="n">
        <f aca="false">Insumos!E54</f>
        <v>5</v>
      </c>
      <c r="N77" s="103" t="str">
        <f aca="false">Insumos!F54</f>
        <v>Trimestral</v>
      </c>
      <c r="O77" s="104" t="n">
        <f aca="false">IF(N77="MENSAL",1,IF(N77="BIMESTRAL",2,IF(N77="TRIMESTRAL",3,IF(N77="QUADRIMESTRAL",4,IF(N77="SEMESTRAL",6,IF(N77="ANUAL",12,IF(N77="BIENAL",24,"")))))))</f>
        <v>3</v>
      </c>
      <c r="V77" s="78"/>
    </row>
    <row r="78" s="1" customFormat="true" ht="43.5" hidden="true" customHeight="true" outlineLevel="0" collapsed="false">
      <c r="A78" s="95" t="n">
        <v>47</v>
      </c>
      <c r="B78" s="96" t="str">
        <f aca="false">Insumos!B55</f>
        <v>Limpa vidro 05 litros. Limpa Vidros líquido ou spray com álcool, cor: incolor/azul, embalagem de 05 litros. A embalagem deverá conter externamente os dados de identificação, procedência, número do lote, validade e número do registro no ministério da saúde. Marca igual ou superior Veja, Criviali ou Ypê</v>
      </c>
      <c r="C78" s="96"/>
      <c r="D78" s="96"/>
      <c r="E78" s="97" t="str">
        <f aca="false">Insumos!C55</f>
        <v>galão</v>
      </c>
      <c r="F78" s="97" t="str">
        <f aca="false">Insumos!D55</f>
        <v>Veja, Criviali ou Ypê</v>
      </c>
      <c r="G78" s="98" t="n">
        <f aca="false">L78</f>
        <v>2</v>
      </c>
      <c r="H78" s="99" t="n">
        <f aca="false">G78*Insumos!G55</f>
        <v>77.44</v>
      </c>
      <c r="I78" s="100" t="str">
        <f aca="false">IF(G78&lt;L78,"Fornecimento inferior ao estimado mensalmente",IF(G78=L78,"Fornecimento igual ao estimado mensalmente",IF(G78&gt;L78,"Fornecimento superior ao estimado mensalmente",)))</f>
        <v>Fornecimento igual ao estimado mensalmente</v>
      </c>
      <c r="J78" s="100"/>
      <c r="K78" s="100"/>
      <c r="L78" s="101" t="n">
        <f aca="false">M78/O78</f>
        <v>2</v>
      </c>
      <c r="M78" s="102" t="n">
        <f aca="false">Insumos!E55</f>
        <v>2</v>
      </c>
      <c r="N78" s="103" t="str">
        <f aca="false">Insumos!F55</f>
        <v>Mensal</v>
      </c>
      <c r="O78" s="104" t="n">
        <f aca="false">IF(N78="MENSAL",1,IF(N78="BIMESTRAL",2,IF(N78="TRIMESTRAL",3,IF(N78="QUADRIMESTRAL",4,IF(N78="SEMESTRAL",6,IF(N78="ANUAL",12,IF(N78="BIENAL",24,"")))))))</f>
        <v>1</v>
      </c>
      <c r="V78" s="78"/>
    </row>
    <row r="79" s="1" customFormat="true" ht="55.5" hidden="true" customHeight="true" outlineLevel="0" collapsed="false">
      <c r="A79" s="95" t="n">
        <v>48</v>
      </c>
      <c r="B79" s="96" t="str">
        <f aca="false">Insumos!B56</f>
        <v>Multiuso para limpeza diária 05 litros - Limpador Geral Multiuso, para remoção de gorduras, fuligem, poeira, marcas de dedos e de sapatos, riscos de lápis, etc. ingredientes: alquil benzeno sulfonato de sódio, álcool etoxilado, coadjuvantes, sequestrante, fragrância e água. Galão de 05 litros de produto (marca de referência: veja).</v>
      </c>
      <c r="C79" s="96"/>
      <c r="D79" s="96"/>
      <c r="E79" s="97" t="str">
        <f aca="false">Insumos!C56</f>
        <v>galão</v>
      </c>
      <c r="F79" s="97" t="str">
        <f aca="false">Insumos!D56</f>
        <v>Veja</v>
      </c>
      <c r="G79" s="98" t="n">
        <f aca="false">L79</f>
        <v>7</v>
      </c>
      <c r="H79" s="99" t="n">
        <f aca="false">G79*Insumos!G56</f>
        <v>156.59</v>
      </c>
      <c r="I79" s="100" t="str">
        <f aca="false">IF(G79&lt;L79,"Fornecimento inferior ao estimado mensalmente",IF(G79=L79,"Fornecimento igual ao estimado mensalmente",IF(G79&gt;L79,"Fornecimento superior ao estimado mensalmente",)))</f>
        <v>Fornecimento igual ao estimado mensalmente</v>
      </c>
      <c r="J79" s="100"/>
      <c r="K79" s="100"/>
      <c r="L79" s="101" t="n">
        <f aca="false">M79/O79</f>
        <v>7</v>
      </c>
      <c r="M79" s="102" t="n">
        <f aca="false">Insumos!E56</f>
        <v>7</v>
      </c>
      <c r="N79" s="103" t="str">
        <f aca="false">Insumos!F56</f>
        <v>Mensal</v>
      </c>
      <c r="O79" s="104" t="n">
        <f aca="false">IF(N79="MENSAL",1,IF(N79="BIMESTRAL",2,IF(N79="TRIMESTRAL",3,IF(N79="QUADRIMESTRAL",4,IF(N79="SEMESTRAL",6,IF(N79="ANUAL",12,IF(N79="BIENAL",24,"")))))))</f>
        <v>1</v>
      </c>
      <c r="V79" s="78"/>
    </row>
    <row r="80" customFormat="false" ht="20.85" hidden="true" customHeight="false" outlineLevel="0" collapsed="false">
      <c r="A80" s="95" t="n">
        <v>49</v>
      </c>
      <c r="B80" s="96" t="str">
        <f aca="false">Insumos!B57</f>
        <v>Álcool gel para limpeza, 500 g. Álcool etílico hidratado em Gel 62,4º INPM, para limpeza, embalagem de 500 g, fragrância de lavanda</v>
      </c>
      <c r="C80" s="96"/>
      <c r="D80" s="96"/>
      <c r="E80" s="97" t="str">
        <f aca="false">Insumos!C57</f>
        <v>unid.</v>
      </c>
      <c r="F80" s="97" t="str">
        <f aca="false">Insumos!D57</f>
        <v>Start, Coperalcool</v>
      </c>
      <c r="G80" s="98" t="n">
        <f aca="false">L80</f>
        <v>24</v>
      </c>
      <c r="H80" s="99" t="n">
        <f aca="false">G80*Insumos!G57</f>
        <v>235.44</v>
      </c>
      <c r="I80" s="100" t="str">
        <f aca="false">IF(G80&lt;L80,"Fornecimento inferior ao estimado mensalmente",IF(G80=L80,"Fornecimento igual ao estimado mensalmente",IF(G80&gt;L80,"Fornecimento superior ao estimado mensalmente",)))</f>
        <v>Fornecimento igual ao estimado mensalmente</v>
      </c>
      <c r="J80" s="100"/>
      <c r="K80" s="100"/>
      <c r="L80" s="101" t="n">
        <f aca="false">M80/O80</f>
        <v>24</v>
      </c>
      <c r="M80" s="102" t="n">
        <f aca="false">Insumos!E57</f>
        <v>24</v>
      </c>
      <c r="N80" s="103" t="str">
        <f aca="false">Insumos!F57</f>
        <v>Mensal</v>
      </c>
      <c r="O80" s="104" t="n">
        <f aca="false">IF(N80="MENSAL",1,IF(N80="BIMESTRAL",2,IF(N80="TRIMESTRAL",3,IF(N80="QUADRIMESTRAL",4,IF(N80="SEMESTRAL",6,IF(N80="ANUAL",12,IF(N80="BIENAL",24,"")))))))</f>
        <v>1</v>
      </c>
      <c r="R80" s="1"/>
      <c r="S80" s="1"/>
      <c r="T80" s="1"/>
      <c r="U80" s="1"/>
      <c r="V80" s="78"/>
      <c r="W80" s="1"/>
    </row>
    <row r="81" customFormat="false" ht="68.25" hidden="true" customHeight="true" outlineLevel="0" collapsed="false">
      <c r="A81" s="95" t="n">
        <v>50</v>
      </c>
      <c r="B81" s="96" t="str">
        <f aca="false">Insumos!B58</f>
        <v>Removedor de cera e película – tenso ativo não iônico, baixo teor espumante, biodegradável, de alto teor de solubilização, com agentes conservantes e veículos, para remover cera, acondicionado em bombona plástica (material opaco e resistente) contendo 05 litros, com validade mínima de 12 meses a contar da data de entrega. O produto deve conter impresso em sua embalagem todas as informações do produto e estar com registro vigente na ANVISA</v>
      </c>
      <c r="C81" s="96"/>
      <c r="D81" s="96"/>
      <c r="E81" s="97" t="str">
        <f aca="false">Insumos!C58</f>
        <v>galão</v>
      </c>
      <c r="F81" s="97" t="str">
        <f aca="false">Insumos!D58</f>
        <v>Audax Start</v>
      </c>
      <c r="G81" s="98" t="n">
        <f aca="false">L81</f>
        <v>1.66666666666667</v>
      </c>
      <c r="H81" s="99" t="n">
        <f aca="false">G81*Insumos!G58</f>
        <v>72.9833333333333</v>
      </c>
      <c r="I81" s="100" t="str">
        <f aca="false">IF(G81&lt;L81,"Fornecimento inferior ao estimado mensalmente",IF(G81=L81,"Fornecimento igual ao estimado mensalmente",IF(G81&gt;L81,"Fornecimento superior ao estimado mensalmente",)))</f>
        <v>Fornecimento igual ao estimado mensalmente</v>
      </c>
      <c r="J81" s="100"/>
      <c r="K81" s="100"/>
      <c r="L81" s="101" t="n">
        <f aca="false">M81/O81</f>
        <v>1.66666666666667</v>
      </c>
      <c r="M81" s="102" t="n">
        <f aca="false">Insumos!E58</f>
        <v>5</v>
      </c>
      <c r="N81" s="103" t="str">
        <f aca="false">Insumos!F58</f>
        <v>Trimestral</v>
      </c>
      <c r="O81" s="104" t="n">
        <f aca="false">IF(N81="MENSAL",1,IF(N81="BIMESTRAL",2,IF(N81="TRIMESTRAL",3,IF(N81="QUADRIMESTRAL",4,IF(N81="SEMESTRAL",6,IF(N81="ANUAL",12,IF(N81="BIENAL",24,"")))))))</f>
        <v>3</v>
      </c>
      <c r="R81" s="1"/>
      <c r="S81" s="1"/>
      <c r="T81" s="1"/>
      <c r="U81" s="1"/>
      <c r="V81" s="78"/>
      <c r="W81" s="1"/>
    </row>
    <row r="82" customFormat="false" ht="74.25" hidden="true" customHeight="true" outlineLevel="0" collapsed="false">
      <c r="A82" s="95" t="n">
        <v>51</v>
      </c>
      <c r="B82" s="96" t="str">
        <f aca="false">Insumos!B59</f>
        <v>Selador brilho acrílico antiderrapante, aplicado na manutenção de pisos, dando brilho proporciona maior durabilidade, formando filme transparente e resistente a altas rotações, produto não inflamável pronto para uso. em sua composição possuir resina acrílica com aspecto líquido compacto, cor branco leitoso e ph de 7,5 a 9. rendimento mínimo de 80 m² por litro de selador em embalagens de 5 litros (lacrado, inviolável, contendo o número e registro do químico responsável pela empresa e em embalagem própria exclusivamente branca leitosa nunca antes utilizada).</v>
      </c>
      <c r="C82" s="96"/>
      <c r="D82" s="96"/>
      <c r="E82" s="97" t="str">
        <f aca="false">Insumos!C59</f>
        <v>galão</v>
      </c>
      <c r="F82" s="97" t="str">
        <f aca="false">Insumos!D59</f>
        <v>Start</v>
      </c>
      <c r="G82" s="98" t="n">
        <f aca="false">L82</f>
        <v>1</v>
      </c>
      <c r="H82" s="99" t="n">
        <f aca="false">G82*Insumos!G59</f>
        <v>85.97</v>
      </c>
      <c r="I82" s="100" t="str">
        <f aca="false">IF(G82&lt;L82,"Fornecimento inferior ao estimado mensalmente",IF(G82=L82,"Fornecimento igual ao estimado mensalmente",IF(G82&gt;L82,"Fornecimento superior ao estimado mensalmente",)))</f>
        <v>Fornecimento igual ao estimado mensalmente</v>
      </c>
      <c r="J82" s="100"/>
      <c r="K82" s="100"/>
      <c r="L82" s="101" t="n">
        <f aca="false">M82/O82</f>
        <v>1</v>
      </c>
      <c r="M82" s="102" t="n">
        <f aca="false">Insumos!E59</f>
        <v>3</v>
      </c>
      <c r="N82" s="103" t="str">
        <f aca="false">Insumos!F59</f>
        <v>Trimestral</v>
      </c>
      <c r="O82" s="104" t="n">
        <f aca="false">IF(N82="MENSAL",1,IF(N82="BIMESTRAL",2,IF(N82="TRIMESTRAL",3,IF(N82="QUADRIMESTRAL",4,IF(N82="SEMESTRAL",6,IF(N82="ANUAL",12,IF(N82="BIENAL",24,"")))))))</f>
        <v>3</v>
      </c>
      <c r="R82" s="1"/>
      <c r="S82" s="1"/>
      <c r="T82" s="1"/>
      <c r="U82" s="1"/>
      <c r="V82" s="78"/>
      <c r="W82" s="1"/>
    </row>
    <row r="83" customFormat="false" ht="15" hidden="true" customHeight="false" outlineLevel="0" collapsed="false">
      <c r="A83" s="95" t="n">
        <v>52</v>
      </c>
      <c r="B83" s="96" t="str">
        <f aca="false">Insumos!B60</f>
        <v>Álcool liquido 70%. Galão 05 litros. Álcool etílico hidratado liquido 70% (70º INPM).</v>
      </c>
      <c r="C83" s="96"/>
      <c r="D83" s="96"/>
      <c r="E83" s="97" t="str">
        <f aca="false">Insumos!C60</f>
        <v>galão</v>
      </c>
      <c r="F83" s="97" t="str">
        <f aca="false">Insumos!D60</f>
        <v>Start, Asseptgel</v>
      </c>
      <c r="G83" s="98" t="n">
        <f aca="false">L83</f>
        <v>10</v>
      </c>
      <c r="H83" s="99" t="n">
        <f aca="false">G83*Insumos!G60</f>
        <v>403.2</v>
      </c>
      <c r="I83" s="100" t="str">
        <f aca="false">IF(G83&lt;L83,"Fornecimento inferior ao estimado mensalmente",IF(G83=L83,"Fornecimento igual ao estimado mensalmente",IF(G83&gt;L83,"Fornecimento superior ao estimado mensalmente",)))</f>
        <v>Fornecimento igual ao estimado mensalmente</v>
      </c>
      <c r="J83" s="100"/>
      <c r="K83" s="100"/>
      <c r="L83" s="101" t="n">
        <f aca="false">M83/O83</f>
        <v>10</v>
      </c>
      <c r="M83" s="102" t="n">
        <f aca="false">Insumos!E60</f>
        <v>10</v>
      </c>
      <c r="N83" s="103" t="str">
        <f aca="false">Insumos!F60</f>
        <v>Mensal</v>
      </c>
      <c r="O83" s="104" t="n">
        <f aca="false">IF(N83="MENSAL",1,IF(N83="BIMESTRAL",2,IF(N83="TRIMESTRAL",3,IF(N83="QUADRIMESTRAL",4,IF(N83="SEMESTRAL",6,IF(N83="ANUAL",12,IF(N83="BIENAL",24,"")))))))</f>
        <v>1</v>
      </c>
      <c r="R83" s="1"/>
      <c r="S83" s="1"/>
      <c r="T83" s="1"/>
      <c r="U83" s="1"/>
      <c r="V83" s="78"/>
      <c r="W83" s="1"/>
    </row>
    <row r="84" customFormat="false" ht="20.85" hidden="true" customHeight="false" outlineLevel="0" collapsed="false">
      <c r="A84" s="95" t="n">
        <v>53</v>
      </c>
      <c r="B84" s="96" t="str">
        <f aca="false">Insumos!B61</f>
        <v>Naftalina. Pacotes 50 gramas. Especificação: pedra de naftalina, aspecto físico esferas brancas, peso molecular 128,17 g/mol, fórmula química c10h8, grau de pureza em torno de 95. pacote de 50g.</v>
      </c>
      <c r="C84" s="96"/>
      <c r="D84" s="96"/>
      <c r="E84" s="97" t="str">
        <f aca="false">Insumos!C61</f>
        <v>pacote 50g</v>
      </c>
      <c r="F84" s="97" t="str">
        <f aca="false">Insumos!D61</f>
        <v>Politriz</v>
      </c>
      <c r="G84" s="98" t="n">
        <f aca="false">L84</f>
        <v>3.33333333333333</v>
      </c>
      <c r="H84" s="99" t="n">
        <f aca="false">G84*Insumos!G61</f>
        <v>10.6</v>
      </c>
      <c r="I84" s="100" t="str">
        <f aca="false">IF(G84&lt;L84,"Fornecimento inferior ao estimado mensalmente",IF(G84=L84,"Fornecimento igual ao estimado mensalmente",IF(G84&gt;L84,"Fornecimento superior ao estimado mensalmente",)))</f>
        <v>Fornecimento igual ao estimado mensalmente</v>
      </c>
      <c r="J84" s="100"/>
      <c r="K84" s="100"/>
      <c r="L84" s="101" t="n">
        <f aca="false">M84/O84</f>
        <v>3.33333333333333</v>
      </c>
      <c r="M84" s="102" t="n">
        <f aca="false">Insumos!E61</f>
        <v>10</v>
      </c>
      <c r="N84" s="103" t="str">
        <f aca="false">Insumos!F61</f>
        <v>Trimestral</v>
      </c>
      <c r="O84" s="104" t="n">
        <f aca="false">IF(N84="MENSAL",1,IF(N84="BIMESTRAL",2,IF(N84="TRIMESTRAL",3,IF(N84="QUADRIMESTRAL",4,IF(N84="SEMESTRAL",6,IF(N84="ANUAL",12,IF(N84="BIENAL",24,"")))))))</f>
        <v>3</v>
      </c>
      <c r="R84" s="1"/>
      <c r="S84" s="1"/>
      <c r="T84" s="1"/>
      <c r="U84" s="1"/>
      <c r="V84" s="78"/>
      <c r="W84" s="1"/>
    </row>
    <row r="85" s="1" customFormat="true" ht="15" hidden="true" customHeight="true" outlineLevel="0" collapsed="false">
      <c r="A85" s="33" t="s">
        <v>69</v>
      </c>
      <c r="B85" s="33"/>
      <c r="C85" s="33"/>
      <c r="D85" s="33"/>
      <c r="E85" s="33"/>
      <c r="F85" s="33"/>
      <c r="G85" s="33"/>
      <c r="H85" s="106" t="n">
        <f aca="false">ROUND(SUM(H32:H84),2)</f>
        <v>11188.31</v>
      </c>
      <c r="I85" s="107"/>
      <c r="J85" s="107"/>
      <c r="N85" s="108"/>
      <c r="O85" s="86"/>
      <c r="P85" s="108"/>
      <c r="R85" s="4"/>
      <c r="S85" s="4"/>
      <c r="T85" s="4"/>
      <c r="U85" s="4"/>
      <c r="V85" s="4"/>
      <c r="W85" s="4"/>
    </row>
    <row r="86" s="1" customFormat="true" ht="15" hidden="true" customHeight="true" outlineLevel="0" collapsed="false">
      <c r="A86" s="109" t="s">
        <v>70</v>
      </c>
      <c r="B86" s="109"/>
      <c r="C86" s="109"/>
      <c r="D86" s="109"/>
      <c r="E86" s="109"/>
      <c r="F86" s="109"/>
      <c r="G86" s="110" t="n">
        <f aca="false">Dados!$G$49</f>
        <v>0.07</v>
      </c>
      <c r="H86" s="111" t="n">
        <f aca="false">ROUND((H85*G86),2)</f>
        <v>783.18</v>
      </c>
      <c r="I86" s="107"/>
      <c r="J86" s="107"/>
      <c r="N86" s="108"/>
      <c r="O86" s="86"/>
      <c r="P86" s="108"/>
      <c r="R86" s="4"/>
      <c r="S86" s="4"/>
      <c r="T86" s="4"/>
      <c r="U86" s="4"/>
      <c r="V86" s="4"/>
      <c r="W86" s="4"/>
    </row>
    <row r="87" s="1" customFormat="true" ht="15" hidden="true" customHeight="true" outlineLevel="0" collapsed="false">
      <c r="A87" s="109" t="s">
        <v>71</v>
      </c>
      <c r="B87" s="109"/>
      <c r="C87" s="109"/>
      <c r="D87" s="109"/>
      <c r="E87" s="109"/>
      <c r="F87" s="109"/>
      <c r="G87" s="110" t="n">
        <f aca="false">Dados!$G$50</f>
        <v>0.0369</v>
      </c>
      <c r="H87" s="111" t="n">
        <f aca="false">ROUND((SUM(H85:H86)*G87),2)</f>
        <v>441.75</v>
      </c>
      <c r="I87" s="107"/>
      <c r="J87" s="112"/>
      <c r="N87" s="108"/>
      <c r="O87" s="86"/>
      <c r="P87" s="108"/>
      <c r="R87" s="4"/>
      <c r="S87" s="4"/>
      <c r="T87" s="4"/>
      <c r="U87" s="4"/>
      <c r="V87" s="4"/>
      <c r="W87" s="4"/>
    </row>
    <row r="88" s="1" customFormat="true" ht="15" hidden="true" customHeight="true" outlineLevel="0" collapsed="false">
      <c r="A88" s="109" t="s">
        <v>72</v>
      </c>
      <c r="B88" s="109"/>
      <c r="C88" s="109"/>
      <c r="D88" s="109"/>
      <c r="E88" s="109"/>
      <c r="F88" s="109"/>
      <c r="G88" s="110" t="n">
        <f aca="false">Dados!$G$61</f>
        <v>0.1125</v>
      </c>
      <c r="H88" s="111" t="n">
        <f aca="false">ROUND((H89*G88),2)</f>
        <v>1573.51</v>
      </c>
      <c r="I88" s="107"/>
      <c r="J88" s="112"/>
      <c r="N88" s="108"/>
      <c r="O88" s="86"/>
      <c r="P88" s="108"/>
      <c r="R88" s="4"/>
      <c r="S88" s="4"/>
      <c r="T88" s="4"/>
      <c r="U88" s="4"/>
      <c r="V88" s="4"/>
      <c r="W88" s="4"/>
    </row>
    <row r="89" s="1" customFormat="true" ht="15.75" hidden="true" customHeight="true" outlineLevel="0" collapsed="false">
      <c r="A89" s="113" t="s">
        <v>73</v>
      </c>
      <c r="B89" s="113"/>
      <c r="C89" s="113"/>
      <c r="D89" s="113"/>
      <c r="E89" s="113"/>
      <c r="F89" s="113"/>
      <c r="G89" s="113"/>
      <c r="H89" s="114" t="n">
        <f aca="false">ROUND((SUM(H85:H87)/(1-G88)),2)</f>
        <v>13986.75</v>
      </c>
      <c r="I89" s="107"/>
      <c r="J89" s="107"/>
      <c r="N89" s="108"/>
      <c r="O89" s="86"/>
      <c r="P89" s="108"/>
      <c r="R89" s="4"/>
      <c r="S89" s="4"/>
      <c r="T89" s="4"/>
      <c r="U89" s="4"/>
      <c r="V89" s="4"/>
      <c r="W89" s="4"/>
    </row>
    <row r="90" customFormat="false" ht="15" hidden="true" customHeight="false" outlineLevel="0" collapsed="false">
      <c r="A90" s="115"/>
      <c r="B90" s="86"/>
      <c r="C90" s="86"/>
      <c r="D90" s="86"/>
      <c r="E90" s="116"/>
      <c r="F90" s="116"/>
      <c r="G90" s="115"/>
      <c r="H90" s="86"/>
      <c r="I90" s="108"/>
      <c r="J90" s="108"/>
      <c r="K90" s="1"/>
      <c r="L90" s="1"/>
      <c r="M90" s="1"/>
      <c r="N90" s="86"/>
      <c r="O90" s="86"/>
      <c r="P90" s="86"/>
    </row>
    <row r="91" s="1" customFormat="true" ht="40.5" hidden="true" customHeight="true" outlineLevel="0" collapsed="false">
      <c r="A91" s="87" t="s">
        <v>55</v>
      </c>
      <c r="B91" s="117" t="s">
        <v>74</v>
      </c>
      <c r="C91" s="117"/>
      <c r="D91" s="117"/>
      <c r="E91" s="117"/>
      <c r="F91" s="118" t="s">
        <v>57</v>
      </c>
      <c r="G91" s="118"/>
      <c r="H91" s="118"/>
      <c r="I91" s="90" t="s">
        <v>58</v>
      </c>
      <c r="J91" s="90"/>
      <c r="K91" s="90"/>
      <c r="L91" s="91" t="s">
        <v>59</v>
      </c>
      <c r="M91" s="91"/>
      <c r="N91" s="91"/>
      <c r="O91" s="91"/>
    </row>
    <row r="92" s="1" customFormat="true" ht="51" hidden="true" customHeight="true" outlineLevel="0" collapsed="false">
      <c r="A92" s="87"/>
      <c r="B92" s="77" t="s">
        <v>60</v>
      </c>
      <c r="C92" s="77"/>
      <c r="D92" s="77"/>
      <c r="E92" s="77" t="s">
        <v>61</v>
      </c>
      <c r="F92" s="77" t="s">
        <v>62</v>
      </c>
      <c r="G92" s="77" t="s">
        <v>63</v>
      </c>
      <c r="H92" s="93" t="s">
        <v>64</v>
      </c>
      <c r="I92" s="90"/>
      <c r="J92" s="90"/>
      <c r="K92" s="90"/>
      <c r="L92" s="87" t="s">
        <v>65</v>
      </c>
      <c r="M92" s="88" t="s">
        <v>66</v>
      </c>
      <c r="N92" s="88" t="s">
        <v>67</v>
      </c>
      <c r="O92" s="89" t="s">
        <v>68</v>
      </c>
    </row>
    <row r="93" customFormat="false" ht="41.25" hidden="true" customHeight="true" outlineLevel="0" collapsed="false">
      <c r="A93" s="119" t="n">
        <v>1</v>
      </c>
      <c r="B93" s="120" t="str">
        <f aca="false">Insumos!B68</f>
        <v>Balde plástico em polietileno de alta densidade, alta resistência a impacto, com paredes e fundo reforçados, com reforço no encaixe da alça de aço zincado constando no corpo a marcado fabricante, capacidade de 20 litros.</v>
      </c>
      <c r="C93" s="120"/>
      <c r="D93" s="120"/>
      <c r="E93" s="121" t="str">
        <f aca="false">Insumos!C68</f>
        <v>unid.</v>
      </c>
      <c r="F93" s="121" t="str">
        <f aca="false">Insumos!D68</f>
        <v>Arqplast</v>
      </c>
      <c r="G93" s="98" t="n">
        <f aca="false">L93</f>
        <v>0.166666666666667</v>
      </c>
      <c r="H93" s="99" t="n">
        <f aca="false">G93*Insumos!G68</f>
        <v>4.39666666666667</v>
      </c>
      <c r="I93" s="100" t="str">
        <f aca="false">IF(G93&lt;L93,"Fornecimento inferior ao estimado mensalmente",IF(G93=L93,"Fornecimento igual ao estimado mensalmente",IF(G93&gt;L93,"Fornecimento superior ao estimado mensalmente",)))</f>
        <v>Fornecimento igual ao estimado mensalmente</v>
      </c>
      <c r="J93" s="100"/>
      <c r="K93" s="100"/>
      <c r="L93" s="122" t="n">
        <f aca="false">M93/O93</f>
        <v>0.166666666666667</v>
      </c>
      <c r="M93" s="123" t="n">
        <f aca="false">Insumos!E68</f>
        <v>1</v>
      </c>
      <c r="N93" s="124" t="str">
        <f aca="false">Insumos!F68</f>
        <v>Semestral</v>
      </c>
      <c r="O93" s="104" t="n">
        <f aca="false">IF(N93="MENSAL",1,IF(N93="BIMESTRAL",2,IF(N93="TRIMESTRAL",3,IF(N93="QUADRIMESTRAL",4,IF(N93="SEMESTRAL",6,IF(N93="ANUAL",12,IF(N93="BIENAL",24,"")))))))</f>
        <v>6</v>
      </c>
      <c r="R93" s="1"/>
      <c r="S93" s="1"/>
      <c r="T93" s="1"/>
      <c r="U93" s="1"/>
      <c r="W93" s="1"/>
    </row>
    <row r="94" customFormat="false" ht="39.75" hidden="true" customHeight="true" outlineLevel="0" collapsed="false">
      <c r="A94" s="119" t="n">
        <v>2</v>
      </c>
      <c r="B94" s="120" t="str">
        <f aca="false">Insumos!B69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94" s="120"/>
      <c r="D94" s="120"/>
      <c r="E94" s="121" t="str">
        <f aca="false">Insumos!C69</f>
        <v>unid.</v>
      </c>
      <c r="F94" s="121" t="str">
        <f aca="false">Insumos!D69</f>
        <v>Limpol ou similar</v>
      </c>
      <c r="G94" s="98" t="n">
        <f aca="false">L94</f>
        <v>10</v>
      </c>
      <c r="H94" s="99" t="n">
        <f aca="false">G94*Insumos!G69</f>
        <v>29.9</v>
      </c>
      <c r="I94" s="100" t="str">
        <f aca="false">IF(G94&lt;L94,"Fornecimento inferior ao estimado mensalmente",IF(G94=L94,"Fornecimento igual ao estimado mensalmente",IF(G94&gt;L94,"Fornecimento superior ao estimado mensalmente",)))</f>
        <v>Fornecimento igual ao estimado mensalmente</v>
      </c>
      <c r="J94" s="100"/>
      <c r="K94" s="100"/>
      <c r="L94" s="122" t="n">
        <f aca="false">M94/O94</f>
        <v>10</v>
      </c>
      <c r="M94" s="123" t="n">
        <f aca="false">Insumos!E69</f>
        <v>10</v>
      </c>
      <c r="N94" s="124" t="str">
        <f aca="false">Insumos!F69</f>
        <v>Mensal</v>
      </c>
      <c r="O94" s="104" t="n">
        <f aca="false">IF(N94="MENSAL",1,IF(N94="BIMESTRAL",2,IF(N94="TRIMESTRAL",3,IF(N94="QUADRIMESTRAL",4,IF(N94="SEMESTRAL",6,IF(N94="ANUAL",12,IF(N94="BIENAL",24,"")))))))</f>
        <v>1</v>
      </c>
      <c r="R94" s="1"/>
      <c r="S94" s="1"/>
      <c r="T94" s="1"/>
      <c r="U94" s="1"/>
      <c r="W94" s="1"/>
    </row>
    <row r="95" customFormat="false" ht="38.25" hidden="true" customHeight="true" outlineLevel="0" collapsed="false">
      <c r="A95" s="119" t="n">
        <v>3</v>
      </c>
      <c r="B95" s="120" t="str">
        <f aca="false">Insumos!B70</f>
        <v>Escova para limpeza de mamadeira/garrafa, tipo redonda, base de arame galvanizado, com cerdas 100% polipropileno, medindo 15cm, cabo de arame duplo retorcido e ferro galvanizado, medindo 15cm, mínimo de 30 cerdas por tufos</v>
      </c>
      <c r="C95" s="120"/>
      <c r="D95" s="120"/>
      <c r="E95" s="121" t="str">
        <f aca="false">Insumos!C70</f>
        <v>Unid.</v>
      </c>
      <c r="F95" s="121" t="str">
        <f aca="false">Insumos!D70</f>
        <v>Dynasty</v>
      </c>
      <c r="G95" s="98" t="n">
        <f aca="false">L95</f>
        <v>0.333333333333333</v>
      </c>
      <c r="H95" s="99" t="n">
        <f aca="false">G95*Insumos!G70</f>
        <v>9.35666666666667</v>
      </c>
      <c r="I95" s="100" t="str">
        <f aca="false">IF(G95&lt;L95,"Fornecimento inferior ao estimado mensalmente",IF(G95=L95,"Fornecimento igual ao estimado mensalmente",IF(G95&gt;L95,"Fornecimento superior ao estimado mensalmente",)))</f>
        <v>Fornecimento igual ao estimado mensalmente</v>
      </c>
      <c r="J95" s="100"/>
      <c r="K95" s="100"/>
      <c r="L95" s="122" t="n">
        <f aca="false">M95/O95</f>
        <v>0.333333333333333</v>
      </c>
      <c r="M95" s="123" t="n">
        <f aca="false">Insumos!E70</f>
        <v>2</v>
      </c>
      <c r="N95" s="124" t="str">
        <f aca="false">Insumos!F70</f>
        <v>Semestral</v>
      </c>
      <c r="O95" s="104" t="n">
        <f aca="false">IF(N95="MENSAL",1,IF(N95="BIMESTRAL",2,IF(N95="TRIMESTRAL",3,IF(N95="QUADRIMESTRAL",4,IF(N95="SEMESTRAL",6,IF(N95="ANUAL",12,IF(N95="BIENAL",24,"")))))))</f>
        <v>6</v>
      </c>
      <c r="R95" s="1"/>
      <c r="S95" s="1"/>
      <c r="T95" s="1"/>
      <c r="U95" s="1"/>
      <c r="W95" s="1"/>
    </row>
    <row r="96" customFormat="false" ht="37.5" hidden="true" customHeight="true" outlineLevel="0" collapsed="false">
      <c r="A96" s="119" t="n">
        <v>4</v>
      </c>
      <c r="B96" s="120" t="str">
        <f aca="false">Insumos!B71</f>
        <v>Esponja Para Lavagem De Louças E Limpeza Em Geral, Dupla Face Sintética, Um Lado Em Espuma Poliuretano E Outro Em Fibra Sintética Abrasiva, Antibacteriana, Formato Retangular, Medindo Aproximadamente 110mm X 75mm X 20mm De Espessura. Pacote com 4 unidades.</v>
      </c>
      <c r="C96" s="120"/>
      <c r="D96" s="120"/>
      <c r="E96" s="121" t="str">
        <f aca="false">Insumos!C71</f>
        <v>pacote</v>
      </c>
      <c r="F96" s="121" t="str">
        <f aca="false">Insumos!D71</f>
        <v>Scotch-Brite</v>
      </c>
      <c r="G96" s="98" t="n">
        <f aca="false">L96</f>
        <v>10</v>
      </c>
      <c r="H96" s="99" t="n">
        <f aca="false">G96*Insumos!G71</f>
        <v>64</v>
      </c>
      <c r="I96" s="100" t="str">
        <f aca="false">IF(G96&lt;L96,"Fornecimento inferior ao estimado mensalmente",IF(G96=L96,"Fornecimento igual ao estimado mensalmente",IF(G96&gt;L96,"Fornecimento superior ao estimado mensalmente",)))</f>
        <v>Fornecimento igual ao estimado mensalmente</v>
      </c>
      <c r="J96" s="100"/>
      <c r="K96" s="100"/>
      <c r="L96" s="122" t="n">
        <f aca="false">M96/O96</f>
        <v>10</v>
      </c>
      <c r="M96" s="123" t="n">
        <f aca="false">Insumos!E71</f>
        <v>10</v>
      </c>
      <c r="N96" s="124" t="str">
        <f aca="false">Insumos!F71</f>
        <v>Mensal</v>
      </c>
      <c r="O96" s="104" t="n">
        <f aca="false">IF(N96="MENSAL",1,IF(N96="BIMESTRAL",2,IF(N96="TRIMESTRAL",3,IF(N96="QUADRIMESTRAL",4,IF(N96="SEMESTRAL",6,IF(N96="ANUAL",12,IF(N96="BIENAL",24,"")))))))</f>
        <v>1</v>
      </c>
      <c r="R96" s="1"/>
      <c r="S96" s="1"/>
      <c r="T96" s="1"/>
      <c r="U96" s="1"/>
      <c r="W96" s="1"/>
    </row>
    <row r="97" customFormat="false" ht="76.5" hidden="true" customHeight="true" outlineLevel="0" collapsed="false">
      <c r="A97" s="119" t="n">
        <v>5</v>
      </c>
      <c r="B97" s="120" t="str">
        <f aca="false">Insumos!B72</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97" s="120"/>
      <c r="D97" s="120"/>
      <c r="E97" s="121" t="str">
        <f aca="false">Insumos!C72</f>
        <v>unid.</v>
      </c>
      <c r="F97" s="121" t="str">
        <f aca="false">Insumos!D72</f>
        <v>Santa Margarida</v>
      </c>
      <c r="G97" s="98" t="n">
        <f aca="false">L97</f>
        <v>2</v>
      </c>
      <c r="H97" s="99" t="n">
        <f aca="false">G97*Insumos!G72</f>
        <v>8.56</v>
      </c>
      <c r="I97" s="100" t="str">
        <f aca="false">IF(G97&lt;L97,"Fornecimento inferior ao estimado mensalmente",IF(G97=L97,"Fornecimento igual ao estimado mensalmente",IF(G97&gt;L97,"Fornecimento superior ao estimado mensalmente",)))</f>
        <v>Fornecimento igual ao estimado mensalmente</v>
      </c>
      <c r="J97" s="100"/>
      <c r="K97" s="100"/>
      <c r="L97" s="122" t="n">
        <f aca="false">M97/O97</f>
        <v>2</v>
      </c>
      <c r="M97" s="123" t="n">
        <f aca="false">Insumos!E72</f>
        <v>2</v>
      </c>
      <c r="N97" s="124" t="str">
        <f aca="false">Insumos!F72</f>
        <v>Mensal</v>
      </c>
      <c r="O97" s="104" t="n">
        <f aca="false">IF(N97="MENSAL",1,IF(N97="BIMESTRAL",2,IF(N97="TRIMESTRAL",3,IF(N97="QUADRIMESTRAL",4,IF(N97="SEMESTRAL",6,IF(N97="ANUAL",12,IF(N97="BIENAL",24,"")))))))</f>
        <v>1</v>
      </c>
      <c r="R97" s="1"/>
      <c r="S97" s="1"/>
      <c r="T97" s="1"/>
      <c r="U97" s="1"/>
      <c r="W97" s="1"/>
    </row>
    <row r="98" customFormat="false" ht="53.25" hidden="true" customHeight="true" outlineLevel="0" collapsed="false">
      <c r="A98" s="119" t="n">
        <v>6</v>
      </c>
      <c r="B98" s="120" t="str">
        <f aca="false">Insumos!B73</f>
        <v>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v>
      </c>
      <c r="C98" s="120"/>
      <c r="D98" s="120"/>
      <c r="E98" s="121" t="str">
        <f aca="false">Insumos!C73</f>
        <v>Pacote</v>
      </c>
      <c r="F98" s="121" t="str">
        <f aca="false">Insumos!D73</f>
        <v>Santepel</v>
      </c>
      <c r="G98" s="98" t="n">
        <f aca="false">L98</f>
        <v>1</v>
      </c>
      <c r="H98" s="99" t="n">
        <f aca="false">G98*Insumos!G73</f>
        <v>6.48</v>
      </c>
      <c r="I98" s="100" t="str">
        <f aca="false">IF(G98&lt;L98,"Fornecimento inferior ao estimado mensalmente",IF(G98=L98,"Fornecimento igual ao estimado mensalmente",IF(G98&gt;L98,"Fornecimento superior ao estimado mensalmente",)))</f>
        <v>Fornecimento igual ao estimado mensalmente</v>
      </c>
      <c r="J98" s="100"/>
      <c r="K98" s="100"/>
      <c r="L98" s="122" t="n">
        <f aca="false">M98/O98</f>
        <v>1</v>
      </c>
      <c r="M98" s="123" t="n">
        <f aca="false">Insumos!E73</f>
        <v>3</v>
      </c>
      <c r="N98" s="124" t="str">
        <f aca="false">Insumos!F73</f>
        <v>Trimestral</v>
      </c>
      <c r="O98" s="104" t="n">
        <f aca="false">IF(N98="MENSAL",1,IF(N98="BIMESTRAL",2,IF(N98="TRIMESTRAL",3,IF(N98="QUADRIMESTRAL",4,IF(N98="SEMESTRAL",6,IF(N98="ANUAL",12,IF(N98="BIENAL",24,"")))))))</f>
        <v>3</v>
      </c>
      <c r="R98" s="1"/>
      <c r="S98" s="1"/>
      <c r="T98" s="1"/>
      <c r="U98" s="1"/>
      <c r="W98" s="1"/>
    </row>
    <row r="99" customFormat="false" ht="51.75" hidden="true" customHeight="true" outlineLevel="0" collapsed="false">
      <c r="A99" s="119" t="n">
        <v>7</v>
      </c>
      <c r="B99" s="120" t="str">
        <f aca="false">Insumos!B74</f>
        <v>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v>
      </c>
      <c r="C99" s="120"/>
      <c r="D99" s="120"/>
      <c r="E99" s="121" t="str">
        <f aca="false">Insumos!C74</f>
        <v>Unid.</v>
      </c>
      <c r="F99" s="121" t="str">
        <f aca="false">Insumos!D74</f>
        <v>Veja</v>
      </c>
      <c r="G99" s="98" t="n">
        <f aca="false">L99</f>
        <v>5</v>
      </c>
      <c r="H99" s="99" t="n">
        <f aca="false">G99*Insumos!G74</f>
        <v>25.4</v>
      </c>
      <c r="I99" s="100" t="str">
        <f aca="false">IF(G99&lt;L99,"Fornecimento inferior ao estimado mensalmente",IF(G99=L99,"Fornecimento igual ao estimado mensalmente",IF(G99&gt;L99,"Fornecimento superior ao estimado mensalmente",)))</f>
        <v>Fornecimento igual ao estimado mensalmente</v>
      </c>
      <c r="J99" s="100"/>
      <c r="K99" s="100"/>
      <c r="L99" s="122" t="n">
        <f aca="false">M99/O99</f>
        <v>5</v>
      </c>
      <c r="M99" s="123" t="n">
        <f aca="false">Insumos!E74</f>
        <v>5</v>
      </c>
      <c r="N99" s="124" t="str">
        <f aca="false">Insumos!F74</f>
        <v>Mensal</v>
      </c>
      <c r="O99" s="104" t="n">
        <f aca="false">IF(N99="MENSAL",1,IF(N99="BIMESTRAL",2,IF(N99="TRIMESTRAL",3,IF(N99="QUADRIMESTRAL",4,IF(N99="SEMESTRAL",6,IF(N99="ANUAL",12,IF(N99="BIENAL",24,"")))))))</f>
        <v>1</v>
      </c>
      <c r="R99" s="1"/>
      <c r="S99" s="1"/>
      <c r="T99" s="1"/>
      <c r="U99" s="1"/>
      <c r="W99" s="1"/>
    </row>
    <row r="100" customFormat="false" ht="24" hidden="true" customHeight="true" outlineLevel="0" collapsed="false">
      <c r="A100" s="119" t="n">
        <v>8</v>
      </c>
      <c r="B100" s="120" t="str">
        <f aca="false">Insumos!B75</f>
        <v>Pá para lixo, material: plástico com cabo, material cabo: madeira, comprimento cabo: 60cm, tamanho:24x16,5x7cm.</v>
      </c>
      <c r="C100" s="120"/>
      <c r="D100" s="120"/>
      <c r="E100" s="121" t="str">
        <f aca="false">Insumos!C75</f>
        <v>Unid.</v>
      </c>
      <c r="F100" s="121" t="str">
        <f aca="false">Insumos!D75</f>
        <v>Bettanin</v>
      </c>
      <c r="G100" s="98" t="n">
        <f aca="false">L100</f>
        <v>0.166666666666667</v>
      </c>
      <c r="H100" s="99" t="n">
        <f aca="false">G100*Insumos!G75</f>
        <v>2.18166666666667</v>
      </c>
      <c r="I100" s="100" t="str">
        <f aca="false">IF(G100&lt;L100,"Fornecimento inferior ao estimado mensalmente",IF(G100=L100,"Fornecimento igual ao estimado mensalmente",IF(G100&gt;L100,"Fornecimento superior ao estimado mensalmente",)))</f>
        <v>Fornecimento igual ao estimado mensalmente</v>
      </c>
      <c r="J100" s="100"/>
      <c r="K100" s="100"/>
      <c r="L100" s="122" t="n">
        <f aca="false">M100/O100</f>
        <v>0.166666666666667</v>
      </c>
      <c r="M100" s="123" t="n">
        <f aca="false">Insumos!E75</f>
        <v>1</v>
      </c>
      <c r="N100" s="124" t="str">
        <f aca="false">Insumos!F75</f>
        <v>Semestral</v>
      </c>
      <c r="O100" s="104" t="n">
        <f aca="false">IF(N100="MENSAL",1,IF(N100="BIMESTRAL",2,IF(N100="TRIMESTRAL",3,IF(N100="QUADRIMESTRAL",4,IF(N100="SEMESTRAL",6,IF(N100="ANUAL",12,IF(N100="BIENAL",24,"")))))))</f>
        <v>6</v>
      </c>
      <c r="R100" s="1"/>
      <c r="S100" s="1"/>
      <c r="T100" s="1"/>
      <c r="U100" s="1"/>
      <c r="W100" s="1"/>
    </row>
    <row r="101" customFormat="false" ht="15" hidden="true" customHeight="false" outlineLevel="0" collapsed="false">
      <c r="A101" s="119" t="n">
        <v>9</v>
      </c>
      <c r="B101" s="120" t="str">
        <f aca="false">Insumos!B76</f>
        <v>Pano de copa aberto 100% dimensões mínimas 40x60cm</v>
      </c>
      <c r="C101" s="120"/>
      <c r="D101" s="120"/>
      <c r="E101" s="121" t="str">
        <f aca="false">Insumos!C76</f>
        <v>Unid.</v>
      </c>
      <c r="F101" s="121" t="str">
        <f aca="false">Insumos!D76</f>
        <v>Karsten</v>
      </c>
      <c r="G101" s="98" t="n">
        <f aca="false">L101</f>
        <v>5</v>
      </c>
      <c r="H101" s="99" t="n">
        <f aca="false">G101*Insumos!G76</f>
        <v>50</v>
      </c>
      <c r="I101" s="100" t="str">
        <f aca="false">IF(G101&lt;L101,"Fornecimento inferior ao estimado mensalmente",IF(G101=L101,"Fornecimento igual ao estimado mensalmente",IF(G101&gt;L101,"Fornecimento superior ao estimado mensalmente",)))</f>
        <v>Fornecimento igual ao estimado mensalmente</v>
      </c>
      <c r="J101" s="100"/>
      <c r="K101" s="100"/>
      <c r="L101" s="122" t="n">
        <f aca="false">M101/O101</f>
        <v>5</v>
      </c>
      <c r="M101" s="123" t="n">
        <f aca="false">Insumos!E76</f>
        <v>5</v>
      </c>
      <c r="N101" s="124" t="str">
        <f aca="false">Insumos!F76</f>
        <v>Mensal</v>
      </c>
      <c r="O101" s="104" t="n">
        <f aca="false">IF(N101="MENSAL",1,IF(N101="BIMESTRAL",2,IF(N101="TRIMESTRAL",3,IF(N101="QUADRIMESTRAL",4,IF(N101="SEMESTRAL",6,IF(N101="ANUAL",12,IF(N101="BIENAL",24,"")))))))</f>
        <v>1</v>
      </c>
      <c r="R101" s="1"/>
      <c r="S101" s="1"/>
      <c r="T101" s="1"/>
      <c r="U101" s="1"/>
      <c r="W101" s="1"/>
    </row>
    <row r="102" customFormat="false" ht="28.5" hidden="true" customHeight="true" outlineLevel="0" collapsed="false">
      <c r="A102" s="119" t="n">
        <v>10</v>
      </c>
      <c r="B102" s="120" t="str">
        <f aca="false">Insumos!B77</f>
        <v>Rodo Plástico e borracha dupla expandida de 40cm de largura, acompanha cabo de madeira plastificado de aproximadamente 1,26m, com garras pontiagudas nas laterais para melhor fixar panos de chão.</v>
      </c>
      <c r="C102" s="120"/>
      <c r="D102" s="120"/>
      <c r="E102" s="121" t="str">
        <f aca="false">Insumos!C77</f>
        <v>Unid.</v>
      </c>
      <c r="F102" s="121" t="str">
        <f aca="false">Insumos!D77</f>
        <v>Brubalar</v>
      </c>
      <c r="G102" s="98" t="n">
        <f aca="false">L102</f>
        <v>0.333333333333333</v>
      </c>
      <c r="H102" s="99" t="n">
        <f aca="false">G102*Insumos!G77</f>
        <v>6.63333333333333</v>
      </c>
      <c r="I102" s="100" t="str">
        <f aca="false">IF(G102&lt;L102,"Fornecimento inferior ao estimado mensalmente",IF(G102=L102,"Fornecimento igual ao estimado mensalmente",IF(G102&gt;L102,"Fornecimento superior ao estimado mensalmente",)))</f>
        <v>Fornecimento igual ao estimado mensalmente</v>
      </c>
      <c r="J102" s="100"/>
      <c r="K102" s="100"/>
      <c r="L102" s="122" t="n">
        <f aca="false">M102/O102</f>
        <v>0.333333333333333</v>
      </c>
      <c r="M102" s="123" t="n">
        <f aca="false">Insumos!E77</f>
        <v>1</v>
      </c>
      <c r="N102" s="124" t="str">
        <f aca="false">Insumos!F77</f>
        <v>Trimestral</v>
      </c>
      <c r="O102" s="104" t="n">
        <f aca="false">IF(N102="MENSAL",1,IF(N102="BIMESTRAL",2,IF(N102="TRIMESTRAL",3,IF(N102="QUADRIMESTRAL",4,IF(N102="SEMESTRAL",6,IF(N102="ANUAL",12,IF(N102="BIENAL",24,"")))))))</f>
        <v>3</v>
      </c>
      <c r="R102" s="1"/>
      <c r="S102" s="1"/>
      <c r="T102" s="1"/>
      <c r="U102" s="1"/>
      <c r="W102" s="1"/>
    </row>
    <row r="103" customFormat="false" ht="15" hidden="true" customHeight="false" outlineLevel="0" collapsed="false">
      <c r="A103" s="119" t="n">
        <v>11</v>
      </c>
      <c r="B103" s="120" t="str">
        <f aca="false">Insumos!B78</f>
        <v>Sabão em barra glicerinado - cor neutra. Pacote com 5 de 200g cada unidade</v>
      </c>
      <c r="C103" s="120"/>
      <c r="D103" s="120"/>
      <c r="E103" s="121" t="str">
        <f aca="false">Insumos!C78</f>
        <v>pacote</v>
      </c>
      <c r="F103" s="121" t="str">
        <f aca="false">Insumos!D78</f>
        <v>Minuano</v>
      </c>
      <c r="G103" s="98" t="n">
        <f aca="false">L103</f>
        <v>1</v>
      </c>
      <c r="H103" s="99" t="n">
        <f aca="false">G103*Insumos!G78</f>
        <v>12</v>
      </c>
      <c r="I103" s="100" t="str">
        <f aca="false">IF(G103&lt;L103,"Fornecimento inferior ao estimado mensalmente",IF(G103=L103,"Fornecimento igual ao estimado mensalmente",IF(G103&gt;L103,"Fornecimento superior ao estimado mensalmente",)))</f>
        <v>Fornecimento igual ao estimado mensalmente</v>
      </c>
      <c r="J103" s="100"/>
      <c r="K103" s="100"/>
      <c r="L103" s="122" t="n">
        <f aca="false">M103/O103</f>
        <v>1</v>
      </c>
      <c r="M103" s="123" t="n">
        <f aca="false">Insumos!E78</f>
        <v>1</v>
      </c>
      <c r="N103" s="124" t="str">
        <f aca="false">Insumos!F78</f>
        <v>Mensal</v>
      </c>
      <c r="O103" s="104" t="n">
        <f aca="false">IF(N103="MENSAL",1,IF(N103="BIMESTRAL",2,IF(N103="TRIMESTRAL",3,IF(N103="QUADRIMESTRAL",4,IF(N103="SEMESTRAL",6,IF(N103="ANUAL",12,IF(N103="BIENAL",24,"")))))))</f>
        <v>1</v>
      </c>
      <c r="R103" s="1"/>
      <c r="S103" s="1"/>
      <c r="T103" s="1"/>
      <c r="U103" s="1"/>
      <c r="W103" s="1"/>
    </row>
    <row r="104" customFormat="false" ht="13.5" hidden="true" customHeight="true" outlineLevel="0" collapsed="false">
      <c r="A104" s="119" t="n">
        <v>12</v>
      </c>
      <c r="B104" s="120" t="str">
        <f aca="false">Insumos!B79</f>
        <v>Saco De Algodão Tipo: Alvejado, Tamanho: 60 X 80 CM, Cor: Branco, Características Adicionais: Dupla Face</v>
      </c>
      <c r="C104" s="120"/>
      <c r="D104" s="120"/>
      <c r="E104" s="121" t="str">
        <f aca="false">Insumos!C79</f>
        <v>Unid.</v>
      </c>
      <c r="F104" s="121" t="str">
        <f aca="false">Insumos!D79</f>
        <v>Uzzilim</v>
      </c>
      <c r="G104" s="98" t="n">
        <f aca="false">L104</f>
        <v>2</v>
      </c>
      <c r="H104" s="99" t="n">
        <f aca="false">G104*Insumos!G79</f>
        <v>16.46</v>
      </c>
      <c r="I104" s="100" t="str">
        <f aca="false">IF(G104&lt;L104,"Fornecimento inferior ao estimado mensalmente",IF(G104=L104,"Fornecimento igual ao estimado mensalmente",IF(G104&gt;L104,"Fornecimento superior ao estimado mensalmente",)))</f>
        <v>Fornecimento igual ao estimado mensalmente</v>
      </c>
      <c r="J104" s="100"/>
      <c r="K104" s="100"/>
      <c r="L104" s="122" t="n">
        <f aca="false">M104/O104</f>
        <v>2</v>
      </c>
      <c r="M104" s="123" t="n">
        <f aca="false">Insumos!E79</f>
        <v>2</v>
      </c>
      <c r="N104" s="124" t="str">
        <f aca="false">Insumos!F79</f>
        <v>Mensal</v>
      </c>
      <c r="O104" s="104" t="n">
        <f aca="false">IF(N104="MENSAL",1,IF(N104="BIMESTRAL",2,IF(N104="TRIMESTRAL",3,IF(N104="QUADRIMESTRAL",4,IF(N104="SEMESTRAL",6,IF(N104="ANUAL",12,IF(N104="BIENAL",24,"")))))))</f>
        <v>1</v>
      </c>
      <c r="R104" s="1"/>
      <c r="S104" s="1"/>
      <c r="T104" s="1"/>
      <c r="U104" s="1"/>
      <c r="W104" s="1"/>
    </row>
    <row r="105" customFormat="false" ht="39.75" hidden="true" customHeight="true" outlineLevel="0" collapsed="false">
      <c r="A105" s="119" t="n">
        <v>13</v>
      </c>
      <c r="B105" s="120" t="str">
        <f aca="false">Insumos!B80</f>
        <v>Saco plástico reforçado para lixo em polietileno, com capacidade de 100 litros, com estanqueidade suficiente para que não haja vazamento de lixo líquido. com espessura mínima de 10 micra, na cor preta. Pacote com 100 unidades.</v>
      </c>
      <c r="C105" s="120"/>
      <c r="D105" s="120"/>
      <c r="E105" s="121" t="str">
        <f aca="false">Insumos!C80</f>
        <v>Pacote</v>
      </c>
      <c r="F105" s="121" t="str">
        <f aca="false">Insumos!D80</f>
        <v>Polisac</v>
      </c>
      <c r="G105" s="98" t="n">
        <f aca="false">L105</f>
        <v>0.5</v>
      </c>
      <c r="H105" s="99" t="n">
        <f aca="false">G105*Insumos!G80</f>
        <v>30.08</v>
      </c>
      <c r="I105" s="100" t="str">
        <f aca="false">IF(G105&lt;L105,"Fornecimento inferior ao estimado mensalmente",IF(G105=L105,"Fornecimento igual ao estimado mensalmente",IF(G105&gt;L105,"Fornecimento superior ao estimado mensalmente",)))</f>
        <v>Fornecimento igual ao estimado mensalmente</v>
      </c>
      <c r="J105" s="100"/>
      <c r="K105" s="100"/>
      <c r="L105" s="122" t="n">
        <f aca="false">M105/O105</f>
        <v>0.5</v>
      </c>
      <c r="M105" s="123" t="n">
        <f aca="false">Insumos!E80</f>
        <v>1</v>
      </c>
      <c r="N105" s="124" t="str">
        <f aca="false">Insumos!F80</f>
        <v>Bimestral</v>
      </c>
      <c r="O105" s="104" t="n">
        <f aca="false">IF(N105="MENSAL",1,IF(N105="BIMESTRAL",2,IF(N105="TRIMESTRAL",3,IF(N105="QUADRIMESTRAL",4,IF(N105="SEMESTRAL",6,IF(N105="ANUAL",12,IF(N105="BIENAL",24,"")))))))</f>
        <v>2</v>
      </c>
      <c r="R105" s="1"/>
      <c r="S105" s="1"/>
      <c r="T105" s="1"/>
      <c r="U105" s="1"/>
      <c r="W105" s="1"/>
    </row>
    <row r="106" customFormat="false" ht="25.5" hidden="true" customHeight="true" outlineLevel="0" collapsed="false">
      <c r="A106" s="119" t="n">
        <v>14</v>
      </c>
      <c r="B106" s="120" t="str">
        <f aca="false">Insumos!B81</f>
        <v>Vassoura de nylon, cerdas c/ ponta desfiada, corpo de madeira medindo aproximadamente 25 x 05cm, c/ cabo de no mínimo 1,50m de comprimento</v>
      </c>
      <c r="C106" s="120"/>
      <c r="D106" s="120"/>
      <c r="E106" s="121" t="str">
        <f aca="false">Insumos!C81</f>
        <v>Unid.</v>
      </c>
      <c r="F106" s="121" t="str">
        <f aca="false">Insumos!D81</f>
        <v>Oliveira e Azevedo</v>
      </c>
      <c r="G106" s="98" t="n">
        <f aca="false">L106</f>
        <v>0.166666666666667</v>
      </c>
      <c r="H106" s="99" t="n">
        <f aca="false">G106*Insumos!G81</f>
        <v>2.74333333333333</v>
      </c>
      <c r="I106" s="100" t="str">
        <f aca="false">IF(G106&lt;L106,"Fornecimento inferior ao estimado mensalmente",IF(G106=L106,"Fornecimento igual ao estimado mensalmente",IF(G106&gt;L106,"Fornecimento superior ao estimado mensalmente",)))</f>
        <v>Fornecimento igual ao estimado mensalmente</v>
      </c>
      <c r="J106" s="100"/>
      <c r="K106" s="100"/>
      <c r="L106" s="122" t="n">
        <f aca="false">M106/O106</f>
        <v>0.166666666666667</v>
      </c>
      <c r="M106" s="123" t="n">
        <f aca="false">Insumos!E81</f>
        <v>1</v>
      </c>
      <c r="N106" s="124" t="str">
        <f aca="false">Insumos!F81</f>
        <v>Semestral</v>
      </c>
      <c r="O106" s="104" t="n">
        <f aca="false">IF(N106="MENSAL",1,IF(N106="BIMESTRAL",2,IF(N106="TRIMESTRAL",3,IF(N106="QUADRIMESTRAL",4,IF(N106="SEMESTRAL",6,IF(N106="ANUAL",12,IF(N106="BIENAL",24,"")))))))</f>
        <v>6</v>
      </c>
      <c r="R106" s="1"/>
      <c r="S106" s="1"/>
      <c r="T106" s="1"/>
      <c r="U106" s="1"/>
      <c r="W106" s="1"/>
    </row>
    <row r="107" customFormat="false" ht="27.75" hidden="true" customHeight="true" outlineLevel="0" collapsed="false">
      <c r="A107" s="119" t="n">
        <v>15</v>
      </c>
      <c r="B107" s="120" t="str">
        <f aca="false">Insumos!B82</f>
        <v>Rodo, Material Cabo: Plástico , Material Suporte: Plástico , Comprimento Suporte: 13 Cm, Características Adicionais: Para Pia</v>
      </c>
      <c r="C107" s="120"/>
      <c r="D107" s="120"/>
      <c r="E107" s="121" t="str">
        <f aca="false">Insumos!C82</f>
        <v>Unid.</v>
      </c>
      <c r="F107" s="121" t="str">
        <f aca="false">Insumos!D82</f>
        <v>Plasutil</v>
      </c>
      <c r="G107" s="98" t="n">
        <f aca="false">L107</f>
        <v>0.333333333333333</v>
      </c>
      <c r="H107" s="99" t="n">
        <f aca="false">G107*Insumos!G82</f>
        <v>1.55333333333333</v>
      </c>
      <c r="I107" s="100" t="str">
        <f aca="false">IF(G107&lt;L107,"Fornecimento inferior ao estimado mensalmente",IF(G107=L107,"Fornecimento igual ao estimado mensalmente",IF(G107&gt;L107,"Fornecimento superior ao estimado mensalmente",)))</f>
        <v>Fornecimento igual ao estimado mensalmente</v>
      </c>
      <c r="J107" s="100"/>
      <c r="K107" s="100"/>
      <c r="L107" s="122" t="n">
        <f aca="false">M107/O107</f>
        <v>0.333333333333333</v>
      </c>
      <c r="M107" s="123" t="n">
        <f aca="false">Insumos!E82</f>
        <v>2</v>
      </c>
      <c r="N107" s="124" t="str">
        <f aca="false">Insumos!F82</f>
        <v>Semestral</v>
      </c>
      <c r="O107" s="104" t="n">
        <f aca="false">IF(N107="MENSAL",1,IF(N107="BIMESTRAL",2,IF(N107="TRIMESTRAL",3,IF(N107="QUADRIMESTRAL",4,IF(N107="SEMESTRAL",6,IF(N107="ANUAL",12,IF(N107="BIENAL",24,"")))))))</f>
        <v>6</v>
      </c>
      <c r="R107" s="1"/>
      <c r="S107" s="1"/>
      <c r="T107" s="1"/>
      <c r="U107" s="1"/>
      <c r="W107" s="1"/>
    </row>
    <row r="108" s="1" customFormat="true" ht="15" hidden="true" customHeight="true" outlineLevel="0" collapsed="false">
      <c r="A108" s="87" t="s">
        <v>69</v>
      </c>
      <c r="B108" s="87"/>
      <c r="C108" s="87"/>
      <c r="D108" s="87"/>
      <c r="E108" s="87"/>
      <c r="F108" s="87"/>
      <c r="G108" s="87"/>
      <c r="H108" s="125" t="n">
        <f aca="false">SUM(H93:H107)</f>
        <v>269.745</v>
      </c>
      <c r="I108" s="107"/>
      <c r="J108" s="107"/>
      <c r="L108" s="108"/>
      <c r="M108" s="86"/>
      <c r="N108" s="108"/>
      <c r="P108" s="4"/>
      <c r="Q108" s="4"/>
      <c r="R108" s="4"/>
      <c r="S108" s="4"/>
      <c r="T108" s="4"/>
      <c r="U108" s="4"/>
    </row>
    <row r="109" s="1" customFormat="true" ht="15" hidden="true" customHeight="true" outlineLevel="0" collapsed="false">
      <c r="A109" s="109" t="s">
        <v>70</v>
      </c>
      <c r="B109" s="109"/>
      <c r="C109" s="109"/>
      <c r="D109" s="109"/>
      <c r="E109" s="109"/>
      <c r="F109" s="109"/>
      <c r="G109" s="110" t="n">
        <f aca="false">Dados!$G$49</f>
        <v>0.07</v>
      </c>
      <c r="H109" s="111" t="n">
        <f aca="false">ROUND((H108*G109),2)</f>
        <v>18.88</v>
      </c>
      <c r="I109" s="108"/>
      <c r="J109" s="108"/>
      <c r="L109" s="108"/>
      <c r="M109" s="108"/>
      <c r="N109" s="108"/>
      <c r="P109" s="4"/>
      <c r="Q109" s="4"/>
      <c r="R109" s="4"/>
      <c r="S109" s="4"/>
      <c r="T109" s="4"/>
      <c r="U109" s="4"/>
    </row>
    <row r="110" s="1" customFormat="true" ht="15" hidden="true" customHeight="true" outlineLevel="0" collapsed="false">
      <c r="A110" s="109" t="s">
        <v>71</v>
      </c>
      <c r="B110" s="109"/>
      <c r="C110" s="109"/>
      <c r="D110" s="109"/>
      <c r="E110" s="109"/>
      <c r="F110" s="109"/>
      <c r="G110" s="110" t="n">
        <f aca="false">Dados!$G$50</f>
        <v>0.0369</v>
      </c>
      <c r="H110" s="111" t="n">
        <f aca="false">ROUND((SUM(H108:H109)*G110),2)</f>
        <v>10.65</v>
      </c>
      <c r="I110" s="108"/>
      <c r="J110" s="108"/>
      <c r="L110" s="108"/>
      <c r="M110" s="108"/>
      <c r="N110" s="108"/>
      <c r="P110" s="4"/>
      <c r="Q110" s="4"/>
      <c r="R110" s="4"/>
      <c r="S110" s="4"/>
      <c r="T110" s="4"/>
      <c r="U110" s="4"/>
    </row>
    <row r="111" s="1" customFormat="true" ht="15" hidden="true" customHeight="true" outlineLevel="0" collapsed="false">
      <c r="A111" s="109" t="s">
        <v>72</v>
      </c>
      <c r="B111" s="109"/>
      <c r="C111" s="109"/>
      <c r="D111" s="109"/>
      <c r="E111" s="109"/>
      <c r="F111" s="109"/>
      <c r="G111" s="110" t="n">
        <f aca="false">Dados!$G$61</f>
        <v>0.1125</v>
      </c>
      <c r="H111" s="111" t="n">
        <f aca="false">ROUND((H112*G111),2)</f>
        <v>37.94</v>
      </c>
      <c r="I111" s="108"/>
      <c r="J111" s="108"/>
      <c r="L111" s="108"/>
      <c r="M111" s="108"/>
      <c r="N111" s="108"/>
      <c r="P111" s="4"/>
      <c r="Q111" s="4"/>
      <c r="R111" s="4"/>
      <c r="S111" s="4"/>
      <c r="T111" s="4"/>
      <c r="U111" s="4"/>
    </row>
    <row r="112" s="1" customFormat="true" ht="15.75" hidden="true" customHeight="true" outlineLevel="0" collapsed="false">
      <c r="A112" s="113" t="s">
        <v>75</v>
      </c>
      <c r="B112" s="113"/>
      <c r="C112" s="113"/>
      <c r="D112" s="113"/>
      <c r="E112" s="113"/>
      <c r="F112" s="113"/>
      <c r="G112" s="113"/>
      <c r="H112" s="114" t="n">
        <f aca="false">ROUND((SUM(H108:H110)/(1-G111)),2)</f>
        <v>337.21</v>
      </c>
      <c r="I112" s="108"/>
      <c r="J112" s="108"/>
      <c r="L112" s="108"/>
      <c r="M112" s="108"/>
      <c r="N112" s="108"/>
      <c r="P112" s="4"/>
      <c r="Q112" s="4"/>
      <c r="R112" s="4"/>
      <c r="S112" s="4"/>
      <c r="T112" s="4"/>
      <c r="U112" s="4"/>
    </row>
    <row r="113" s="1" customFormat="true" ht="15" hidden="true" customHeight="false" outlineLevel="0" collapsed="false">
      <c r="A113" s="115"/>
      <c r="B113" s="86"/>
      <c r="C113" s="86"/>
      <c r="D113" s="86"/>
      <c r="E113" s="116"/>
      <c r="F113" s="116"/>
      <c r="G113" s="115"/>
      <c r="H113" s="86"/>
      <c r="I113" s="108"/>
      <c r="J113" s="108"/>
      <c r="L113" s="108"/>
      <c r="M113" s="108"/>
      <c r="N113" s="108"/>
      <c r="P113" s="4"/>
      <c r="Q113" s="4"/>
      <c r="R113" s="4"/>
      <c r="S113" s="4"/>
      <c r="T113" s="4"/>
      <c r="U113" s="4"/>
    </row>
    <row r="114" s="1" customFormat="true" ht="49.5" hidden="true" customHeight="true" outlineLevel="0" collapsed="false">
      <c r="A114" s="87" t="s">
        <v>55</v>
      </c>
      <c r="B114" s="117" t="s">
        <v>76</v>
      </c>
      <c r="C114" s="117"/>
      <c r="D114" s="117"/>
      <c r="E114" s="117"/>
      <c r="F114" s="118" t="s">
        <v>57</v>
      </c>
      <c r="G114" s="118"/>
      <c r="H114" s="118"/>
      <c r="I114" s="90" t="s">
        <v>58</v>
      </c>
      <c r="J114" s="90"/>
      <c r="K114" s="90"/>
      <c r="L114" s="91" t="s">
        <v>59</v>
      </c>
      <c r="M114" s="91"/>
      <c r="N114" s="91"/>
      <c r="O114" s="91"/>
    </row>
    <row r="115" s="1" customFormat="true" ht="51" hidden="true" customHeight="true" outlineLevel="0" collapsed="false">
      <c r="A115" s="87"/>
      <c r="B115" s="77" t="s">
        <v>60</v>
      </c>
      <c r="C115" s="77"/>
      <c r="D115" s="77"/>
      <c r="E115" s="77" t="s">
        <v>61</v>
      </c>
      <c r="F115" s="77" t="s">
        <v>62</v>
      </c>
      <c r="G115" s="77" t="s">
        <v>63</v>
      </c>
      <c r="H115" s="93" t="s">
        <v>64</v>
      </c>
      <c r="I115" s="90"/>
      <c r="J115" s="90"/>
      <c r="K115" s="90"/>
      <c r="L115" s="87" t="s">
        <v>65</v>
      </c>
      <c r="M115" s="88" t="s">
        <v>66</v>
      </c>
      <c r="N115" s="88" t="s">
        <v>67</v>
      </c>
      <c r="O115" s="89" t="s">
        <v>68</v>
      </c>
    </row>
    <row r="116" s="1" customFormat="true" ht="54" hidden="true" customHeight="true" outlineLevel="0" collapsed="false">
      <c r="A116" s="119" t="n">
        <v>1</v>
      </c>
      <c r="B116" s="120" t="str">
        <f aca="false">Insumos!B89</f>
        <v>Herbicida (mata mato) principio ativo glifosato, 01 litro, seletivo de ação sistêmica, com controle total de plantas daninhas, tanto das mono como das dicotiledôneas, atingidas pela ação herbicida não somente na parte aérea, como nas raízes. Possuindo registro no ministério da agricultura, pecuária e abastecimento (mapa).</v>
      </c>
      <c r="C116" s="120"/>
      <c r="D116" s="120"/>
      <c r="E116" s="121" t="str">
        <f aca="false">Insumos!C89</f>
        <v>unid. 1L</v>
      </c>
      <c r="F116" s="121" t="str">
        <f aca="false">Insumos!D89</f>
        <v>Randup Tordon</v>
      </c>
      <c r="G116" s="98" t="n">
        <f aca="false">L116</f>
        <v>0.333333333333333</v>
      </c>
      <c r="H116" s="99" t="n">
        <f aca="false">G116*Insumos!G89</f>
        <v>10.56</v>
      </c>
      <c r="I116" s="100" t="str">
        <f aca="false">IF(G116&lt;L116,"Fornecimento inferior ao estimado mensalmente",IF(G116=L116,"Fornecimento igual ao estimado mensalmente",IF(G116&gt;L116,"Fornecimento superior ao estimado mensalmente",)))</f>
        <v>Fornecimento igual ao estimado mensalmente</v>
      </c>
      <c r="J116" s="100"/>
      <c r="K116" s="100"/>
      <c r="L116" s="122" t="n">
        <f aca="false">M116/O116</f>
        <v>0.333333333333333</v>
      </c>
      <c r="M116" s="123" t="n">
        <f aca="false">Insumos!E89</f>
        <v>2</v>
      </c>
      <c r="N116" s="124" t="str">
        <f aca="false">Insumos!F89</f>
        <v>Semestral</v>
      </c>
      <c r="O116" s="104" t="n">
        <f aca="false">IF(N116="MENSAL",1,IF(N116="BIMESTRAL",2,IF(N116="TRIMESTRAL",3,IF(N116="QUADRIMESTRAL",4,IF(N116="SEMESTRAL",6,IF(N116="ANUAL",12,IF(N116="BIENAL",24,"")))))))</f>
        <v>6</v>
      </c>
      <c r="V116" s="4"/>
    </row>
    <row r="117" s="1" customFormat="true" ht="66" hidden="true" customHeight="true" outlineLevel="0" collapsed="false">
      <c r="A117" s="119" t="n">
        <v>2</v>
      </c>
      <c r="B117" s="120" t="str">
        <f aca="false">Insumos!B90</f>
        <v>Inseticida agrícola para pragas em plantas, deltametrina, de contato e ingestão do grupo químico dos piretróides sintéticos; concentração do ingrediente ativo: 25g/l; tipo de formulação: concentração emulsionável, de contato e ingestão do grupo químico piretroide, indicado para o controle de diversas pragas nas culturas do algodão, amendoim, batata, cacau, café, feijão, milho, trigo, modo de ação: contato e ingestão.</v>
      </c>
      <c r="C117" s="120"/>
      <c r="D117" s="120"/>
      <c r="E117" s="121" t="str">
        <f aca="false">Insumos!C90</f>
        <v>unid. 1L</v>
      </c>
      <c r="F117" s="121" t="str">
        <f aca="false">Insumos!D90</f>
        <v>Decis</v>
      </c>
      <c r="G117" s="98" t="n">
        <f aca="false">L117</f>
        <v>0.333333333333333</v>
      </c>
      <c r="H117" s="99" t="n">
        <f aca="false">G117*Insumos!G90</f>
        <v>32.3333333333333</v>
      </c>
      <c r="I117" s="100" t="str">
        <f aca="false">IF(G117&lt;L117,"Fornecimento inferior ao estimado mensalmente",IF(G117=L117,"Fornecimento igual ao estimado mensalmente",IF(G117&gt;L117,"Fornecimento superior ao estimado mensalmente",)))</f>
        <v>Fornecimento igual ao estimado mensalmente</v>
      </c>
      <c r="J117" s="100"/>
      <c r="K117" s="100"/>
      <c r="L117" s="122" t="n">
        <f aca="false">M117/O117</f>
        <v>0.333333333333333</v>
      </c>
      <c r="M117" s="123" t="n">
        <f aca="false">Insumos!E90</f>
        <v>1</v>
      </c>
      <c r="N117" s="124" t="str">
        <f aca="false">Insumos!F90</f>
        <v>Trimestral</v>
      </c>
      <c r="O117" s="104" t="n">
        <f aca="false">IF(N117="MENSAL",1,IF(N117="BIMESTRAL",2,IF(N117="TRIMESTRAL",3,IF(N117="QUADRIMESTRAL",4,IF(N117="SEMESTRAL",6,IF(N117="ANUAL",12,IF(N117="BIENAL",24,"")))))))</f>
        <v>3</v>
      </c>
      <c r="V117" s="4"/>
    </row>
    <row r="118" s="1" customFormat="true" ht="29.25" hidden="true" customHeight="true" outlineLevel="0" collapsed="false">
      <c r="A118" s="119" t="n">
        <v>3</v>
      </c>
      <c r="B118" s="120" t="str">
        <f aca="false">Insumos!B91</f>
        <v>Inseticida Líquido. Composição Do Produto Ingrediente Ativo: Deltametrina Grupo Químico: Piretroides Formulação: Sc (Suspensão Concentrada) Embalagem: Frasco De 01 litro</v>
      </c>
      <c r="C118" s="120"/>
      <c r="D118" s="120"/>
      <c r="E118" s="121" t="str">
        <f aca="false">Insumos!C91</f>
        <v>unid. 1L</v>
      </c>
      <c r="F118" s="121" t="str">
        <f aca="false">Insumos!D91</f>
        <v>K-Othrine Sc25, Kelldrin Sc 25, Fipronil</v>
      </c>
      <c r="G118" s="98" t="n">
        <f aca="false">L118</f>
        <v>0.333333333333333</v>
      </c>
      <c r="H118" s="99" t="n">
        <f aca="false">G118*Insumos!G91</f>
        <v>50.3366666666667</v>
      </c>
      <c r="I118" s="100" t="str">
        <f aca="false">IF(G118&lt;L118,"Fornecimento inferior ao estimado mensalmente",IF(G118=L118,"Fornecimento igual ao estimado mensalmente",IF(G118&gt;L118,"Fornecimento superior ao estimado mensalmente",)))</f>
        <v>Fornecimento igual ao estimado mensalmente</v>
      </c>
      <c r="J118" s="100"/>
      <c r="K118" s="100"/>
      <c r="L118" s="122" t="n">
        <f aca="false">M118/O118</f>
        <v>0.333333333333333</v>
      </c>
      <c r="M118" s="123" t="n">
        <f aca="false">Insumos!E91</f>
        <v>1</v>
      </c>
      <c r="N118" s="124" t="str">
        <f aca="false">Insumos!F91</f>
        <v>Trimestral</v>
      </c>
      <c r="O118" s="104" t="n">
        <f aca="false">IF(N118="MENSAL",1,IF(N118="BIMESTRAL",2,IF(N118="TRIMESTRAL",3,IF(N118="QUADRIMESTRAL",4,IF(N118="SEMESTRAL",6,IF(N118="ANUAL",12,IF(N118="BIENAL",24,"")))))))</f>
        <v>3</v>
      </c>
      <c r="V118" s="4"/>
    </row>
    <row r="119" s="1" customFormat="true" ht="15" hidden="true" customHeight="false" outlineLevel="0" collapsed="false">
      <c r="A119" s="119" t="n">
        <v>4</v>
      </c>
      <c r="B119" s="120" t="str">
        <f aca="false">Insumos!B92</f>
        <v>Fertilizante (Adubo) NPK 20 05 20, aspecto físico granulado</v>
      </c>
      <c r="C119" s="120"/>
      <c r="D119" s="120"/>
      <c r="E119" s="121" t="str">
        <f aca="false">Insumos!C92</f>
        <v>saco 50kg</v>
      </c>
      <c r="F119" s="121" t="str">
        <f aca="false">Insumos!D92</f>
        <v>Itale</v>
      </c>
      <c r="G119" s="98" t="n">
        <f aca="false">L119</f>
        <v>0.0833333333333333</v>
      </c>
      <c r="H119" s="99" t="n">
        <f aca="false">G119*Insumos!G92</f>
        <v>16.21</v>
      </c>
      <c r="I119" s="100" t="str">
        <f aca="false">IF(G119&lt;L119,"Fornecimento inferior ao estimado mensalmente",IF(G119=L119,"Fornecimento igual ao estimado mensalmente",IF(G119&gt;L119,"Fornecimento superior ao estimado mensalmente",)))</f>
        <v>Fornecimento igual ao estimado mensalmente</v>
      </c>
      <c r="J119" s="100"/>
      <c r="K119" s="100"/>
      <c r="L119" s="122" t="n">
        <f aca="false">M119/O119</f>
        <v>0.0833333333333333</v>
      </c>
      <c r="M119" s="123" t="n">
        <f aca="false">Insumos!E92</f>
        <v>1</v>
      </c>
      <c r="N119" s="124" t="str">
        <f aca="false">Insumos!F92</f>
        <v>Anual</v>
      </c>
      <c r="O119" s="104" t="n">
        <f aca="false">IF(N119="MENSAL",1,IF(N119="BIMESTRAL",2,IF(N119="TRIMESTRAL",3,IF(N119="QUADRIMESTRAL",4,IF(N119="SEMESTRAL",6,IF(N119="ANUAL",12,IF(N119="BIENAL",24,"")))))))</f>
        <v>12</v>
      </c>
      <c r="V119" s="4"/>
    </row>
    <row r="120" s="1" customFormat="true" ht="20.85" hidden="true" customHeight="false" outlineLevel="0" collapsed="false">
      <c r="A120" s="119" t="n">
        <v>5</v>
      </c>
      <c r="B120" s="120" t="str">
        <f aca="false">Insumos!B93</f>
        <v>Substrato para plantas a base de casca de pinus, turfa, vermiculita expandida, enriquecido com macro e micronutrientes. Embalagem: saco de 25 kg.</v>
      </c>
      <c r="C120" s="120"/>
      <c r="D120" s="120"/>
      <c r="E120" s="121" t="str">
        <f aca="false">Insumos!C93</f>
        <v>Saco 25kg</v>
      </c>
      <c r="F120" s="121" t="n">
        <f aca="false">Insumos!D93</f>
        <v>0</v>
      </c>
      <c r="G120" s="98" t="n">
        <f aca="false">L120</f>
        <v>0.5</v>
      </c>
      <c r="H120" s="99" t="n">
        <f aca="false">G120*Insumos!G93</f>
        <v>15.095</v>
      </c>
      <c r="I120" s="100" t="str">
        <f aca="false">IF(G120&lt;L120,"Fornecimento inferior ao estimado mensalmente",IF(G120=L120,"Fornecimento igual ao estimado mensalmente",IF(G120&gt;L120,"Fornecimento superior ao estimado mensalmente",)))</f>
        <v>Fornecimento igual ao estimado mensalmente</v>
      </c>
      <c r="J120" s="100"/>
      <c r="K120" s="100"/>
      <c r="L120" s="122" t="n">
        <f aca="false">M120/O120</f>
        <v>0.5</v>
      </c>
      <c r="M120" s="123" t="n">
        <f aca="false">Insumos!E93</f>
        <v>6</v>
      </c>
      <c r="N120" s="124" t="str">
        <f aca="false">Insumos!F93</f>
        <v>Anual</v>
      </c>
      <c r="O120" s="104" t="n">
        <f aca="false">IF(N120="MENSAL",1,IF(N120="BIMESTRAL",2,IF(N120="TRIMESTRAL",3,IF(N120="QUADRIMESTRAL",4,IF(N120="SEMESTRAL",6,IF(N120="ANUAL",12,IF(N120="BIENAL",24,"")))))))</f>
        <v>12</v>
      </c>
      <c r="V120" s="4"/>
    </row>
    <row r="121" customFormat="false" ht="20.85" hidden="true" customHeight="false" outlineLevel="0" collapsed="false">
      <c r="A121" s="119" t="n">
        <v>6</v>
      </c>
      <c r="B121" s="120" t="str">
        <f aca="false">Insumos!B94</f>
        <v>Lâminas para Arco de Serra 12 polegadas, em aço bi-metal, com, no mínimo, 24 Dentes por Polegada , dentes reforçados e lâmina flexível.</v>
      </c>
      <c r="C121" s="120"/>
      <c r="D121" s="120"/>
      <c r="E121" s="121" t="str">
        <f aca="false">Insumos!C94</f>
        <v>unid.</v>
      </c>
      <c r="F121" s="121" t="str">
        <f aca="false">Insumos!D94</f>
        <v>Tramontina</v>
      </c>
      <c r="G121" s="98" t="n">
        <f aca="false">L121</f>
        <v>0.333333333333333</v>
      </c>
      <c r="H121" s="99" t="n">
        <f aca="false">G121*Insumos!G94</f>
        <v>5.28666666666667</v>
      </c>
      <c r="I121" s="100" t="str">
        <f aca="false">IF(G121&lt;L121,"Fornecimento inferior ao estimado mensalmente",IF(G121=L121,"Fornecimento igual ao estimado mensalmente",IF(G121&gt;L121,"Fornecimento superior ao estimado mensalmente",)))</f>
        <v>Fornecimento igual ao estimado mensalmente</v>
      </c>
      <c r="J121" s="100"/>
      <c r="K121" s="100"/>
      <c r="L121" s="122" t="n">
        <f aca="false">M121/O121</f>
        <v>0.333333333333333</v>
      </c>
      <c r="M121" s="123" t="n">
        <f aca="false">Insumos!E94</f>
        <v>2</v>
      </c>
      <c r="N121" s="124" t="str">
        <f aca="false">Insumos!F94</f>
        <v>Semestral</v>
      </c>
      <c r="O121" s="104" t="n">
        <f aca="false">IF(N121="MENSAL",1,IF(N121="BIMESTRAL",2,IF(N121="TRIMESTRAL",3,IF(N121="QUADRIMESTRAL",4,IF(N121="SEMESTRAL",6,IF(N121="ANUAL",12,IF(N121="BIENAL",24,"")))))))</f>
        <v>6</v>
      </c>
      <c r="R121" s="1"/>
      <c r="S121" s="1"/>
      <c r="T121" s="1"/>
      <c r="U121" s="1"/>
      <c r="W121" s="1"/>
    </row>
    <row r="122" customFormat="false" ht="15" hidden="true" customHeight="false" outlineLevel="0" collapsed="false">
      <c r="A122" s="119" t="n">
        <v>7</v>
      </c>
      <c r="B122" s="120" t="str">
        <f aca="false">Insumos!B95</f>
        <v>Bico para torneira/mangueira 3/4 x 1/2 em metal</v>
      </c>
      <c r="C122" s="120"/>
      <c r="D122" s="120"/>
      <c r="E122" s="121" t="str">
        <f aca="false">Insumos!C95</f>
        <v>unid.</v>
      </c>
      <c r="F122" s="121" t="n">
        <f aca="false">Insumos!D95</f>
        <v>0</v>
      </c>
      <c r="G122" s="98" t="n">
        <f aca="false">L122</f>
        <v>0.416666666666667</v>
      </c>
      <c r="H122" s="99" t="n">
        <f aca="false">G122*Insumos!G95</f>
        <v>1.5</v>
      </c>
      <c r="I122" s="100" t="str">
        <f aca="false">IF(G122&lt;L122,"Fornecimento inferior ao estimado mensalmente",IF(G122=L122,"Fornecimento igual ao estimado mensalmente",IF(G122&gt;L122,"Fornecimento superior ao estimado mensalmente",)))</f>
        <v>Fornecimento igual ao estimado mensalmente</v>
      </c>
      <c r="J122" s="100"/>
      <c r="K122" s="100"/>
      <c r="L122" s="122" t="n">
        <f aca="false">M122/O122</f>
        <v>0.416666666666667</v>
      </c>
      <c r="M122" s="123" t="n">
        <f aca="false">Insumos!E95</f>
        <v>5</v>
      </c>
      <c r="N122" s="124" t="str">
        <f aca="false">Insumos!F95</f>
        <v>Anual</v>
      </c>
      <c r="O122" s="104" t="n">
        <f aca="false">IF(N122="MENSAL",1,IF(N122="BIMESTRAL",2,IF(N122="TRIMESTRAL",3,IF(N122="QUADRIMESTRAL",4,IF(N122="SEMESTRAL",6,IF(N122="ANUAL",12,IF(N122="BIENAL",24,"")))))))</f>
        <v>12</v>
      </c>
      <c r="R122" s="1"/>
      <c r="S122" s="1"/>
      <c r="T122" s="1"/>
      <c r="U122" s="1"/>
      <c r="W122" s="1"/>
    </row>
    <row r="123" customFormat="false" ht="15" hidden="true" customHeight="false" outlineLevel="0" collapsed="false">
      <c r="A123" s="119" t="n">
        <v>8</v>
      </c>
      <c r="B123" s="120" t="str">
        <f aca="false">Insumos!B96</f>
        <v>Esguicho jato regulável para mangueira 3/4 tipo pistola em metal</v>
      </c>
      <c r="C123" s="120"/>
      <c r="D123" s="120"/>
      <c r="E123" s="121" t="str">
        <f aca="false">Insumos!C96</f>
        <v>unid.</v>
      </c>
      <c r="F123" s="121" t="n">
        <f aca="false">Insumos!D96</f>
        <v>0</v>
      </c>
      <c r="G123" s="98" t="n">
        <f aca="false">L123</f>
        <v>0.333333333333333</v>
      </c>
      <c r="H123" s="99" t="n">
        <f aca="false">G123*Insumos!G96</f>
        <v>11.4766666666667</v>
      </c>
      <c r="I123" s="100" t="str">
        <f aca="false">IF(G123&lt;L123,"Fornecimento inferior ao estimado mensalmente",IF(G123=L123,"Fornecimento igual ao estimado mensalmente",IF(G123&gt;L123,"Fornecimento superior ao estimado mensalmente",)))</f>
        <v>Fornecimento igual ao estimado mensalmente</v>
      </c>
      <c r="J123" s="100"/>
      <c r="K123" s="100"/>
      <c r="L123" s="122" t="n">
        <f aca="false">M123/O123</f>
        <v>0.333333333333333</v>
      </c>
      <c r="M123" s="123" t="n">
        <f aca="false">Insumos!E96</f>
        <v>2</v>
      </c>
      <c r="N123" s="124" t="str">
        <f aca="false">Insumos!F96</f>
        <v>Semestral</v>
      </c>
      <c r="O123" s="104" t="n">
        <f aca="false">IF(N123="MENSAL",1,IF(N123="BIMESTRAL",2,IF(N123="TRIMESTRAL",3,IF(N123="QUADRIMESTRAL",4,IF(N123="SEMESTRAL",6,IF(N123="ANUAL",12,IF(N123="BIENAL",24,"")))))))</f>
        <v>6</v>
      </c>
      <c r="R123" s="1"/>
      <c r="S123" s="1"/>
      <c r="T123" s="1"/>
      <c r="U123" s="1"/>
      <c r="W123" s="1"/>
    </row>
    <row r="124" customFormat="false" ht="27.75" hidden="true" customHeight="true" outlineLevel="0" collapsed="false">
      <c r="A124" s="119" t="n">
        <v>9</v>
      </c>
      <c r="B124" s="120" t="str">
        <f aca="false">Insumos!B97</f>
        <v>Abraçadeira Material: Aço Inoxidável, Tipo: Rosca Sem Fim, Largura: 9Mm, Aplicação: Fixação Mangueira, Diâmetro Amarração: 25 A 38 mm</v>
      </c>
      <c r="C124" s="120"/>
      <c r="D124" s="120"/>
      <c r="E124" s="121" t="str">
        <f aca="false">Insumos!C97</f>
        <v>unid.</v>
      </c>
      <c r="F124" s="121" t="n">
        <f aca="false">Insumos!D97</f>
        <v>0</v>
      </c>
      <c r="G124" s="98" t="n">
        <f aca="false">L124</f>
        <v>0.416666666666667</v>
      </c>
      <c r="H124" s="99" t="n">
        <f aca="false">G124*Insumos!G97</f>
        <v>1.325</v>
      </c>
      <c r="I124" s="100" t="str">
        <f aca="false">IF(G124&lt;L124,"Fornecimento inferior ao estimado mensalmente",IF(G124=L124,"Fornecimento igual ao estimado mensalmente",IF(G124&gt;L124,"Fornecimento superior ao estimado mensalmente",)))</f>
        <v>Fornecimento igual ao estimado mensalmente</v>
      </c>
      <c r="J124" s="100"/>
      <c r="K124" s="100"/>
      <c r="L124" s="122" t="n">
        <f aca="false">M124/O124</f>
        <v>0.416666666666667</v>
      </c>
      <c r="M124" s="123" t="n">
        <f aca="false">Insumos!E97</f>
        <v>5</v>
      </c>
      <c r="N124" s="124" t="str">
        <f aca="false">Insumos!F97</f>
        <v>Anual</v>
      </c>
      <c r="O124" s="104" t="n">
        <f aca="false">IF(N124="MENSAL",1,IF(N124="BIMESTRAL",2,IF(N124="TRIMESTRAL",3,IF(N124="QUADRIMESTRAL",4,IF(N124="SEMESTRAL",6,IF(N124="ANUAL",12,IF(N124="BIENAL",24,"")))))))</f>
        <v>12</v>
      </c>
      <c r="R124" s="1"/>
      <c r="S124" s="1"/>
      <c r="T124" s="1"/>
      <c r="U124" s="1"/>
      <c r="W124" s="1"/>
    </row>
    <row r="125" customFormat="false" ht="15" hidden="true" customHeight="false" outlineLevel="0" collapsed="false">
      <c r="A125" s="119" t="n">
        <v>10</v>
      </c>
      <c r="B125" s="120" t="str">
        <f aca="false">Insumos!B98</f>
        <v>Emenda de conexão / adaptador para mangueiras 3/4</v>
      </c>
      <c r="C125" s="120"/>
      <c r="D125" s="120"/>
      <c r="E125" s="121" t="str">
        <f aca="false">Insumos!C98</f>
        <v>unid.</v>
      </c>
      <c r="F125" s="121" t="n">
        <f aca="false">Insumos!D98</f>
        <v>0</v>
      </c>
      <c r="G125" s="98" t="n">
        <f aca="false">L125</f>
        <v>0.166666666666667</v>
      </c>
      <c r="H125" s="99" t="n">
        <f aca="false">G125*Insumos!G98</f>
        <v>0.4</v>
      </c>
      <c r="I125" s="100" t="str">
        <f aca="false">IF(G125&lt;L125,"Fornecimento inferior ao estimado mensalmente",IF(G125=L125,"Fornecimento igual ao estimado mensalmente",IF(G125&gt;L125,"Fornecimento superior ao estimado mensalmente",)))</f>
        <v>Fornecimento igual ao estimado mensalmente</v>
      </c>
      <c r="J125" s="100"/>
      <c r="K125" s="100"/>
      <c r="L125" s="122" t="n">
        <f aca="false">M125/O125</f>
        <v>0.166666666666667</v>
      </c>
      <c r="M125" s="123" t="n">
        <f aca="false">Insumos!E98</f>
        <v>2</v>
      </c>
      <c r="N125" s="124" t="str">
        <f aca="false">Insumos!F98</f>
        <v>Anual</v>
      </c>
      <c r="O125" s="104" t="n">
        <f aca="false">IF(N125="MENSAL",1,IF(N125="BIMESTRAL",2,IF(N125="TRIMESTRAL",3,IF(N125="QUADRIMESTRAL",4,IF(N125="SEMESTRAL",6,IF(N125="ANUAL",12,IF(N125="BIENAL",24,"")))))))</f>
        <v>12</v>
      </c>
      <c r="R125" s="1"/>
      <c r="S125" s="1"/>
      <c r="T125" s="1"/>
      <c r="U125" s="1"/>
      <c r="W125" s="1"/>
    </row>
    <row r="126" s="1" customFormat="true" ht="15" hidden="true" customHeight="true" outlineLevel="0" collapsed="false">
      <c r="A126" s="87" t="s">
        <v>69</v>
      </c>
      <c r="B126" s="87"/>
      <c r="C126" s="87"/>
      <c r="D126" s="87"/>
      <c r="E126" s="87"/>
      <c r="F126" s="87"/>
      <c r="G126" s="87"/>
      <c r="H126" s="125" t="n">
        <f aca="false">SUM(H116:H125)</f>
        <v>144.523333333333</v>
      </c>
      <c r="I126" s="107"/>
      <c r="J126" s="107"/>
      <c r="L126" s="108"/>
      <c r="M126" s="86"/>
      <c r="N126" s="108"/>
      <c r="P126" s="4"/>
      <c r="Q126" s="4"/>
      <c r="R126" s="4"/>
      <c r="S126" s="4"/>
      <c r="T126" s="4"/>
      <c r="U126" s="4"/>
    </row>
    <row r="127" s="1" customFormat="true" ht="15" hidden="true" customHeight="true" outlineLevel="0" collapsed="false">
      <c r="A127" s="109" t="s">
        <v>70</v>
      </c>
      <c r="B127" s="109"/>
      <c r="C127" s="109"/>
      <c r="D127" s="109"/>
      <c r="E127" s="109"/>
      <c r="F127" s="109"/>
      <c r="G127" s="110" t="n">
        <f aca="false">Dados!$G$49</f>
        <v>0.07</v>
      </c>
      <c r="H127" s="111" t="n">
        <f aca="false">ROUND((H126*G127),2)</f>
        <v>10.12</v>
      </c>
      <c r="I127" s="108"/>
      <c r="J127" s="108"/>
      <c r="L127" s="108"/>
      <c r="M127" s="108"/>
      <c r="N127" s="108"/>
      <c r="P127" s="4"/>
      <c r="Q127" s="4"/>
      <c r="R127" s="4"/>
      <c r="S127" s="4"/>
      <c r="T127" s="4"/>
      <c r="U127" s="4"/>
    </row>
    <row r="128" customFormat="false" ht="15" hidden="true" customHeight="true" outlineLevel="0" collapsed="false">
      <c r="A128" s="109" t="s">
        <v>71</v>
      </c>
      <c r="B128" s="109"/>
      <c r="C128" s="109"/>
      <c r="D128" s="109"/>
      <c r="E128" s="109"/>
      <c r="F128" s="109"/>
      <c r="G128" s="110" t="n">
        <f aca="false">Dados!$G$50</f>
        <v>0.0369</v>
      </c>
      <c r="H128" s="111" t="n">
        <f aca="false">ROUND((SUM(H126:H127)*G128),2)</f>
        <v>5.71</v>
      </c>
      <c r="I128" s="108"/>
      <c r="J128" s="108"/>
      <c r="K128" s="1"/>
      <c r="L128" s="108"/>
      <c r="M128" s="108"/>
      <c r="N128" s="108"/>
      <c r="P128" s="4"/>
      <c r="Q128" s="4"/>
      <c r="V128" s="1"/>
      <c r="W128" s="1"/>
    </row>
    <row r="129" customFormat="false" ht="15" hidden="true" customHeight="true" outlineLevel="0" collapsed="false">
      <c r="A129" s="109" t="s">
        <v>72</v>
      </c>
      <c r="B129" s="109"/>
      <c r="C129" s="109"/>
      <c r="D129" s="109"/>
      <c r="E129" s="109"/>
      <c r="F129" s="109"/>
      <c r="G129" s="110" t="n">
        <f aca="false">Dados!$G$61</f>
        <v>0.1125</v>
      </c>
      <c r="H129" s="111" t="n">
        <f aca="false">ROUND((H130*G129),2)</f>
        <v>20.33</v>
      </c>
      <c r="I129" s="108"/>
      <c r="J129" s="108"/>
      <c r="K129" s="1"/>
      <c r="L129" s="108"/>
      <c r="M129" s="108"/>
      <c r="N129" s="108"/>
      <c r="P129" s="4"/>
      <c r="Q129" s="4"/>
      <c r="V129" s="1"/>
      <c r="W129" s="1"/>
    </row>
    <row r="130" customFormat="false" ht="15.75" hidden="true" customHeight="true" outlineLevel="0" collapsed="false">
      <c r="A130" s="113" t="s">
        <v>77</v>
      </c>
      <c r="B130" s="113"/>
      <c r="C130" s="113"/>
      <c r="D130" s="113"/>
      <c r="E130" s="113"/>
      <c r="F130" s="113"/>
      <c r="G130" s="113"/>
      <c r="H130" s="114" t="n">
        <f aca="false">ROUND((SUM(H126:H128)/(1-G129)),2)</f>
        <v>180.68</v>
      </c>
      <c r="I130" s="108"/>
      <c r="J130" s="108"/>
      <c r="K130" s="1"/>
      <c r="L130" s="108"/>
      <c r="M130" s="108"/>
      <c r="N130" s="108"/>
      <c r="P130" s="4"/>
      <c r="Q130" s="4"/>
      <c r="V130" s="1"/>
      <c r="W130" s="1"/>
    </row>
    <row r="131" customFormat="false" ht="15" hidden="true" customHeight="false" outlineLevel="0" collapsed="false">
      <c r="A131" s="115"/>
      <c r="B131" s="86"/>
      <c r="C131" s="86"/>
      <c r="D131" s="86"/>
      <c r="E131" s="116"/>
      <c r="F131" s="116"/>
      <c r="G131" s="115"/>
      <c r="H131" s="86"/>
      <c r="I131" s="108"/>
      <c r="J131" s="108"/>
      <c r="K131" s="1"/>
      <c r="L131" s="108"/>
      <c r="M131" s="108"/>
      <c r="N131" s="108"/>
      <c r="P131" s="4"/>
      <c r="Q131" s="4"/>
      <c r="V131" s="1"/>
      <c r="W131" s="1"/>
    </row>
    <row r="132" customFormat="false" ht="42" hidden="true" customHeight="true" outlineLevel="0" collapsed="false">
      <c r="A132" s="87" t="s">
        <v>55</v>
      </c>
      <c r="B132" s="117" t="s">
        <v>78</v>
      </c>
      <c r="C132" s="117"/>
      <c r="D132" s="117"/>
      <c r="E132" s="117"/>
      <c r="F132" s="118" t="s">
        <v>57</v>
      </c>
      <c r="G132" s="118"/>
      <c r="H132" s="118"/>
      <c r="I132" s="90" t="s">
        <v>58</v>
      </c>
      <c r="J132" s="90"/>
      <c r="K132" s="90"/>
      <c r="L132" s="91" t="s">
        <v>59</v>
      </c>
      <c r="M132" s="91"/>
      <c r="N132" s="91"/>
      <c r="O132" s="91"/>
      <c r="R132" s="1"/>
      <c r="S132" s="1"/>
      <c r="T132" s="1"/>
      <c r="U132" s="1"/>
      <c r="V132" s="1"/>
      <c r="W132" s="1"/>
    </row>
    <row r="133" customFormat="false" ht="51" hidden="true" customHeight="true" outlineLevel="0" collapsed="false">
      <c r="A133" s="87"/>
      <c r="B133" s="77" t="s">
        <v>60</v>
      </c>
      <c r="C133" s="77"/>
      <c r="D133" s="77"/>
      <c r="E133" s="77" t="s">
        <v>61</v>
      </c>
      <c r="F133" s="77" t="s">
        <v>62</v>
      </c>
      <c r="G133" s="77" t="s">
        <v>63</v>
      </c>
      <c r="H133" s="93" t="s">
        <v>64</v>
      </c>
      <c r="I133" s="90"/>
      <c r="J133" s="90"/>
      <c r="K133" s="90"/>
      <c r="L133" s="87" t="s">
        <v>65</v>
      </c>
      <c r="M133" s="88" t="s">
        <v>66</v>
      </c>
      <c r="N133" s="88" t="s">
        <v>67</v>
      </c>
      <c r="O133" s="89" t="s">
        <v>68</v>
      </c>
      <c r="R133" s="1"/>
      <c r="S133" s="1"/>
      <c r="T133" s="1"/>
      <c r="U133" s="1"/>
      <c r="V133" s="1"/>
      <c r="W133" s="1"/>
    </row>
    <row r="134" customFormat="false" ht="30" hidden="true" customHeight="true" outlineLevel="0" collapsed="false">
      <c r="A134" s="119" t="n">
        <v>1</v>
      </c>
      <c r="B134" s="120" t="str">
        <f aca="false">Insumos!B105</f>
        <v>Cera Aplicação: Automóvel, Cor: Incolor Leitoso , Tipo: Pastosa , Características Adicionais: Diluível, Pulverizar Veículo Lavado , Composição: Cera Carnaúba E Poli- Tetrafluor-Etileno (Teflon) 200g</v>
      </c>
      <c r="C134" s="120"/>
      <c r="D134" s="120"/>
      <c r="E134" s="121" t="str">
        <f aca="false">Insumos!C105</f>
        <v>unid.</v>
      </c>
      <c r="F134" s="121" t="str">
        <f aca="false">Insumos!D105</f>
        <v>Norton</v>
      </c>
      <c r="G134" s="98" t="n">
        <f aca="false">L134</f>
        <v>0.833333333333333</v>
      </c>
      <c r="H134" s="99" t="n">
        <f aca="false">G134*Insumos!G105</f>
        <v>26.45</v>
      </c>
      <c r="I134" s="100" t="str">
        <f aca="false">IF(G134&lt;L134,"Fornecimento inferior ao estimado mensalmente",IF(G134=L134,"Fornecimento igual ao estimado mensalmente",IF(G134&gt;L134,"Fornecimento superior ao estimado mensalmente",)))</f>
        <v>Fornecimento igual ao estimado mensalmente</v>
      </c>
      <c r="J134" s="100"/>
      <c r="K134" s="100"/>
      <c r="L134" s="122" t="n">
        <f aca="false">M134/O134</f>
        <v>0.833333333333333</v>
      </c>
      <c r="M134" s="123" t="n">
        <f aca="false">Insumos!E105</f>
        <v>10</v>
      </c>
      <c r="N134" s="124" t="str">
        <f aca="false">Insumos!F105</f>
        <v>Anual</v>
      </c>
      <c r="O134" s="104" t="n">
        <f aca="false">IF(N134="MENSAL",1,IF(N134="BIMESTRAL",2,IF(N134="TRIMESTRAL",3,IF(N134="QUADRIMESTRAL",4,IF(N134="SEMESTRAL",6,IF(N134="ANUAL",12,IF(N134="BIENAL",24,"")))))))</f>
        <v>12</v>
      </c>
    </row>
    <row r="135" customFormat="false" ht="29.25" hidden="true" customHeight="true" outlineLevel="0" collapsed="false">
      <c r="A135" s="119" t="n">
        <v>2</v>
      </c>
      <c r="B135" s="120" t="str">
        <f aca="false">Insumos!B106</f>
        <v>Estopa 150g para polimento - Estopa 150g para polimento - Estopa Material: Fio Algodão , Aplicação: Polimento E Limpeza Especial , Cor: Branca</v>
      </c>
      <c r="C135" s="120"/>
      <c r="D135" s="120"/>
      <c r="E135" s="121" t="str">
        <f aca="false">Insumos!C106</f>
        <v>pacote</v>
      </c>
      <c r="F135" s="121" t="str">
        <f aca="false">Insumos!D106</f>
        <v>Norton</v>
      </c>
      <c r="G135" s="98" t="n">
        <f aca="false">L135</f>
        <v>6</v>
      </c>
      <c r="H135" s="99" t="n">
        <f aca="false">G135*Insumos!G106</f>
        <v>31.8</v>
      </c>
      <c r="I135" s="100" t="str">
        <f aca="false">IF(G135&lt;L135,"Fornecimento inferior ao estimado mensalmente",IF(G135=L135,"Fornecimento igual ao estimado mensalmente",IF(G135&gt;L135,"Fornecimento superior ao estimado mensalmente",)))</f>
        <v>Fornecimento igual ao estimado mensalmente</v>
      </c>
      <c r="J135" s="100"/>
      <c r="K135" s="100"/>
      <c r="L135" s="122" t="n">
        <f aca="false">M135/O135</f>
        <v>6</v>
      </c>
      <c r="M135" s="123" t="n">
        <f aca="false">Insumos!E106</f>
        <v>6</v>
      </c>
      <c r="N135" s="124" t="str">
        <f aca="false">Insumos!F106</f>
        <v>Mensal</v>
      </c>
      <c r="O135" s="104" t="n">
        <f aca="false">IF(N135="MENSAL",1,IF(N135="BIMESTRAL",2,IF(N135="TRIMESTRAL",3,IF(N135="QUADRIMESTRAL",4,IF(N135="SEMESTRAL",6,IF(N135="ANUAL",12,IF(N135="BIENAL",24,"")))))))</f>
        <v>1</v>
      </c>
    </row>
    <row r="136" customFormat="false" ht="40.5" hidden="true" customHeight="true" outlineLevel="0" collapsed="false">
      <c r="A136" s="119" t="n">
        <v>3</v>
      </c>
      <c r="B136" s="120" t="str">
        <f aca="false">Insumos!B107</f>
        <v>Esponja Para Lavagem De Louças E Limpeza Em Geral, Dupla Face Sintética, Um Lado Em Espuma Poliuretano E Outro Em Fibra Sintética Abrasiva, Antibacteriana, Formato Retangular, Medindo Aproximadamente 110mm X 75mm X 20mm De Espessura. Pacote com 4 unidades.</v>
      </c>
      <c r="C136" s="120"/>
      <c r="D136" s="120"/>
      <c r="E136" s="121" t="str">
        <f aca="false">Insumos!C107</f>
        <v>pacote</v>
      </c>
      <c r="F136" s="121" t="str">
        <f aca="false">Insumos!D107</f>
        <v>Detailer</v>
      </c>
      <c r="G136" s="98" t="n">
        <f aca="false">L136</f>
        <v>1</v>
      </c>
      <c r="H136" s="99" t="n">
        <f aca="false">G136*Insumos!G107</f>
        <v>6.4</v>
      </c>
      <c r="I136" s="100" t="str">
        <f aca="false">IF(G136&lt;L136,"Fornecimento inferior ao estimado mensalmente",IF(G136=L136,"Fornecimento igual ao estimado mensalmente",IF(G136&gt;L136,"Fornecimento superior ao estimado mensalmente",)))</f>
        <v>Fornecimento igual ao estimado mensalmente</v>
      </c>
      <c r="J136" s="100"/>
      <c r="K136" s="100"/>
      <c r="L136" s="122" t="n">
        <f aca="false">M136/O136</f>
        <v>1</v>
      </c>
      <c r="M136" s="123" t="n">
        <f aca="false">Insumos!E107</f>
        <v>1</v>
      </c>
      <c r="N136" s="124" t="str">
        <f aca="false">Insumos!F107</f>
        <v>Mensal</v>
      </c>
      <c r="O136" s="104" t="n">
        <f aca="false">IF(N136="MENSAL",1,IF(N136="BIMESTRAL",2,IF(N136="TRIMESTRAL",3,IF(N136="QUADRIMESTRAL",4,IF(N136="SEMESTRAL",6,IF(N136="ANUAL",12,IF(N136="BIENAL",24,"")))))))</f>
        <v>1</v>
      </c>
    </row>
    <row r="137" customFormat="false" ht="27.75" hidden="true" customHeight="true" outlineLevel="0" collapsed="false">
      <c r="A137" s="119" t="n">
        <v>4</v>
      </c>
      <c r="B137" s="120" t="str">
        <f aca="false">Insumos!B108</f>
        <v>Limpa Pneu - aspecto físico líquido, composição glicerina, tensoativos, pigmentos, água, aplicação em superfícies emborrachadas e similares, frasco 500ml</v>
      </c>
      <c r="C137" s="120"/>
      <c r="D137" s="120"/>
      <c r="E137" s="121" t="str">
        <f aca="false">Insumos!C108</f>
        <v>Unid.</v>
      </c>
      <c r="F137" s="121" t="str">
        <f aca="false">Insumos!D108</f>
        <v>Tecbril</v>
      </c>
      <c r="G137" s="98" t="n">
        <f aca="false">L137</f>
        <v>1.66666666666667</v>
      </c>
      <c r="H137" s="99" t="n">
        <f aca="false">G137*Insumos!G108</f>
        <v>18.5833333333333</v>
      </c>
      <c r="I137" s="100" t="str">
        <f aca="false">IF(G137&lt;L137,"Fornecimento inferior ao estimado mensalmente",IF(G137=L137,"Fornecimento igual ao estimado mensalmente",IF(G137&gt;L137,"Fornecimento superior ao estimado mensalmente",)))</f>
        <v>Fornecimento igual ao estimado mensalmente</v>
      </c>
      <c r="J137" s="100"/>
      <c r="K137" s="100"/>
      <c r="L137" s="122" t="n">
        <f aca="false">M137/O137</f>
        <v>1.66666666666667</v>
      </c>
      <c r="M137" s="123" t="n">
        <f aca="false">Insumos!E108</f>
        <v>10</v>
      </c>
      <c r="N137" s="124" t="str">
        <f aca="false">Insumos!F108</f>
        <v>Semestral</v>
      </c>
      <c r="O137" s="104" t="n">
        <f aca="false">IF(N137="MENSAL",1,IF(N137="BIMESTRAL",2,IF(N137="TRIMESTRAL",3,IF(N137="QUADRIMESTRAL",4,IF(N137="SEMESTRAL",6,IF(N137="ANUAL",12,IF(N137="BIENAL",24,"")))))))</f>
        <v>6</v>
      </c>
    </row>
    <row r="138" customFormat="false" ht="45" hidden="true" customHeight="true" outlineLevel="0" collapsed="false">
      <c r="A138" s="119" t="n">
        <v>5</v>
      </c>
      <c r="B138" s="120" t="str">
        <f aca="false">Insumos!B109</f>
        <v>Shampoo Automotivo - 5 LITROS Especificações Mínimas: tipo neutro; produto concentrado 1 x 40; composto de tensoativo aniônico, coadjuvante, conservante, corante e veículo; produto com validade de 12 (doze) meses. Produto com registro/notificação/isenção na ANVISA/MS.</v>
      </c>
      <c r="C138" s="120"/>
      <c r="D138" s="120"/>
      <c r="E138" s="121" t="str">
        <f aca="false">Insumos!C109</f>
        <v>galão</v>
      </c>
      <c r="F138" s="121" t="str">
        <f aca="false">Insumos!D109</f>
        <v>Detersid</v>
      </c>
      <c r="G138" s="98" t="n">
        <f aca="false">L138</f>
        <v>0.333333333333333</v>
      </c>
      <c r="H138" s="99" t="n">
        <f aca="false">G138*Insumos!G109</f>
        <v>8.83333333333333</v>
      </c>
      <c r="I138" s="100" t="str">
        <f aca="false">IF(G138&lt;L138,"Fornecimento inferior ao estimado mensalmente",IF(G138=L138,"Fornecimento igual ao estimado mensalmente",IF(G138&gt;L138,"Fornecimento superior ao estimado mensalmente",)))</f>
        <v>Fornecimento igual ao estimado mensalmente</v>
      </c>
      <c r="J138" s="100"/>
      <c r="K138" s="100"/>
      <c r="L138" s="122" t="n">
        <f aca="false">M138/O138</f>
        <v>0.333333333333333</v>
      </c>
      <c r="M138" s="123" t="n">
        <f aca="false">Insumos!E109</f>
        <v>1</v>
      </c>
      <c r="N138" s="124" t="str">
        <f aca="false">Insumos!F109</f>
        <v>Trimestral</v>
      </c>
      <c r="O138" s="104" t="n">
        <f aca="false">IF(N138="MENSAL",1,IF(N138="BIMESTRAL",2,IF(N138="TRIMESTRAL",3,IF(N138="QUADRIMESTRAL",4,IF(N138="SEMESTRAL",6,IF(N138="ANUAL",12,IF(N138="BIENAL",24,"")))))))</f>
        <v>3</v>
      </c>
    </row>
    <row r="139" customFormat="false" ht="30" hidden="true" customHeight="true" outlineLevel="0" collapsed="false">
      <c r="A139" s="119" t="n">
        <v>6</v>
      </c>
      <c r="B139" s="120" t="str">
        <f aca="false">Insumos!B110</f>
        <v>Toalha Mágica - Pano Limpeza Material: Microfibra. Aplicação: Uso Geral, Comprimento aprox. 66cm x 43cm, Tipo: Toalha, Características Adicionais: Alto Grau Absorção.</v>
      </c>
      <c r="C139" s="120"/>
      <c r="D139" s="120"/>
      <c r="E139" s="121" t="str">
        <f aca="false">Insumos!C110</f>
        <v>unid.</v>
      </c>
      <c r="F139" s="121" t="str">
        <f aca="false">Insumos!D110</f>
        <v>Detailer</v>
      </c>
      <c r="G139" s="98" t="n">
        <f aca="false">L139</f>
        <v>3</v>
      </c>
      <c r="H139" s="99" t="n">
        <f aca="false">G139*Insumos!G110</f>
        <v>63.75</v>
      </c>
      <c r="I139" s="100" t="str">
        <f aca="false">IF(G139&lt;L139,"Fornecimento inferior ao estimado mensalmente",IF(G139=L139,"Fornecimento igual ao estimado mensalmente",IF(G139&gt;L139,"Fornecimento superior ao estimado mensalmente",)))</f>
        <v>Fornecimento igual ao estimado mensalmente</v>
      </c>
      <c r="J139" s="100"/>
      <c r="K139" s="100"/>
      <c r="L139" s="122" t="n">
        <f aca="false">M139/O139</f>
        <v>3</v>
      </c>
      <c r="M139" s="123" t="n">
        <f aca="false">Insumos!E110</f>
        <v>3</v>
      </c>
      <c r="N139" s="124" t="str">
        <f aca="false">Insumos!F110</f>
        <v>Mensal</v>
      </c>
      <c r="O139" s="104" t="n">
        <f aca="false">IF(N139="MENSAL",1,IF(N139="BIMESTRAL",2,IF(N139="TRIMESTRAL",3,IF(N139="QUADRIMESTRAL",4,IF(N139="SEMESTRAL",6,IF(N139="ANUAL",12,IF(N139="BIENAL",24,"")))))))</f>
        <v>1</v>
      </c>
    </row>
    <row r="140" customFormat="false" ht="15" hidden="true" customHeight="true" outlineLevel="0" collapsed="false">
      <c r="A140" s="87" t="s">
        <v>69</v>
      </c>
      <c r="B140" s="87"/>
      <c r="C140" s="87"/>
      <c r="D140" s="87"/>
      <c r="E140" s="87"/>
      <c r="F140" s="87"/>
      <c r="G140" s="87"/>
      <c r="H140" s="125" t="n">
        <f aca="false">SUM(H134:H139)</f>
        <v>155.816666666667</v>
      </c>
      <c r="I140" s="107"/>
      <c r="J140" s="107"/>
      <c r="K140" s="1"/>
      <c r="L140" s="108"/>
      <c r="M140" s="86"/>
      <c r="N140" s="108"/>
      <c r="P140" s="4"/>
      <c r="Q140" s="4"/>
      <c r="V140" s="1"/>
    </row>
    <row r="141" customFormat="false" ht="15" hidden="true" customHeight="true" outlineLevel="0" collapsed="false">
      <c r="A141" s="109" t="s">
        <v>70</v>
      </c>
      <c r="B141" s="109"/>
      <c r="C141" s="109"/>
      <c r="D141" s="109"/>
      <c r="E141" s="109"/>
      <c r="F141" s="109"/>
      <c r="G141" s="110" t="n">
        <f aca="false">Dados!$G$49</f>
        <v>0.07</v>
      </c>
      <c r="H141" s="111" t="n">
        <f aca="false">ROUND((H140*G141),2)</f>
        <v>10.91</v>
      </c>
      <c r="I141" s="108"/>
      <c r="J141" s="108"/>
      <c r="K141" s="1"/>
      <c r="L141" s="108"/>
      <c r="M141" s="108"/>
      <c r="N141" s="108"/>
      <c r="P141" s="4"/>
      <c r="Q141" s="4"/>
      <c r="V141" s="1"/>
    </row>
    <row r="142" customFormat="false" ht="15" hidden="true" customHeight="true" outlineLevel="0" collapsed="false">
      <c r="A142" s="109" t="s">
        <v>71</v>
      </c>
      <c r="B142" s="109"/>
      <c r="C142" s="109"/>
      <c r="D142" s="109"/>
      <c r="E142" s="109"/>
      <c r="F142" s="109"/>
      <c r="G142" s="110" t="n">
        <f aca="false">Dados!$G$50</f>
        <v>0.0369</v>
      </c>
      <c r="H142" s="111" t="n">
        <f aca="false">ROUND((SUM(H140:H141)*G142),2)</f>
        <v>6.15</v>
      </c>
      <c r="I142" s="108"/>
      <c r="J142" s="108"/>
      <c r="K142" s="1"/>
      <c r="L142" s="108"/>
      <c r="M142" s="108"/>
      <c r="N142" s="108"/>
      <c r="P142" s="4"/>
      <c r="Q142" s="4"/>
      <c r="V142" s="1"/>
    </row>
    <row r="143" customFormat="false" ht="15" hidden="true" customHeight="true" outlineLevel="0" collapsed="false">
      <c r="A143" s="109" t="s">
        <v>72</v>
      </c>
      <c r="B143" s="109"/>
      <c r="C143" s="109"/>
      <c r="D143" s="109"/>
      <c r="E143" s="109"/>
      <c r="F143" s="109"/>
      <c r="G143" s="110" t="n">
        <f aca="false">Dados!$G$61</f>
        <v>0.1125</v>
      </c>
      <c r="H143" s="111" t="n">
        <f aca="false">ROUND((H144*G143),2)</f>
        <v>21.91</v>
      </c>
      <c r="I143" s="108"/>
      <c r="J143" s="108"/>
      <c r="K143" s="1"/>
      <c r="L143" s="108"/>
      <c r="M143" s="108"/>
      <c r="N143" s="108"/>
      <c r="P143" s="4"/>
      <c r="Q143" s="4"/>
      <c r="V143" s="1"/>
    </row>
    <row r="144" customFormat="false" ht="15.75" hidden="true" customHeight="true" outlineLevel="0" collapsed="false">
      <c r="A144" s="113" t="s">
        <v>79</v>
      </c>
      <c r="B144" s="113"/>
      <c r="C144" s="113"/>
      <c r="D144" s="113"/>
      <c r="E144" s="113"/>
      <c r="F144" s="113"/>
      <c r="G144" s="113"/>
      <c r="H144" s="114" t="n">
        <f aca="false">ROUND((SUM(H140:H142)/(1-G143)),2)</f>
        <v>194.79</v>
      </c>
      <c r="I144" s="108"/>
      <c r="J144" s="108"/>
      <c r="K144" s="1"/>
      <c r="L144" s="108"/>
      <c r="M144" s="108"/>
      <c r="N144" s="108"/>
      <c r="P144" s="4"/>
      <c r="Q144" s="4"/>
      <c r="V144" s="1"/>
    </row>
    <row r="145" customFormat="false" ht="15" hidden="false" customHeight="false" outlineLevel="0" collapsed="false">
      <c r="A145" s="115"/>
      <c r="B145" s="86"/>
      <c r="C145" s="86"/>
      <c r="D145" s="86"/>
      <c r="E145" s="116"/>
      <c r="F145" s="116"/>
      <c r="G145" s="115"/>
      <c r="H145" s="86"/>
      <c r="I145" s="108"/>
      <c r="J145" s="108"/>
      <c r="K145" s="1"/>
      <c r="L145" s="108"/>
      <c r="M145" s="108"/>
      <c r="N145" s="108"/>
      <c r="P145" s="4"/>
      <c r="Q145" s="4"/>
      <c r="V145" s="1"/>
    </row>
    <row r="146" customFormat="false" ht="15" hidden="false" customHeight="false" outlineLevel="0" collapsed="false">
      <c r="A146" s="115"/>
      <c r="B146" s="86"/>
      <c r="C146" s="86"/>
      <c r="D146" s="86"/>
      <c r="E146" s="116"/>
      <c r="F146" s="116"/>
      <c r="G146" s="115"/>
      <c r="H146" s="86"/>
      <c r="I146" s="108"/>
      <c r="J146" s="108"/>
      <c r="K146" s="1"/>
      <c r="L146" s="108"/>
      <c r="M146" s="108"/>
      <c r="N146" s="108"/>
      <c r="P146" s="4"/>
      <c r="Q146" s="4"/>
      <c r="V146" s="1"/>
    </row>
    <row r="147" customFormat="false" ht="15" hidden="true" customHeight="false" outlineLevel="0" collapsed="false"/>
    <row r="148" customFormat="false" ht="15" hidden="true" customHeight="false" outlineLevel="0" collapsed="false">
      <c r="B148" s="126" t="s">
        <v>80</v>
      </c>
      <c r="C148" s="126"/>
    </row>
    <row r="149" customFormat="false" ht="15" hidden="true" customHeight="false" outlineLevel="0" collapsed="false">
      <c r="B149" s="127" t="s">
        <v>81</v>
      </c>
      <c r="C149" s="128" t="n">
        <v>22</v>
      </c>
      <c r="D149" s="1" t="s">
        <v>82</v>
      </c>
    </row>
    <row r="150" customFormat="false" ht="15" hidden="true" customHeight="false" outlineLevel="0" collapsed="false">
      <c r="B150" s="127" t="s">
        <v>3</v>
      </c>
      <c r="C150" s="129" t="n">
        <v>30</v>
      </c>
      <c r="D150" s="1" t="s">
        <v>83</v>
      </c>
    </row>
    <row r="151" customFormat="false" ht="15" hidden="true" customHeight="false" outlineLevel="0" collapsed="false">
      <c r="B151" s="127" t="s">
        <v>84</v>
      </c>
      <c r="C151" s="129" t="s">
        <v>85</v>
      </c>
      <c r="D151" s="1" t="s">
        <v>86</v>
      </c>
    </row>
    <row r="152" customFormat="false" ht="15" hidden="true" customHeight="false" outlineLevel="0" collapsed="false"/>
    <row r="153" customFormat="false" ht="15" hidden="true" customHeight="false" outlineLevel="0" collapsed="false">
      <c r="B153" s="127" t="s">
        <v>87</v>
      </c>
      <c r="C153" s="127" t="s">
        <v>88</v>
      </c>
    </row>
    <row r="154" customFormat="false" ht="15" hidden="true" customHeight="false" outlineLevel="0" collapsed="false">
      <c r="B154" s="127" t="n">
        <v>220</v>
      </c>
      <c r="C154" s="127" t="n">
        <v>8.8</v>
      </c>
    </row>
    <row r="155" customFormat="false" ht="15" hidden="true" customHeight="false" outlineLevel="0" collapsed="false">
      <c r="B155" s="127" t="n">
        <v>200</v>
      </c>
      <c r="C155" s="127" t="n">
        <v>8</v>
      </c>
    </row>
    <row r="156" customFormat="false" ht="15" hidden="true" customHeight="false" outlineLevel="0" collapsed="false">
      <c r="B156" s="127" t="n">
        <v>180</v>
      </c>
      <c r="C156" s="127" t="n">
        <v>7.2</v>
      </c>
    </row>
    <row r="157" customFormat="false" ht="15" hidden="true" customHeight="false" outlineLevel="0" collapsed="false">
      <c r="B157" s="127" t="n">
        <v>150</v>
      </c>
      <c r="C157" s="127" t="n">
        <v>6</v>
      </c>
    </row>
    <row r="158" customFormat="false" ht="15" hidden="true" customHeight="false" outlineLevel="0" collapsed="false">
      <c r="B158" s="127" t="n">
        <v>120</v>
      </c>
      <c r="C158" s="127" t="n">
        <v>4.8</v>
      </c>
    </row>
    <row r="159" customFormat="false" ht="15" hidden="true" customHeight="false" outlineLevel="0" collapsed="false">
      <c r="B159" s="127" t="n">
        <v>100</v>
      </c>
      <c r="C159" s="127" t="n">
        <v>4</v>
      </c>
    </row>
    <row r="160" customFormat="false" ht="15" hidden="true" customHeight="false" outlineLevel="0" collapsed="false">
      <c r="B160" s="127" t="n">
        <v>75</v>
      </c>
      <c r="C160" s="127" t="n">
        <v>3</v>
      </c>
    </row>
    <row r="161" customFormat="false" ht="15" hidden="true" customHeight="false" outlineLevel="0" collapsed="false"/>
    <row r="162" customFormat="false" ht="15" hidden="true" customHeight="false" outlineLevel="0" collapsed="false">
      <c r="B162" s="127" t="s">
        <v>89</v>
      </c>
    </row>
    <row r="163" customFormat="false" ht="15" hidden="true" customHeight="false" outlineLevel="0" collapsed="false">
      <c r="B163" s="130" t="n">
        <v>0</v>
      </c>
    </row>
    <row r="164" customFormat="false" ht="15" hidden="true" customHeight="false" outlineLevel="0" collapsed="false">
      <c r="B164" s="130" t="n">
        <v>1</v>
      </c>
    </row>
    <row r="165" customFormat="false" ht="15" hidden="true" customHeight="false" outlineLevel="0" collapsed="false">
      <c r="B165" s="130" t="n">
        <v>2</v>
      </c>
    </row>
    <row r="166" customFormat="false" ht="15" hidden="true" customHeight="false" outlineLevel="0" collapsed="false"/>
  </sheetData>
  <sheetProtection algorithmName="SHA-512" hashValue="r3bsfECAyDYelHYGpk8I6UcUzsNvdAPOvx97ZOoczQ55QDwQoYmsTd/CaWjsOfppUDXgiT6vIp+HRc7Tj6oA3g==" saltValue="XQ0IvGfdYc8IX5hZMbArNg==" spinCount="100000" sheet="true" objects="true" scenarios="true"/>
  <mergeCells count="237">
    <mergeCell ref="C2:S2"/>
    <mergeCell ref="C3:S3"/>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U9"/>
    <mergeCell ref="A21:G21"/>
    <mergeCell ref="I21:J21"/>
    <mergeCell ref="A24:B25"/>
    <mergeCell ref="A26:F27"/>
    <mergeCell ref="A30:A31"/>
    <mergeCell ref="B30:E30"/>
    <mergeCell ref="F30:H30"/>
    <mergeCell ref="I30:K31"/>
    <mergeCell ref="L30:O30"/>
    <mergeCell ref="B31:D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B58:D58"/>
    <mergeCell ref="I58:K58"/>
    <mergeCell ref="B59:D59"/>
    <mergeCell ref="I59:K59"/>
    <mergeCell ref="B60:D60"/>
    <mergeCell ref="I60:K60"/>
    <mergeCell ref="B61:D61"/>
    <mergeCell ref="I61:K61"/>
    <mergeCell ref="B62:D62"/>
    <mergeCell ref="I62:K62"/>
    <mergeCell ref="B63:D63"/>
    <mergeCell ref="I63:K63"/>
    <mergeCell ref="B64:D64"/>
    <mergeCell ref="I64:K64"/>
    <mergeCell ref="B65:D65"/>
    <mergeCell ref="I65:K65"/>
    <mergeCell ref="B66:D66"/>
    <mergeCell ref="I66:K66"/>
    <mergeCell ref="B67:D67"/>
    <mergeCell ref="I67:K67"/>
    <mergeCell ref="B68:D68"/>
    <mergeCell ref="I68:K68"/>
    <mergeCell ref="B69:D69"/>
    <mergeCell ref="I69:K69"/>
    <mergeCell ref="B70:D70"/>
    <mergeCell ref="I70:K70"/>
    <mergeCell ref="B71:D71"/>
    <mergeCell ref="I71:K71"/>
    <mergeCell ref="B72:D72"/>
    <mergeCell ref="I72:K72"/>
    <mergeCell ref="B73:D73"/>
    <mergeCell ref="I73:K73"/>
    <mergeCell ref="B74:D74"/>
    <mergeCell ref="I74:K74"/>
    <mergeCell ref="B75:D75"/>
    <mergeCell ref="I75:K75"/>
    <mergeCell ref="B76:D76"/>
    <mergeCell ref="I76:K76"/>
    <mergeCell ref="B77:D77"/>
    <mergeCell ref="I77:K77"/>
    <mergeCell ref="B78:D78"/>
    <mergeCell ref="I78:K78"/>
    <mergeCell ref="B79:D79"/>
    <mergeCell ref="I79:K79"/>
    <mergeCell ref="B80:D80"/>
    <mergeCell ref="I80:K80"/>
    <mergeCell ref="B81:D81"/>
    <mergeCell ref="I81:K81"/>
    <mergeCell ref="B82:D82"/>
    <mergeCell ref="I82:K82"/>
    <mergeCell ref="B83:D83"/>
    <mergeCell ref="I83:K83"/>
    <mergeCell ref="B84:D84"/>
    <mergeCell ref="I84:K84"/>
    <mergeCell ref="A85:G85"/>
    <mergeCell ref="A86:F86"/>
    <mergeCell ref="A87:F87"/>
    <mergeCell ref="A88:F88"/>
    <mergeCell ref="A89:G89"/>
    <mergeCell ref="A91:A92"/>
    <mergeCell ref="B91:E91"/>
    <mergeCell ref="F91:H91"/>
    <mergeCell ref="I91:K92"/>
    <mergeCell ref="L91:O91"/>
    <mergeCell ref="B92:D92"/>
    <mergeCell ref="B93:D93"/>
    <mergeCell ref="I93:K93"/>
    <mergeCell ref="B94:D94"/>
    <mergeCell ref="I94:K94"/>
    <mergeCell ref="B95:D95"/>
    <mergeCell ref="I95:K95"/>
    <mergeCell ref="B96:D96"/>
    <mergeCell ref="I96:K96"/>
    <mergeCell ref="B97:D97"/>
    <mergeCell ref="I97:K97"/>
    <mergeCell ref="B98:D98"/>
    <mergeCell ref="I98:K98"/>
    <mergeCell ref="B99:D99"/>
    <mergeCell ref="I99:K99"/>
    <mergeCell ref="B100:D100"/>
    <mergeCell ref="I100:K100"/>
    <mergeCell ref="B101:D101"/>
    <mergeCell ref="I101:K101"/>
    <mergeCell ref="B102:D102"/>
    <mergeCell ref="I102:K102"/>
    <mergeCell ref="B103:D103"/>
    <mergeCell ref="I103:K103"/>
    <mergeCell ref="B104:D104"/>
    <mergeCell ref="I104:K104"/>
    <mergeCell ref="B105:D105"/>
    <mergeCell ref="I105:K105"/>
    <mergeCell ref="B106:D106"/>
    <mergeCell ref="I106:K106"/>
    <mergeCell ref="B107:D107"/>
    <mergeCell ref="I107:K107"/>
    <mergeCell ref="A108:G108"/>
    <mergeCell ref="A109:F109"/>
    <mergeCell ref="A110:F110"/>
    <mergeCell ref="A111:F111"/>
    <mergeCell ref="A112:G112"/>
    <mergeCell ref="A114:A115"/>
    <mergeCell ref="B114:E114"/>
    <mergeCell ref="F114:H114"/>
    <mergeCell ref="I114:K115"/>
    <mergeCell ref="L114:O114"/>
    <mergeCell ref="B115:D115"/>
    <mergeCell ref="B116:D116"/>
    <mergeCell ref="I116:K116"/>
    <mergeCell ref="B117:D117"/>
    <mergeCell ref="I117:K117"/>
    <mergeCell ref="B118:D118"/>
    <mergeCell ref="I118:K118"/>
    <mergeCell ref="B119:D119"/>
    <mergeCell ref="I119:K119"/>
    <mergeCell ref="B120:D120"/>
    <mergeCell ref="I120:K120"/>
    <mergeCell ref="B121:D121"/>
    <mergeCell ref="I121:K121"/>
    <mergeCell ref="B122:D122"/>
    <mergeCell ref="I122:K122"/>
    <mergeCell ref="B123:D123"/>
    <mergeCell ref="I123:K123"/>
    <mergeCell ref="B124:D124"/>
    <mergeCell ref="I124:K124"/>
    <mergeCell ref="B125:D125"/>
    <mergeCell ref="I125:K125"/>
    <mergeCell ref="A126:G126"/>
    <mergeCell ref="A127:F127"/>
    <mergeCell ref="A128:F128"/>
    <mergeCell ref="A129:F129"/>
    <mergeCell ref="A130:G130"/>
    <mergeCell ref="A132:A133"/>
    <mergeCell ref="B132:E132"/>
    <mergeCell ref="F132:H132"/>
    <mergeCell ref="I132:K133"/>
    <mergeCell ref="L132:O132"/>
    <mergeCell ref="B133:D133"/>
    <mergeCell ref="B134:D134"/>
    <mergeCell ref="I134:K134"/>
    <mergeCell ref="B135:D135"/>
    <mergeCell ref="I135:K135"/>
    <mergeCell ref="B136:D136"/>
    <mergeCell ref="I136:K136"/>
    <mergeCell ref="B137:D137"/>
    <mergeCell ref="I137:K137"/>
    <mergeCell ref="B138:D138"/>
    <mergeCell ref="I138:K138"/>
    <mergeCell ref="B139:D139"/>
    <mergeCell ref="I139:K139"/>
    <mergeCell ref="A140:G140"/>
    <mergeCell ref="A141:F141"/>
    <mergeCell ref="A142:F142"/>
    <mergeCell ref="A143:F143"/>
    <mergeCell ref="A144:G144"/>
    <mergeCell ref="B148:C148"/>
  </mergeCells>
  <conditionalFormatting sqref="I32:I84 I93:I107 I116:I125 I134:I139">
    <cfRule type="containsText" priority="2" operator="containsText" aboveAverage="0" equalAverage="0" bottom="0" percent="0" rank="0" text="inferior" dxfId="0">
      <formula>NOT(ISERROR(SEARCH("inferior",I32)))</formula>
    </cfRule>
    <cfRule type="containsText" priority="3" operator="containsText" aboveAverage="0" equalAverage="0" bottom="0" percent="0" rank="0" text="superior" dxfId="1">
      <formula>NOT(ISERROR(SEARCH("superior",I32)))</formula>
    </cfRule>
  </conditionalFormatting>
  <dataValidations count="4">
    <dataValidation allowBlank="true" errorStyle="stop" operator="between" showDropDown="false" showErrorMessage="true" showInputMessage="true" sqref="N32:N84 N93:N107 N116:N125 N134:N139" type="list">
      <formula1>"Mensal,Bimestral,Trimestral,Quadrimestral,Semestral,Anual,Bienal"</formula1>
      <formula2>0</formula2>
    </dataValidation>
    <dataValidation allowBlank="true" errorStyle="stop" operator="between" showDropDown="false" showErrorMessage="true" showInputMessage="true" sqref="C25" type="list">
      <formula1>$B$154:$B$160</formula1>
      <formula2>0</formula2>
    </dataValidation>
    <dataValidation allowBlank="true" errorStyle="stop" operator="between" showDropDown="false" showErrorMessage="true" showInputMessage="true" sqref="D5" type="list">
      <formula1>$B$149:$B$151</formula1>
      <formula2>0</formula2>
    </dataValidation>
    <dataValidation allowBlank="true" errorStyle="stop" operator="between" showDropDown="false" showErrorMessage="true" showInputMessage="true" sqref="E11:E20" type="list">
      <formula1>"SIM,NÃO"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654" width="7.29"/>
    <col collapsed="false" customWidth="false" hidden="false" outlineLevel="0" max="3" min="2" style="654" width="9.14"/>
    <col collapsed="false" customWidth="true" hidden="false" outlineLevel="0" max="4" min="4" style="654" width="33"/>
    <col collapsed="false" customWidth="true" hidden="false" outlineLevel="0" max="5" min="5" style="654" width="9.42"/>
    <col collapsed="false" customWidth="true" hidden="false" outlineLevel="0" max="7" min="6" style="654" width="12.42"/>
    <col collapsed="false" customWidth="true" hidden="false" outlineLevel="0" max="8" min="8" style="654" width="12.57"/>
    <col collapsed="false" customWidth="false" hidden="false" outlineLevel="0" max="12" min="9" style="654" width="9.14"/>
    <col collapsed="false" customWidth="true" hidden="false" outlineLevel="0" max="13" min="13" style="654" width="10.29"/>
    <col collapsed="false" customWidth="true" hidden="false" outlineLevel="0" max="14" min="14" style="654" width="13.42"/>
    <col collapsed="false" customWidth="true" hidden="false" outlineLevel="0" max="15" min="15" style="654" width="10"/>
    <col collapsed="false" customWidth="false" hidden="false" outlineLevel="0" max="1022" min="16" style="654" width="9.14"/>
  </cols>
  <sheetData>
    <row r="1" customFormat="false" ht="15" hidden="false" customHeight="false" outlineLevel="0" collapsed="false">
      <c r="A1" s="133"/>
      <c r="B1" s="134" t="str">
        <f aca="false">INSTRUÇÕES!B1</f>
        <v>Tribunal Regional Federal da 6ª Região</v>
      </c>
      <c r="C1" s="134"/>
      <c r="D1" s="134"/>
      <c r="E1" s="134"/>
      <c r="F1" s="134"/>
      <c r="G1" s="134"/>
      <c r="H1" s="134"/>
    </row>
    <row r="2" customFormat="false" ht="15" hidden="false" customHeight="false" outlineLevel="0" collapsed="false">
      <c r="A2" s="135"/>
      <c r="B2" s="136" t="str">
        <f aca="false">INSTRUÇÕES!B2</f>
        <v>Seção Judiciária de Minas Gerais</v>
      </c>
      <c r="C2" s="136"/>
      <c r="D2" s="136"/>
      <c r="E2" s="136"/>
      <c r="F2" s="136"/>
      <c r="G2" s="136"/>
      <c r="H2" s="136"/>
    </row>
    <row r="3" customFormat="false" ht="15" hidden="false" customHeight="false" outlineLevel="0" collapsed="false">
      <c r="A3" s="135"/>
      <c r="B3" s="137" t="str">
        <f aca="false">INSTRUÇÕES!B3</f>
        <v>Subseção Judiciária de Uberlândia</v>
      </c>
      <c r="C3" s="655"/>
      <c r="D3" s="655"/>
      <c r="E3" s="655"/>
      <c r="F3" s="655"/>
      <c r="G3" s="655"/>
      <c r="H3" s="655"/>
    </row>
    <row r="4" s="657" customFormat="true" ht="32.25" hidden="false" customHeight="true" outlineLevel="0" collapsed="false">
      <c r="A4" s="656" t="s">
        <v>669</v>
      </c>
      <c r="B4" s="656"/>
      <c r="C4" s="656"/>
      <c r="D4" s="656"/>
      <c r="E4" s="656"/>
      <c r="F4" s="656"/>
      <c r="G4" s="656"/>
      <c r="H4" s="656"/>
      <c r="I4" s="656"/>
      <c r="J4" s="656"/>
      <c r="K4" s="656"/>
      <c r="L4" s="656"/>
      <c r="M4" s="656"/>
      <c r="N4" s="656"/>
      <c r="O4" s="656"/>
    </row>
    <row r="5" s="664" customFormat="true" ht="46.5" hidden="false" customHeight="true" outlineLevel="0" collapsed="false">
      <c r="A5" s="658" t="s">
        <v>670</v>
      </c>
      <c r="B5" s="658"/>
      <c r="C5" s="658"/>
      <c r="D5" s="658"/>
      <c r="E5" s="659" t="s">
        <v>671</v>
      </c>
      <c r="F5" s="660" t="str">
        <f aca="false">Dados!C7</f>
        <v>Assistente Administrativo</v>
      </c>
      <c r="G5" s="660" t="s">
        <v>672</v>
      </c>
      <c r="H5" s="661" t="str">
        <f aca="false">Dados!C9</f>
        <v>Recepcionista</v>
      </c>
      <c r="I5" s="662" t="str">
        <f aca="false">Dados!C16</f>
        <v>Copeira</v>
      </c>
      <c r="J5" s="662" t="str">
        <f aca="false">Dados!C10</f>
        <v>Servente de Limpeza insalubridade (20%)</v>
      </c>
      <c r="K5" s="662" t="str">
        <f aca="false">Dados!C11</f>
        <v>Limpador de Vidro</v>
      </c>
      <c r="L5" s="662" t="str">
        <f aca="false">Dados!C12</f>
        <v>Servente de Limpeza</v>
      </c>
      <c r="M5" s="662" t="str">
        <f aca="false">Dados!C13</f>
        <v>Servente de Limpeza insalubridade (40%)</v>
      </c>
      <c r="N5" s="662" t="str">
        <f aca="false">Dados!C14</f>
        <v>Zelador acúmulo de função Lavador de Carro e Jardineiro</v>
      </c>
      <c r="O5" s="663" t="str">
        <f aca="false">Dados!C15</f>
        <v>Encarregado Geral</v>
      </c>
    </row>
    <row r="6" s="668" customFormat="true" ht="22.5" hidden="false" customHeight="true" outlineLevel="0" collapsed="false">
      <c r="A6" s="665" t="s">
        <v>673</v>
      </c>
      <c r="B6" s="666" t="s">
        <v>352</v>
      </c>
      <c r="C6" s="666"/>
      <c r="D6" s="666"/>
      <c r="E6" s="659"/>
      <c r="F6" s="667" t="s">
        <v>674</v>
      </c>
      <c r="G6" s="667"/>
      <c r="H6" s="667"/>
      <c r="I6" s="667"/>
      <c r="J6" s="667" t="s">
        <v>674</v>
      </c>
      <c r="K6" s="667"/>
      <c r="L6" s="667"/>
      <c r="M6" s="667"/>
      <c r="N6" s="667"/>
      <c r="O6" s="667"/>
    </row>
    <row r="7" customFormat="false" ht="14.25" hidden="false" customHeight="true" outlineLevel="0" collapsed="false">
      <c r="A7" s="669" t="n">
        <v>1</v>
      </c>
      <c r="B7" s="670" t="s">
        <v>675</v>
      </c>
      <c r="C7" s="670"/>
      <c r="D7" s="670"/>
      <c r="E7" s="670"/>
      <c r="F7" s="671" t="n">
        <f aca="false">Dados!M7</f>
        <v>1654.5</v>
      </c>
      <c r="G7" s="671" t="n">
        <f aca="false">'Assistente Administrativo 200'!F11</f>
        <v>2206</v>
      </c>
      <c r="H7" s="671" t="n">
        <f aca="false">Dados!M9</f>
        <v>1930.21</v>
      </c>
      <c r="I7" s="671" t="n">
        <f aca="false">Dados!M16</f>
        <v>1499.2</v>
      </c>
      <c r="J7" s="671" t="n">
        <f aca="false">Dados!M10</f>
        <v>1802.8</v>
      </c>
      <c r="K7" s="671" t="n">
        <f aca="false">Dados!M11</f>
        <v>1641.76</v>
      </c>
      <c r="L7" s="671" t="n">
        <f aca="false">Dados!M12</f>
        <v>1499.2</v>
      </c>
      <c r="M7" s="671" t="n">
        <f aca="false">Dados!M13</f>
        <v>2106.4</v>
      </c>
      <c r="N7" s="671" t="n">
        <f aca="false">Dados!M14</f>
        <v>2319.97</v>
      </c>
      <c r="O7" s="671" t="n">
        <f aca="false">Dados!M15</f>
        <v>2239.35</v>
      </c>
    </row>
    <row r="8" customFormat="false" ht="15" hidden="false" customHeight="false" outlineLevel="0" collapsed="false">
      <c r="A8" s="672" t="s">
        <v>676</v>
      </c>
      <c r="B8" s="673" t="s">
        <v>353</v>
      </c>
      <c r="C8" s="673"/>
      <c r="D8" s="673"/>
      <c r="E8" s="674" t="n">
        <f aca="false">Encargos!C39</f>
        <v>0.0909</v>
      </c>
      <c r="F8" s="675" t="n">
        <f aca="false">ROUND(F7*$E$8,2)</f>
        <v>150.39</v>
      </c>
      <c r="G8" s="675" t="n">
        <f aca="false">ROUND(G7*$E$8,2)</f>
        <v>200.53</v>
      </c>
      <c r="H8" s="675" t="n">
        <f aca="false">ROUND(H7*$E$8,2)</f>
        <v>175.46</v>
      </c>
      <c r="I8" s="675" t="n">
        <f aca="false">ROUND(I7*$E$8,2)</f>
        <v>136.28</v>
      </c>
      <c r="J8" s="675" t="n">
        <f aca="false">ROUND(J7*$E$8,2)</f>
        <v>163.87</v>
      </c>
      <c r="K8" s="675" t="n">
        <f aca="false">ROUND(K7*$E$8,2)</f>
        <v>149.24</v>
      </c>
      <c r="L8" s="675" t="n">
        <f aca="false">ROUND(L7*$E$8,2)</f>
        <v>136.28</v>
      </c>
      <c r="M8" s="675" t="n">
        <f aca="false">ROUND(M7*$E$8,2)</f>
        <v>191.47</v>
      </c>
      <c r="N8" s="675" t="n">
        <f aca="false">ROUND(N7*$E$8,2)</f>
        <v>210.89</v>
      </c>
      <c r="O8" s="675" t="n">
        <f aca="false">ROUND(O7*$E$8,2)</f>
        <v>203.56</v>
      </c>
    </row>
    <row r="9" customFormat="false" ht="15" hidden="false" customHeight="false" outlineLevel="0" collapsed="false">
      <c r="A9" s="672" t="s">
        <v>677</v>
      </c>
      <c r="B9" s="673" t="s">
        <v>359</v>
      </c>
      <c r="C9" s="673"/>
      <c r="D9" s="673"/>
      <c r="E9" s="676" t="n">
        <f aca="false">E8*Encargos!C18</f>
        <v>0.0361782</v>
      </c>
      <c r="F9" s="675" t="n">
        <f aca="false">ROUND(F7*$E$9,2)</f>
        <v>59.86</v>
      </c>
      <c r="G9" s="675" t="n">
        <f aca="false">ROUND(G7*$E$9,2)</f>
        <v>79.81</v>
      </c>
      <c r="H9" s="675" t="n">
        <f aca="false">ROUND(H7*$E$9,2)</f>
        <v>69.83</v>
      </c>
      <c r="I9" s="675" t="n">
        <f aca="false">ROUND(I7*$E$9,2)</f>
        <v>54.24</v>
      </c>
      <c r="J9" s="675" t="n">
        <f aca="false">ROUND(J7*$E$9,2)</f>
        <v>65.22</v>
      </c>
      <c r="K9" s="675" t="n">
        <f aca="false">ROUND(K7*$E$9,2)</f>
        <v>59.4</v>
      </c>
      <c r="L9" s="675" t="n">
        <f aca="false">ROUND(L7*$E$9,2)</f>
        <v>54.24</v>
      </c>
      <c r="M9" s="675" t="n">
        <f aca="false">ROUND(M7*$E$9,2)</f>
        <v>76.21</v>
      </c>
      <c r="N9" s="675" t="n">
        <f aca="false">ROUND(N7*$E$9,2)</f>
        <v>83.93</v>
      </c>
      <c r="O9" s="675" t="n">
        <f aca="false">ROUND(O7*$E$9,2)</f>
        <v>81.02</v>
      </c>
    </row>
    <row r="10" customFormat="false" ht="12.75" hidden="false" customHeight="true" outlineLevel="0" collapsed="false">
      <c r="A10" s="677" t="s">
        <v>678</v>
      </c>
      <c r="B10" s="677"/>
      <c r="C10" s="677"/>
      <c r="D10" s="677"/>
      <c r="E10" s="678" t="n">
        <f aca="false">SUM(E8:E9)</f>
        <v>0.1270782</v>
      </c>
      <c r="F10" s="679" t="n">
        <f aca="false">SUM(F8:F9)</f>
        <v>210.25</v>
      </c>
      <c r="G10" s="679" t="n">
        <f aca="false">SUM(G8:G9)</f>
        <v>280.34</v>
      </c>
      <c r="H10" s="679" t="n">
        <f aca="false">SUM(H8:H9)</f>
        <v>245.29</v>
      </c>
      <c r="I10" s="679" t="n">
        <f aca="false">SUM(I8:I9)</f>
        <v>190.52</v>
      </c>
      <c r="J10" s="679" t="n">
        <f aca="false">SUM(J8:J9)</f>
        <v>229.09</v>
      </c>
      <c r="K10" s="679" t="n">
        <f aca="false">SUM(K8:K9)</f>
        <v>208.64</v>
      </c>
      <c r="L10" s="679" t="n">
        <f aca="false">SUM(L8:L9)</f>
        <v>190.52</v>
      </c>
      <c r="M10" s="679" t="n">
        <f aca="false">SUM(M8:M9)</f>
        <v>267.68</v>
      </c>
      <c r="N10" s="679" t="n">
        <f aca="false">SUM(N8:N9)</f>
        <v>294.82</v>
      </c>
      <c r="O10" s="679" t="n">
        <f aca="false">SUM(O8:O9)</f>
        <v>284.58</v>
      </c>
    </row>
    <row r="11" customFormat="false" ht="12.75" hidden="false" customHeight="true" outlineLevel="0" collapsed="false">
      <c r="A11" s="677" t="s">
        <v>679</v>
      </c>
      <c r="B11" s="677"/>
      <c r="C11" s="677"/>
      <c r="D11" s="677"/>
      <c r="E11" s="677"/>
      <c r="F11" s="679" t="n">
        <f aca="false">F10*12</f>
        <v>2523</v>
      </c>
      <c r="G11" s="679" t="n">
        <f aca="false">G10*12</f>
        <v>3364.08</v>
      </c>
      <c r="H11" s="679" t="n">
        <f aca="false">H10*12</f>
        <v>2943.48</v>
      </c>
      <c r="I11" s="679" t="n">
        <f aca="false">I10*12</f>
        <v>2286.24</v>
      </c>
      <c r="J11" s="679" t="n">
        <f aca="false">J10*12</f>
        <v>2749.08</v>
      </c>
      <c r="K11" s="679" t="n">
        <f aca="false">K10*12</f>
        <v>2503.68</v>
      </c>
      <c r="L11" s="679" t="n">
        <f aca="false">L10*12</f>
        <v>2286.24</v>
      </c>
      <c r="M11" s="679" t="n">
        <f aca="false">M10*12</f>
        <v>3212.16</v>
      </c>
      <c r="N11" s="679" t="n">
        <f aca="false">N10*12</f>
        <v>3537.84</v>
      </c>
      <c r="O11" s="679" t="n">
        <f aca="false">O10*12</f>
        <v>3414.96</v>
      </c>
    </row>
    <row r="12" customFormat="false" ht="15" hidden="false" customHeight="false" outlineLevel="0" collapsed="false">
      <c r="A12" s="680" t="n">
        <v>2</v>
      </c>
      <c r="B12" s="681" t="s">
        <v>680</v>
      </c>
      <c r="C12" s="681"/>
      <c r="D12" s="681"/>
      <c r="E12" s="681"/>
      <c r="F12" s="680" t="s">
        <v>390</v>
      </c>
      <c r="G12" s="680"/>
      <c r="H12" s="680"/>
      <c r="I12" s="680"/>
      <c r="J12" s="680" t="s">
        <v>674</v>
      </c>
      <c r="K12" s="680"/>
      <c r="L12" s="680"/>
      <c r="M12" s="680"/>
      <c r="N12" s="680"/>
      <c r="O12" s="680"/>
    </row>
    <row r="13" customFormat="false" ht="15" hidden="false" customHeight="false" outlineLevel="0" collapsed="false">
      <c r="A13" s="682" t="s">
        <v>676</v>
      </c>
      <c r="B13" s="683" t="s">
        <v>681</v>
      </c>
      <c r="C13" s="683"/>
      <c r="D13" s="683"/>
      <c r="E13" s="684"/>
      <c r="F13" s="685" t="n">
        <f aca="false">'Assistente Administrativo 150'!F23</f>
        <v>387.79</v>
      </c>
      <c r="G13" s="685" t="n">
        <f aca="false">'Assistente Administrativo 200'!E23</f>
        <v>387.79</v>
      </c>
      <c r="H13" s="685" t="n">
        <f aca="false">'Recepcionista 150'!F23</f>
        <v>387.79</v>
      </c>
      <c r="I13" s="686" t="n">
        <f aca="false">'Copeira 200'!F23</f>
        <v>387.79</v>
      </c>
      <c r="J13" s="686" t="n">
        <f aca="false">'Servente Limpeza - Insal. (20%)'!F23</f>
        <v>387.79</v>
      </c>
      <c r="K13" s="686" t="n">
        <f aca="false">'Limpador de Vidro'!F23</f>
        <v>387.79</v>
      </c>
      <c r="L13" s="686" t="n">
        <f aca="false">'Servente Limpeza 200h'!F23</f>
        <v>387.79</v>
      </c>
      <c r="M13" s="686" t="n">
        <f aca="false">'Servente Limpeza - Insal (40%)'!F23</f>
        <v>387.79</v>
      </c>
      <c r="N13" s="686" t="n">
        <f aca="false">'Zelador acúmulo Lavador Jardin.'!F23</f>
        <v>387.79</v>
      </c>
      <c r="O13" s="686" t="n">
        <f aca="false">'Encarregado Geral'!F23</f>
        <v>387.79</v>
      </c>
    </row>
    <row r="14" customFormat="false" ht="15" hidden="false" customHeight="false" outlineLevel="0" collapsed="false">
      <c r="A14" s="682" t="s">
        <v>682</v>
      </c>
      <c r="B14" s="683" t="s">
        <v>683</v>
      </c>
      <c r="C14" s="683"/>
      <c r="D14" s="683"/>
      <c r="E14" s="684"/>
      <c r="F14" s="685" t="n">
        <f aca="false">'Assistente Administrativo 150'!F22</f>
        <v>151.53</v>
      </c>
      <c r="G14" s="685" t="n">
        <f aca="false">'Assistente Administrativo 200'!F22</f>
        <v>118.44</v>
      </c>
      <c r="H14" s="685" t="n">
        <f aca="false">'Recepcionista 150'!F22</f>
        <v>134.99</v>
      </c>
      <c r="I14" s="686" t="n">
        <f aca="false">'Copeira 200'!F22</f>
        <v>160.85</v>
      </c>
      <c r="J14" s="686" t="n">
        <f aca="false">'Servente Limpeza - Insal. (20%)'!F22</f>
        <v>160.85</v>
      </c>
      <c r="K14" s="686" t="n">
        <f aca="false">'Limpador de Vidro'!F22</f>
        <v>152.29</v>
      </c>
      <c r="L14" s="686" t="n">
        <f aca="false">'Servente Limpeza 200h'!F22</f>
        <v>160.85</v>
      </c>
      <c r="M14" s="686" t="n">
        <f aca="false">'Servente Limpeza - Insal (40%)'!F22</f>
        <v>160.85</v>
      </c>
      <c r="N14" s="686" t="n">
        <f aca="false">'Zelador acúmulo Lavador Jardin.'!F22</f>
        <v>116.44</v>
      </c>
      <c r="O14" s="686" t="n">
        <f aca="false">'Encarregado Geral'!F22</f>
        <v>116.44</v>
      </c>
    </row>
    <row r="15" customFormat="false" ht="15" hidden="false" customHeight="false" outlineLevel="0" collapsed="false">
      <c r="A15" s="682" t="s">
        <v>684</v>
      </c>
      <c r="B15" s="684" t="s">
        <v>685</v>
      </c>
      <c r="C15" s="684"/>
      <c r="D15" s="684"/>
      <c r="E15" s="684"/>
      <c r="F15" s="685" t="n">
        <v>0</v>
      </c>
      <c r="G15" s="685" t="n">
        <v>0</v>
      </c>
      <c r="H15" s="685" t="n">
        <v>0</v>
      </c>
      <c r="I15" s="685" t="n">
        <v>0</v>
      </c>
      <c r="J15" s="685" t="n">
        <v>0</v>
      </c>
      <c r="K15" s="685" t="n">
        <v>0</v>
      </c>
      <c r="L15" s="685" t="n">
        <v>0</v>
      </c>
      <c r="M15" s="685" t="n">
        <v>0</v>
      </c>
      <c r="N15" s="685" t="n">
        <v>0</v>
      </c>
      <c r="O15" s="685" t="n">
        <v>0</v>
      </c>
    </row>
    <row r="16" customFormat="false" ht="15" hidden="false" customHeight="false" outlineLevel="0" collapsed="false">
      <c r="A16" s="687" t="s">
        <v>686</v>
      </c>
      <c r="B16" s="687"/>
      <c r="C16" s="687"/>
      <c r="D16" s="687"/>
      <c r="E16" s="687"/>
      <c r="F16" s="688" t="n">
        <f aca="false">SUM(F13:F15)</f>
        <v>539.32</v>
      </c>
      <c r="G16" s="688" t="n">
        <f aca="false">SUM(G13:G15)</f>
        <v>506.23</v>
      </c>
      <c r="H16" s="688" t="n">
        <f aca="false">SUM(H13:H15)</f>
        <v>522.78</v>
      </c>
      <c r="I16" s="688" t="n">
        <f aca="false">SUM(I13:I15)</f>
        <v>548.64</v>
      </c>
      <c r="J16" s="688" t="n">
        <f aca="false">SUM(J13:J15)</f>
        <v>548.64</v>
      </c>
      <c r="K16" s="688" t="n">
        <f aca="false">SUM(K13:K15)</f>
        <v>540.08</v>
      </c>
      <c r="L16" s="688" t="n">
        <f aca="false">SUM(L13:L15)</f>
        <v>548.64</v>
      </c>
      <c r="M16" s="688" t="n">
        <f aca="false">SUM(M13:M15)</f>
        <v>548.64</v>
      </c>
      <c r="N16" s="688" t="n">
        <f aca="false">SUM(N13:N15)</f>
        <v>504.23</v>
      </c>
      <c r="O16" s="688" t="n">
        <f aca="false">SUM(O13:O15)</f>
        <v>504.23</v>
      </c>
    </row>
    <row r="17" customFormat="false" ht="12.75" hidden="false" customHeight="true" outlineLevel="0" collapsed="false">
      <c r="A17" s="680" t="n">
        <v>5</v>
      </c>
      <c r="B17" s="689" t="s">
        <v>687</v>
      </c>
      <c r="C17" s="689"/>
      <c r="D17" s="689"/>
      <c r="E17" s="690" t="s">
        <v>671</v>
      </c>
      <c r="F17" s="691" t="s">
        <v>390</v>
      </c>
      <c r="G17" s="692"/>
      <c r="H17" s="692"/>
      <c r="I17" s="692"/>
      <c r="J17" s="692"/>
      <c r="K17" s="692"/>
      <c r="L17" s="692"/>
      <c r="M17" s="692"/>
      <c r="N17" s="692"/>
      <c r="O17" s="692"/>
    </row>
    <row r="18" customFormat="false" ht="12.75" hidden="false" customHeight="true" outlineLevel="0" collapsed="false">
      <c r="A18" s="682" t="s">
        <v>676</v>
      </c>
      <c r="B18" s="693" t="s">
        <v>688</v>
      </c>
      <c r="C18" s="693"/>
      <c r="D18" s="693"/>
      <c r="E18" s="694" t="n">
        <f aca="false">Dados!$G$49</f>
        <v>0.07</v>
      </c>
      <c r="F18" s="695" t="n">
        <f aca="false">ROUND(($E$18*F32),2)</f>
        <v>214.36</v>
      </c>
      <c r="G18" s="695" t="n">
        <f aca="false">ROUND(($E$18*G32),2)</f>
        <v>270.92</v>
      </c>
      <c r="H18" s="695" t="n">
        <f aca="false">ROUND(($E$18*H32),2)</f>
        <v>242.64</v>
      </c>
      <c r="I18" s="695" t="n">
        <f aca="false">ROUND(($E$18*I32),2)</f>
        <v>198.44</v>
      </c>
      <c r="J18" s="695" t="n">
        <f aca="false">ROUND((E18*J32),2)</f>
        <v>230.84</v>
      </c>
      <c r="K18" s="695" t="n">
        <f aca="false">ROUND((E18*K32),2)</f>
        <v>213.06</v>
      </c>
      <c r="L18" s="695" t="n">
        <f aca="false">ROUND((E18*L32),2)</f>
        <v>198.44</v>
      </c>
      <c r="M18" s="695" t="n">
        <f aca="false">ROUND((E18*M32),2)</f>
        <v>263.26</v>
      </c>
      <c r="N18" s="695" t="n">
        <f aca="false">ROUND((E18*N32),2)</f>
        <v>282.94</v>
      </c>
      <c r="O18" s="695" t="n">
        <f aca="false">ROUND((E18*O32),2)</f>
        <v>274.34</v>
      </c>
    </row>
    <row r="19" customFormat="false" ht="12.75" hidden="false" customHeight="true" outlineLevel="0" collapsed="false">
      <c r="A19" s="682" t="s">
        <v>682</v>
      </c>
      <c r="B19" s="693" t="s">
        <v>258</v>
      </c>
      <c r="C19" s="693"/>
      <c r="D19" s="693"/>
      <c r="E19" s="694" t="n">
        <f aca="false">Dados!$G$50</f>
        <v>0.0369</v>
      </c>
      <c r="F19" s="695" t="n">
        <f aca="false">ROUND(($E$19*(F18+F32)),2)</f>
        <v>120.91</v>
      </c>
      <c r="G19" s="695" t="n">
        <f aca="false">ROUND(($E$19*(G18+G32)),2)</f>
        <v>152.81</v>
      </c>
      <c r="H19" s="695" t="n">
        <f aca="false">ROUND(($E$19*(H18+H32)),2)</f>
        <v>136.86</v>
      </c>
      <c r="I19" s="695" t="n">
        <f aca="false">ROUND(($E$19*(I18+I32)),2)</f>
        <v>111.93</v>
      </c>
      <c r="J19" s="695" t="n">
        <f aca="false">ROUND((E19*(J18+J32)),2)</f>
        <v>130.2</v>
      </c>
      <c r="K19" s="695" t="n">
        <f aca="false">ROUND((E19*(K18+K32)),2)</f>
        <v>120.18</v>
      </c>
      <c r="L19" s="695" t="n">
        <f aca="false">ROUND((E19*(L18+L32)),2)</f>
        <v>111.93</v>
      </c>
      <c r="M19" s="695" t="n">
        <f aca="false">ROUND((E19*(M18+M32)),2)</f>
        <v>148.49</v>
      </c>
      <c r="N19" s="695" t="n">
        <f aca="false">ROUND((E19*(N18+N32)),2)</f>
        <v>159.59</v>
      </c>
      <c r="O19" s="695" t="n">
        <f aca="false">ROUND((E19*(O18+O32)),2)</f>
        <v>154.74</v>
      </c>
    </row>
    <row r="20" customFormat="false" ht="12.75" hidden="false" customHeight="true" outlineLevel="0" collapsed="false">
      <c r="A20" s="696" t="s">
        <v>684</v>
      </c>
      <c r="B20" s="697" t="s">
        <v>689</v>
      </c>
      <c r="C20" s="697"/>
      <c r="D20" s="697"/>
      <c r="E20" s="698" t="n">
        <f aca="false">SUM(E22:E24)</f>
        <v>0.1225</v>
      </c>
      <c r="F20" s="699"/>
      <c r="G20" s="699"/>
      <c r="H20" s="699"/>
      <c r="I20" s="699" t="n">
        <f aca="false">ROUND((((I32+I18+I19)/(1-$E$20))-(I32+I18+I19)),2)</f>
        <v>439.08</v>
      </c>
      <c r="J20" s="699" t="n">
        <f aca="false">ROUND((((J32+J18+J19)/(1-E20))-(J32+J18+J19)),2)</f>
        <v>510.77</v>
      </c>
      <c r="K20" s="699" t="n">
        <f aca="false">ROUND((((K32+K18+K19)/(1-E20))-(K32+K18+K19)),2)</f>
        <v>471.43</v>
      </c>
      <c r="L20" s="699" t="n">
        <f aca="false">ROUND((((L32+L18+L19)/(1-E20))-(L32+L18+L19)),2)</f>
        <v>439.08</v>
      </c>
      <c r="M20" s="699" t="n">
        <f aca="false">ROUND((((M32+M18+M19)/(1-E20))-(M32+M18+M19)),2)</f>
        <v>582.49</v>
      </c>
      <c r="N20" s="699" t="n">
        <f aca="false">ROUND((((N32+N18+N19)/(1-E20))-(N32+N18+N19)),2)</f>
        <v>626.06</v>
      </c>
      <c r="O20" s="699"/>
    </row>
    <row r="21" customFormat="false" ht="12.75" hidden="false" customHeight="true" outlineLevel="0" collapsed="false">
      <c r="A21" s="696" t="s">
        <v>684</v>
      </c>
      <c r="B21" s="697" t="s">
        <v>690</v>
      </c>
      <c r="C21" s="697"/>
      <c r="D21" s="697"/>
      <c r="E21" s="698" t="n">
        <f aca="false">SUM(E22:E23)+E25</f>
        <v>0.1125</v>
      </c>
      <c r="F21" s="699" t="n">
        <f aca="false">ROUND((((F32+F18+F19)/(1-$E$21))-(F32+F18+F19)),2)</f>
        <v>430.68</v>
      </c>
      <c r="G21" s="699" t="n">
        <f aca="false">ROUND((((G32+G18+G19)/(1-$E$21))-(G32+G18+G19)),2)</f>
        <v>544.31</v>
      </c>
      <c r="H21" s="699" t="n">
        <f aca="false">ROUND((((H32+H18+H19)/(1-$E$21))-(H32+H18+H19)),2)</f>
        <v>487.49</v>
      </c>
      <c r="I21" s="699"/>
      <c r="J21" s="699"/>
      <c r="K21" s="699"/>
      <c r="L21" s="699"/>
      <c r="M21" s="699"/>
      <c r="N21" s="699"/>
      <c r="O21" s="699" t="n">
        <f aca="false">ROUND((((O32+O18+O19)/(1-$E$21))-(O32+O18+O19)),2)</f>
        <v>551.19</v>
      </c>
    </row>
    <row r="22" customFormat="false" ht="12.75" hidden="false" customHeight="true" outlineLevel="0" collapsed="false">
      <c r="A22" s="700" t="s">
        <v>691</v>
      </c>
      <c r="B22" s="693" t="s">
        <v>692</v>
      </c>
      <c r="C22" s="693"/>
      <c r="D22" s="693"/>
      <c r="E22" s="694" t="n">
        <f aca="false">Dados!G57+Dados!G58</f>
        <v>0.0925</v>
      </c>
      <c r="F22" s="695" t="n">
        <f aca="false">ROUND($E$22*F34,2)</f>
        <v>354.11</v>
      </c>
      <c r="G22" s="695" t="n">
        <f aca="false">ROUND($E$22*G34,2)</f>
        <v>447.55</v>
      </c>
      <c r="H22" s="695" t="n">
        <f aca="false">ROUND($E$22*H34,2)</f>
        <v>400.83</v>
      </c>
      <c r="I22" s="695" t="n">
        <f aca="false">ROUND($E$22*I34,2)</f>
        <v>331.55</v>
      </c>
      <c r="J22" s="695" t="n">
        <f aca="false">ROUND(E22*J34,2)</f>
        <v>385.68</v>
      </c>
      <c r="K22" s="695" t="n">
        <f aca="false">ROUND(E22*K34,2)</f>
        <v>355.98</v>
      </c>
      <c r="L22" s="695" t="n">
        <f aca="false">ROUND(E22*L34,2)</f>
        <v>331.55</v>
      </c>
      <c r="M22" s="695" t="n">
        <f aca="false">ROUND(E22*M34,2)</f>
        <v>439.84</v>
      </c>
      <c r="N22" s="695" t="n">
        <f aca="false">ROUND(E22*N34,2)</f>
        <v>472.74</v>
      </c>
      <c r="O22" s="695" t="n">
        <f aca="false">ROUND(E22*O34,2)</f>
        <v>453.2</v>
      </c>
    </row>
    <row r="23" customFormat="false" ht="12.75" hidden="false" customHeight="true" outlineLevel="0" collapsed="false">
      <c r="A23" s="682" t="s">
        <v>693</v>
      </c>
      <c r="B23" s="693" t="s">
        <v>694</v>
      </c>
      <c r="C23" s="693"/>
      <c r="D23" s="693"/>
      <c r="E23" s="694" t="n">
        <v>0</v>
      </c>
      <c r="F23" s="695" t="n">
        <f aca="false">ROUND($E$23*F34,2)</f>
        <v>0</v>
      </c>
      <c r="G23" s="695" t="n">
        <f aca="false">ROUND($E$23*G34,2)</f>
        <v>0</v>
      </c>
      <c r="H23" s="695" t="n">
        <f aca="false">ROUND($E$23*H34,2)</f>
        <v>0</v>
      </c>
      <c r="I23" s="695" t="n">
        <f aca="false">ROUND($E$23*I34,2)</f>
        <v>0</v>
      </c>
      <c r="J23" s="695" t="n">
        <f aca="false">ROUND(E23*J34,2)</f>
        <v>0</v>
      </c>
      <c r="K23" s="695" t="n">
        <f aca="false">ROUND(E23*K34,2)</f>
        <v>0</v>
      </c>
      <c r="L23" s="695" t="n">
        <f aca="false">ROUND(E23*L34,2)</f>
        <v>0</v>
      </c>
      <c r="M23" s="695" t="n">
        <f aca="false">ROUND(E23*M34,2)</f>
        <v>0</v>
      </c>
      <c r="N23" s="695" t="n">
        <f aca="false">ROUND(E23*N34,2)</f>
        <v>0</v>
      </c>
      <c r="O23" s="695" t="n">
        <f aca="false">ROUND(E23*O34,2)</f>
        <v>0</v>
      </c>
    </row>
    <row r="24" customFormat="false" ht="12.75" hidden="false" customHeight="true" outlineLevel="0" collapsed="false">
      <c r="A24" s="682" t="s">
        <v>695</v>
      </c>
      <c r="B24" s="693" t="str">
        <f aca="false">Dados!B59</f>
        <v>ISSQN 7.10 - Limpeza</v>
      </c>
      <c r="C24" s="693"/>
      <c r="D24" s="693"/>
      <c r="E24" s="694" t="n">
        <f aca="false">Dados!G59</f>
        <v>0.03</v>
      </c>
      <c r="F24" s="695" t="n">
        <v>0</v>
      </c>
      <c r="G24" s="695" t="n">
        <v>0</v>
      </c>
      <c r="H24" s="695" t="n">
        <v>0</v>
      </c>
      <c r="I24" s="695" t="n">
        <f aca="false">ROUND($E$24*I34,2)</f>
        <v>107.53</v>
      </c>
      <c r="J24" s="695" t="n">
        <f aca="false">ROUND(E24*J34,2)</f>
        <v>125.09</v>
      </c>
      <c r="K24" s="695" t="n">
        <f aca="false">ROUND(E24*K34,2)</f>
        <v>115.45</v>
      </c>
      <c r="L24" s="695" t="n">
        <f aca="false">ROUND(E24*L34,2)</f>
        <v>107.53</v>
      </c>
      <c r="M24" s="695" t="n">
        <f aca="false">ROUND(E24*M34,2)</f>
        <v>142.65</v>
      </c>
      <c r="N24" s="695" t="n">
        <f aca="false">ROUND(E24*N34,2)</f>
        <v>153.32</v>
      </c>
      <c r="O24" s="695" t="n">
        <v>0</v>
      </c>
    </row>
    <row r="25" customFormat="false" ht="15" hidden="false" customHeight="false" outlineLevel="0" collapsed="false">
      <c r="A25" s="682" t="s">
        <v>696</v>
      </c>
      <c r="B25" s="693" t="str">
        <f aca="false">Dados!B60</f>
        <v>ISSQN 17.05 - Fornecimento de mão-de-obra</v>
      </c>
      <c r="C25" s="693"/>
      <c r="D25" s="693"/>
      <c r="E25" s="694" t="n">
        <f aca="false">Dados!G60</f>
        <v>0.02</v>
      </c>
      <c r="F25" s="695" t="n">
        <f aca="false">ROUND($E$25*F34,2)</f>
        <v>76.57</v>
      </c>
      <c r="G25" s="695" t="n">
        <f aca="false">ROUND($E$25*G34,2)</f>
        <v>96.77</v>
      </c>
      <c r="H25" s="695" t="n">
        <f aca="false">ROUND($E$25*H34,2)</f>
        <v>86.67</v>
      </c>
      <c r="I25" s="695" t="n">
        <v>0</v>
      </c>
      <c r="J25" s="695" t="n">
        <v>0</v>
      </c>
      <c r="K25" s="695" t="n">
        <v>0</v>
      </c>
      <c r="L25" s="695" t="n">
        <v>0</v>
      </c>
      <c r="M25" s="695" t="n">
        <v>0</v>
      </c>
      <c r="N25" s="695" t="n">
        <v>0</v>
      </c>
      <c r="O25" s="695" t="n">
        <f aca="false">ROUND(E25*O34,2)</f>
        <v>97.99</v>
      </c>
    </row>
    <row r="26" customFormat="false" ht="15" hidden="false" customHeight="false" outlineLevel="0" collapsed="false">
      <c r="A26" s="701" t="s">
        <v>697</v>
      </c>
      <c r="B26" s="684"/>
      <c r="C26" s="684"/>
      <c r="D26" s="684"/>
      <c r="E26" s="684"/>
      <c r="F26" s="702" t="n">
        <f aca="false">SUM(F18:F21)</f>
        <v>765.95</v>
      </c>
      <c r="G26" s="702" t="n">
        <f aca="false">SUM(G18:G21)</f>
        <v>968.04</v>
      </c>
      <c r="H26" s="702" t="n">
        <f aca="false">SUM(H18:H21)</f>
        <v>866.99</v>
      </c>
      <c r="I26" s="702" t="n">
        <f aca="false">SUM(I18:I21)</f>
        <v>749.45</v>
      </c>
      <c r="J26" s="702" t="n">
        <f aca="false">SUM(J18:J21)</f>
        <v>871.81</v>
      </c>
      <c r="K26" s="702" t="n">
        <f aca="false">SUM(K18:K21)</f>
        <v>804.67</v>
      </c>
      <c r="L26" s="702" t="n">
        <f aca="false">SUM(L18:L21)</f>
        <v>749.45</v>
      </c>
      <c r="M26" s="702" t="n">
        <f aca="false">SUM(M18:M21)</f>
        <v>994.24</v>
      </c>
      <c r="N26" s="702" t="n">
        <f aca="false">SUM(N18:N21)</f>
        <v>1068.59</v>
      </c>
      <c r="O26" s="702" t="n">
        <f aca="false">SUM(O18:O21)</f>
        <v>980.27</v>
      </c>
    </row>
    <row r="27" customFormat="false" ht="19.5" hidden="false" customHeight="true" outlineLevel="0" collapsed="false">
      <c r="A27" s="703" t="s">
        <v>698</v>
      </c>
      <c r="B27" s="703"/>
      <c r="C27" s="703"/>
      <c r="D27" s="703"/>
      <c r="E27" s="703"/>
      <c r="F27" s="703"/>
      <c r="G27" s="703"/>
      <c r="H27" s="703"/>
      <c r="I27" s="703"/>
      <c r="J27" s="703"/>
      <c r="K27" s="703"/>
      <c r="L27" s="703"/>
      <c r="M27" s="703"/>
      <c r="N27" s="703"/>
      <c r="O27" s="703"/>
    </row>
    <row r="28" customFormat="false" ht="18" hidden="false" customHeight="true" outlineLevel="0" collapsed="false">
      <c r="A28" s="665" t="s">
        <v>699</v>
      </c>
      <c r="B28" s="665"/>
      <c r="C28" s="665"/>
      <c r="D28" s="665"/>
      <c r="E28" s="665"/>
      <c r="F28" s="665"/>
      <c r="G28" s="665"/>
      <c r="H28" s="665"/>
      <c r="I28" s="665"/>
      <c r="J28" s="665"/>
      <c r="K28" s="665"/>
      <c r="L28" s="665"/>
      <c r="M28" s="665"/>
      <c r="N28" s="665"/>
      <c r="O28" s="665"/>
    </row>
    <row r="29" customFormat="false" ht="14.25" hidden="false" customHeight="true" outlineLevel="0" collapsed="false">
      <c r="A29" s="704" t="s">
        <v>700</v>
      </c>
      <c r="B29" s="704"/>
      <c r="C29" s="704"/>
      <c r="D29" s="704"/>
      <c r="E29" s="704"/>
      <c r="F29" s="680" t="s">
        <v>390</v>
      </c>
      <c r="G29" s="680"/>
      <c r="H29" s="680"/>
      <c r="I29" s="680"/>
      <c r="J29" s="680"/>
      <c r="K29" s="680"/>
      <c r="L29" s="680"/>
      <c r="M29" s="680"/>
      <c r="N29" s="680"/>
      <c r="O29" s="680"/>
    </row>
    <row r="30" customFormat="false" ht="15" hidden="false" customHeight="false" outlineLevel="0" collapsed="false">
      <c r="A30" s="672" t="s">
        <v>676</v>
      </c>
      <c r="B30" s="705" t="s">
        <v>701</v>
      </c>
      <c r="C30" s="705"/>
      <c r="D30" s="705"/>
      <c r="E30" s="705"/>
      <c r="F30" s="706" t="n">
        <f aca="false">F11</f>
        <v>2523</v>
      </c>
      <c r="G30" s="706" t="n">
        <f aca="false">G11</f>
        <v>3364.08</v>
      </c>
      <c r="H30" s="706" t="n">
        <f aca="false">H11</f>
        <v>2943.48</v>
      </c>
      <c r="I30" s="706" t="n">
        <f aca="false">I11</f>
        <v>2286.24</v>
      </c>
      <c r="J30" s="706" t="n">
        <f aca="false">J11</f>
        <v>2749.08</v>
      </c>
      <c r="K30" s="706" t="n">
        <f aca="false">K11</f>
        <v>2503.68</v>
      </c>
      <c r="L30" s="706" t="n">
        <f aca="false">L11</f>
        <v>2286.24</v>
      </c>
      <c r="M30" s="706" t="n">
        <f aca="false">M11</f>
        <v>3212.16</v>
      </c>
      <c r="N30" s="706" t="n">
        <f aca="false">N11</f>
        <v>3537.84</v>
      </c>
      <c r="O30" s="706" t="n">
        <f aca="false">O11</f>
        <v>3414.96</v>
      </c>
    </row>
    <row r="31" customFormat="false" ht="15" hidden="false" customHeight="false" outlineLevel="0" collapsed="false">
      <c r="A31" s="672" t="s">
        <v>682</v>
      </c>
      <c r="B31" s="705" t="s">
        <v>680</v>
      </c>
      <c r="C31" s="705"/>
      <c r="D31" s="705"/>
      <c r="E31" s="705"/>
      <c r="F31" s="706" t="n">
        <f aca="false">F16</f>
        <v>539.32</v>
      </c>
      <c r="G31" s="706" t="n">
        <f aca="false">G16</f>
        <v>506.23</v>
      </c>
      <c r="H31" s="706" t="n">
        <f aca="false">H16</f>
        <v>522.78</v>
      </c>
      <c r="I31" s="706" t="n">
        <f aca="false">I16</f>
        <v>548.64</v>
      </c>
      <c r="J31" s="706" t="n">
        <f aca="false">J16</f>
        <v>548.64</v>
      </c>
      <c r="K31" s="706" t="n">
        <f aca="false">K16</f>
        <v>540.08</v>
      </c>
      <c r="L31" s="706" t="n">
        <f aca="false">L16</f>
        <v>548.64</v>
      </c>
      <c r="M31" s="706" t="n">
        <f aca="false">M16</f>
        <v>548.64</v>
      </c>
      <c r="N31" s="706" t="n">
        <f aca="false">N16</f>
        <v>504.23</v>
      </c>
      <c r="O31" s="706" t="n">
        <f aca="false">O16</f>
        <v>504.23</v>
      </c>
    </row>
    <row r="32" customFormat="false" ht="15" hidden="false" customHeight="false" outlineLevel="0" collapsed="false">
      <c r="A32" s="707" t="s">
        <v>702</v>
      </c>
      <c r="B32" s="707"/>
      <c r="C32" s="707"/>
      <c r="D32" s="707"/>
      <c r="E32" s="708"/>
      <c r="F32" s="709" t="n">
        <f aca="false">SUM(F30:F31)</f>
        <v>3062.32</v>
      </c>
      <c r="G32" s="709" t="n">
        <f aca="false">SUM(G30:G31)</f>
        <v>3870.31</v>
      </c>
      <c r="H32" s="709" t="n">
        <f aca="false">SUM(H30:H31)</f>
        <v>3466.26</v>
      </c>
      <c r="I32" s="709" t="n">
        <f aca="false">SUM(I30:I31)</f>
        <v>2834.88</v>
      </c>
      <c r="J32" s="709" t="n">
        <f aca="false">SUM(J30:J31)</f>
        <v>3297.72</v>
      </c>
      <c r="K32" s="709" t="n">
        <f aca="false">SUM(K30:K31)</f>
        <v>3043.76</v>
      </c>
      <c r="L32" s="709" t="n">
        <f aca="false">SUM(L30:L31)</f>
        <v>2834.88</v>
      </c>
      <c r="M32" s="709" t="n">
        <f aca="false">SUM(M30:M31)</f>
        <v>3760.8</v>
      </c>
      <c r="N32" s="709" t="n">
        <f aca="false">SUM(N30:N31)</f>
        <v>4042.07</v>
      </c>
      <c r="O32" s="709" t="n">
        <f aca="false">SUM(O30:O31)</f>
        <v>3919.19</v>
      </c>
    </row>
    <row r="33" customFormat="false" ht="15" hidden="false" customHeight="false" outlineLevel="0" collapsed="false">
      <c r="A33" s="672" t="s">
        <v>703</v>
      </c>
      <c r="B33" s="705" t="s">
        <v>704</v>
      </c>
      <c r="C33" s="705"/>
      <c r="D33" s="705"/>
      <c r="E33" s="705"/>
      <c r="F33" s="706" t="n">
        <f aca="false">F26</f>
        <v>765.95</v>
      </c>
      <c r="G33" s="706" t="n">
        <f aca="false">G26</f>
        <v>968.04</v>
      </c>
      <c r="H33" s="706" t="n">
        <f aca="false">H26</f>
        <v>866.99</v>
      </c>
      <c r="I33" s="706" t="n">
        <f aca="false">I26</f>
        <v>749.45</v>
      </c>
      <c r="J33" s="706" t="n">
        <f aca="false">J26</f>
        <v>871.81</v>
      </c>
      <c r="K33" s="706" t="n">
        <f aca="false">K26</f>
        <v>804.67</v>
      </c>
      <c r="L33" s="706" t="n">
        <f aca="false">L26</f>
        <v>749.45</v>
      </c>
      <c r="M33" s="706" t="n">
        <f aca="false">M26</f>
        <v>994.24</v>
      </c>
      <c r="N33" s="706" t="n">
        <f aca="false">N26</f>
        <v>1068.59</v>
      </c>
      <c r="O33" s="706" t="n">
        <f aca="false">O26</f>
        <v>980.27</v>
      </c>
    </row>
    <row r="34" customFormat="false" ht="19.5" hidden="false" customHeight="true" outlineLevel="0" collapsed="false">
      <c r="A34" s="704" t="s">
        <v>705</v>
      </c>
      <c r="B34" s="704"/>
      <c r="C34" s="704"/>
      <c r="D34" s="704"/>
      <c r="E34" s="704"/>
      <c r="F34" s="710" t="n">
        <f aca="false">SUM(F32:F33)</f>
        <v>3828.27</v>
      </c>
      <c r="G34" s="710" t="n">
        <f aca="false">SUM(G32:G33)</f>
        <v>4838.35</v>
      </c>
      <c r="H34" s="710" t="n">
        <f aca="false">SUM(H32:H33)</f>
        <v>4333.25</v>
      </c>
      <c r="I34" s="710" t="n">
        <f aca="false">SUM(I32:I33)</f>
        <v>3584.33</v>
      </c>
      <c r="J34" s="710" t="n">
        <f aca="false">SUM(J32:J33)</f>
        <v>4169.53</v>
      </c>
      <c r="K34" s="710" t="n">
        <f aca="false">SUM(K32:K33)</f>
        <v>3848.43</v>
      </c>
      <c r="L34" s="710" t="n">
        <f aca="false">SUM(L32:L33)</f>
        <v>3584.33</v>
      </c>
      <c r="M34" s="710" t="n">
        <f aca="false">SUM(M32:M33)</f>
        <v>4755.04</v>
      </c>
      <c r="N34" s="710" t="n">
        <f aca="false">SUM(N32:N33)</f>
        <v>5110.66</v>
      </c>
      <c r="O34" s="710" t="n">
        <f aca="false">SUM(O32:O33)</f>
        <v>4899.46</v>
      </c>
    </row>
  </sheetData>
  <sheetProtection algorithmName="SHA-512" hashValue="pLqygFPbSq3AA6nTP5wa5GrVO4b4/TC0BSSCOnEtpkvxCwSayCfft4iAm0wvScLUKDpDZPunzoFu23d1oXH4TA==" saltValue="f+0vVve+ZeEu7PdT5OKUlg==" spinCount="100000" sheet="true" objects="true" scenarios="true"/>
  <mergeCells count="29">
    <mergeCell ref="A4:O4"/>
    <mergeCell ref="A5:D5"/>
    <mergeCell ref="E5:E6"/>
    <mergeCell ref="B6:D6"/>
    <mergeCell ref="F6:I6"/>
    <mergeCell ref="J6:O6"/>
    <mergeCell ref="B7:E7"/>
    <mergeCell ref="B8:D8"/>
    <mergeCell ref="B9:D9"/>
    <mergeCell ref="A10:D10"/>
    <mergeCell ref="A11:E11"/>
    <mergeCell ref="F12:I12"/>
    <mergeCell ref="J12:O12"/>
    <mergeCell ref="B13:D13"/>
    <mergeCell ref="B14:D14"/>
    <mergeCell ref="A16:E16"/>
    <mergeCell ref="B17:D17"/>
    <mergeCell ref="B18:D18"/>
    <mergeCell ref="B19:D19"/>
    <mergeCell ref="B20:D20"/>
    <mergeCell ref="B21:D21"/>
    <mergeCell ref="B22:D22"/>
    <mergeCell ref="B23:D23"/>
    <mergeCell ref="B24:D24"/>
    <mergeCell ref="B25:D25"/>
    <mergeCell ref="A27:O27"/>
    <mergeCell ref="A28:O28"/>
    <mergeCell ref="F29:O29"/>
    <mergeCell ref="A32:D32"/>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Dados!C7</f>
        <v>Assistente Administrativo</v>
      </c>
      <c r="B7" s="724"/>
      <c r="C7" s="724"/>
      <c r="D7" s="724"/>
      <c r="E7" s="724"/>
      <c r="F7" s="725" t="s">
        <v>707</v>
      </c>
      <c r="G7" s="725" t="s">
        <v>708</v>
      </c>
      <c r="H7" s="725" t="s">
        <v>709</v>
      </c>
      <c r="I7" s="725" t="s">
        <v>710</v>
      </c>
      <c r="J7" s="725" t="s">
        <v>711</v>
      </c>
    </row>
    <row r="8" customFormat="false" ht="19.5" hidden="false" customHeight="true" outlineLevel="0" collapsed="false">
      <c r="A8" s="726" t="s">
        <v>712</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35" t="str">
        <f aca="false">A7</f>
        <v>Assistente Administrativo</v>
      </c>
      <c r="C11" s="735"/>
      <c r="D11" s="736" t="n">
        <f aca="false">Dados!D7</f>
        <v>150</v>
      </c>
      <c r="E11" s="737" t="n">
        <f aca="false">Dados!$E$7</f>
        <v>2426.6</v>
      </c>
      <c r="F11" s="738" t="n">
        <f aca="false">ROUND(E11/220*D11,2)</f>
        <v>1654.5</v>
      </c>
      <c r="G11" s="738" t="n">
        <f aca="false">F11</f>
        <v>1654.5</v>
      </c>
      <c r="H11" s="738"/>
      <c r="I11" s="738"/>
      <c r="J11" s="739"/>
    </row>
    <row r="12" customFormat="false" ht="19.5" hidden="false" customHeight="true" outlineLevel="0" collapsed="false">
      <c r="A12" s="734"/>
      <c r="B12" s="740" t="s">
        <v>717</v>
      </c>
      <c r="C12" s="740"/>
      <c r="D12" s="741" t="n">
        <f aca="false">Dados!G7</f>
        <v>0</v>
      </c>
      <c r="E12" s="737" t="n">
        <f aca="false">Dados!$G$33</f>
        <v>1518</v>
      </c>
      <c r="F12" s="738" t="n">
        <f aca="false">D12*E12</f>
        <v>0</v>
      </c>
      <c r="G12" s="738" t="n">
        <f aca="false">F12</f>
        <v>0</v>
      </c>
      <c r="H12" s="738"/>
      <c r="I12" s="738"/>
      <c r="J12" s="739" t="n">
        <f aca="false">F12</f>
        <v>0</v>
      </c>
    </row>
    <row r="13" customFormat="false" ht="22.5" hidden="false" customHeight="true" outlineLevel="0" collapsed="false">
      <c r="A13" s="734"/>
      <c r="B13" s="742" t="s">
        <v>718</v>
      </c>
      <c r="C13" s="743" t="n">
        <f aca="false">Dados!$I$7</f>
        <v>0</v>
      </c>
      <c r="D13" s="743" t="n">
        <f aca="false">Dados!$J$7</f>
        <v>0</v>
      </c>
      <c r="E13" s="744" t="n">
        <f aca="false">Dados!$K$7</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1654.5</v>
      </c>
      <c r="G14" s="748" t="n">
        <f aca="false">SUM(G11:G13)</f>
        <v>1654.5</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1264.04</v>
      </c>
      <c r="G15" s="738" t="n">
        <f aca="false">F15</f>
        <v>1264.04</v>
      </c>
      <c r="H15" s="738"/>
      <c r="I15" s="738"/>
      <c r="J15" s="739" t="n">
        <f aca="false">ROUND((E15*J14),2)</f>
        <v>0</v>
      </c>
    </row>
    <row r="16" customFormat="false" ht="19.5" hidden="false" customHeight="true" outlineLevel="0" collapsed="false">
      <c r="A16" s="752" t="s">
        <v>721</v>
      </c>
      <c r="B16" s="752"/>
      <c r="C16" s="752"/>
      <c r="D16" s="752"/>
      <c r="E16" s="752"/>
      <c r="F16" s="753" t="n">
        <f aca="false">SUM(F14:F15)</f>
        <v>2918.54</v>
      </c>
      <c r="G16" s="753" t="n">
        <f aca="false">SUM(G14:G15)</f>
        <v>2918.54</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Dados!N7</f>
        <v>49.96</v>
      </c>
      <c r="G19" s="738" t="n">
        <f aca="false">F19</f>
        <v>49.96</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151.53</v>
      </c>
      <c r="G22" s="738" t="n">
        <f aca="false">F22</f>
        <v>151.53</v>
      </c>
      <c r="H22" s="738"/>
      <c r="I22" s="738" t="n">
        <f aca="false">F22</f>
        <v>151.53</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727</v>
      </c>
      <c r="B26" s="759"/>
      <c r="C26" s="762"/>
      <c r="D26" s="763"/>
      <c r="E26" s="763"/>
      <c r="F26" s="738"/>
      <c r="G26" s="738"/>
      <c r="H26" s="738"/>
      <c r="I26" s="738"/>
      <c r="J26" s="739"/>
      <c r="L26" s="766"/>
    </row>
    <row r="27" customFormat="false" ht="19.5" hidden="false" customHeight="true" outlineLevel="0" collapsed="false">
      <c r="A27" s="759" t="s">
        <v>728</v>
      </c>
      <c r="B27" s="767"/>
      <c r="C27" s="762"/>
      <c r="D27" s="763"/>
      <c r="E27" s="763"/>
      <c r="F27" s="738" t="n">
        <f aca="false">Dados!R7</f>
        <v>0</v>
      </c>
      <c r="G27" s="738"/>
      <c r="H27" s="738"/>
      <c r="I27" s="738"/>
      <c r="J27" s="739"/>
    </row>
    <row r="28" customFormat="false" ht="19.5" hidden="false" customHeight="true" outlineLevel="0" collapsed="false">
      <c r="A28" s="768" t="s">
        <v>729</v>
      </c>
      <c r="B28" s="768"/>
      <c r="C28" s="769"/>
      <c r="D28" s="770"/>
      <c r="E28" s="770"/>
      <c r="F28" s="745" t="n">
        <f aca="false">Dados!U7</f>
        <v>0</v>
      </c>
      <c r="G28" s="745" t="n">
        <f aca="false">F28</f>
        <v>0</v>
      </c>
      <c r="H28" s="745"/>
      <c r="I28" s="745"/>
      <c r="J28" s="746"/>
    </row>
    <row r="29" customFormat="false" ht="19.5" hidden="false" customHeight="true" outlineLevel="0" collapsed="false">
      <c r="A29" s="771" t="s">
        <v>730</v>
      </c>
      <c r="B29" s="771"/>
      <c r="C29" s="771"/>
      <c r="D29" s="771"/>
      <c r="E29" s="771"/>
      <c r="F29" s="753" t="n">
        <f aca="false">SUM(F19:F28)</f>
        <v>637.52</v>
      </c>
      <c r="G29" s="753" t="n">
        <f aca="false">SUM(G19:G28)</f>
        <v>637.52</v>
      </c>
      <c r="H29" s="753" t="n">
        <f aca="false">SUM(H19:H28)</f>
        <v>387.79</v>
      </c>
      <c r="I29" s="753" t="n">
        <f aca="false">SUM(I19:I28)</f>
        <v>151.53</v>
      </c>
      <c r="J29" s="754" t="n">
        <f aca="false">SUM(J19:J28)</f>
        <v>0</v>
      </c>
    </row>
    <row r="30" customFormat="false" ht="19.5" hidden="false" customHeight="true" outlineLevel="0" collapsed="false">
      <c r="A30" s="771" t="s">
        <v>731</v>
      </c>
      <c r="B30" s="771"/>
      <c r="C30" s="771"/>
      <c r="D30" s="771"/>
      <c r="E30" s="771"/>
      <c r="F30" s="753" t="n">
        <f aca="false">F16+F29</f>
        <v>3556.06</v>
      </c>
      <c r="G30" s="753" t="n">
        <f aca="false">G16+G29</f>
        <v>3556.06</v>
      </c>
      <c r="H30" s="753" t="n">
        <f aca="false">H16+H29</f>
        <v>387.79</v>
      </c>
      <c r="I30" s="753" t="n">
        <f aca="false">I16+I29</f>
        <v>151.53</v>
      </c>
      <c r="J30" s="754" t="n">
        <f aca="false">J16+J29</f>
        <v>0</v>
      </c>
    </row>
    <row r="31" customFormat="false" ht="19.5" hidden="false" customHeight="true" outlineLevel="0" collapsed="false">
      <c r="A31" s="728" t="s">
        <v>732</v>
      </c>
      <c r="B31" s="728"/>
      <c r="C31" s="728"/>
      <c r="D31" s="728"/>
      <c r="E31" s="728"/>
      <c r="F31" s="728"/>
      <c r="G31" s="728"/>
      <c r="H31" s="728"/>
      <c r="I31" s="728"/>
      <c r="J31" s="728"/>
    </row>
    <row r="32" customFormat="false" ht="19.5" hidden="false" customHeight="true" outlineLevel="0" collapsed="false">
      <c r="A32" s="756" t="s">
        <v>733</v>
      </c>
      <c r="B32" s="756"/>
      <c r="C32" s="756"/>
      <c r="D32" s="772" t="s">
        <v>671</v>
      </c>
      <c r="E32" s="773" t="s">
        <v>394</v>
      </c>
      <c r="F32" s="773"/>
      <c r="G32" s="773"/>
      <c r="H32" s="773"/>
      <c r="I32" s="773"/>
      <c r="J32" s="773"/>
    </row>
    <row r="33" customFormat="false" ht="19.5" hidden="false" customHeight="true" outlineLevel="0" collapsed="false">
      <c r="A33" s="774" t="s">
        <v>734</v>
      </c>
      <c r="B33" s="775"/>
      <c r="C33" s="775"/>
      <c r="D33" s="776" t="n">
        <f aca="false">Dados!$G$49</f>
        <v>0.07</v>
      </c>
      <c r="E33" s="777"/>
      <c r="F33" s="738" t="n">
        <f aca="false">ROUND((F30*$D$33),2)</f>
        <v>248.92</v>
      </c>
      <c r="G33" s="738" t="n">
        <f aca="false">ROUND((G30*$D$33),2)</f>
        <v>248.92</v>
      </c>
      <c r="H33" s="738" t="n">
        <f aca="false">ROUND((H30*$D$33),2)</f>
        <v>27.15</v>
      </c>
      <c r="I33" s="738" t="n">
        <f aca="false">ROUND((I30*$D$33),2)</f>
        <v>10.61</v>
      </c>
      <c r="J33" s="739" t="n">
        <f aca="false">ROUND((J30*$D$33),2)</f>
        <v>0</v>
      </c>
    </row>
    <row r="34" customFormat="false" ht="19.5" hidden="false" customHeight="true" outlineLevel="0" collapsed="false">
      <c r="A34" s="778" t="s">
        <v>735</v>
      </c>
      <c r="B34" s="778"/>
      <c r="C34" s="778"/>
      <c r="D34" s="776"/>
      <c r="E34" s="777"/>
      <c r="F34" s="738" t="n">
        <f aca="false">F30+F33</f>
        <v>3804.98</v>
      </c>
      <c r="G34" s="738" t="n">
        <f aca="false">G30+G33</f>
        <v>3804.98</v>
      </c>
      <c r="H34" s="738" t="n">
        <f aca="false">H30+H33</f>
        <v>414.94</v>
      </c>
      <c r="I34" s="738" t="n">
        <f aca="false">I30+I33</f>
        <v>162.14</v>
      </c>
      <c r="J34" s="739" t="n">
        <f aca="false">J30+J33</f>
        <v>0</v>
      </c>
    </row>
    <row r="35" customFormat="false" ht="19.5" hidden="false" customHeight="true" outlineLevel="0" collapsed="false">
      <c r="A35" s="779" t="s">
        <v>258</v>
      </c>
      <c r="B35" s="780"/>
      <c r="C35" s="780"/>
      <c r="D35" s="781" t="n">
        <f aca="false">Dados!$G$50</f>
        <v>0.0369</v>
      </c>
      <c r="E35" s="782"/>
      <c r="F35" s="745" t="n">
        <f aca="false">ROUND((F34*$D$35),2)</f>
        <v>140.4</v>
      </c>
      <c r="G35" s="745" t="n">
        <f aca="false">ROUND((G34*$D$35),2)</f>
        <v>140.4</v>
      </c>
      <c r="H35" s="745" t="n">
        <f aca="false">ROUND((H34*$D$35),2)</f>
        <v>15.31</v>
      </c>
      <c r="I35" s="745" t="n">
        <f aca="false">ROUND((I34*$D$35),2)</f>
        <v>5.98</v>
      </c>
      <c r="J35" s="746" t="n">
        <f aca="false">ROUND((J34*$D$35),2)</f>
        <v>0</v>
      </c>
    </row>
    <row r="36" customFormat="false" ht="19.5" hidden="false" customHeight="true" outlineLevel="0" collapsed="false">
      <c r="A36" s="783" t="s">
        <v>736</v>
      </c>
      <c r="B36" s="784"/>
      <c r="C36" s="784"/>
      <c r="D36" s="785" t="n">
        <f aca="false">SUM(D33:D35)</f>
        <v>0.1069</v>
      </c>
      <c r="E36" s="786"/>
      <c r="F36" s="753" t="n">
        <f aca="false">F33+F35</f>
        <v>389.32</v>
      </c>
      <c r="G36" s="753" t="n">
        <f aca="false">G33+G35</f>
        <v>389.32</v>
      </c>
      <c r="H36" s="753" t="n">
        <f aca="false">H33+H35</f>
        <v>42.46</v>
      </c>
      <c r="I36" s="753" t="n">
        <f aca="false">I33+I35</f>
        <v>16.59</v>
      </c>
      <c r="J36" s="754" t="n">
        <f aca="false">J33+J35</f>
        <v>0</v>
      </c>
    </row>
    <row r="37" customFormat="false" ht="19.5" hidden="false" customHeight="true" outlineLevel="0" collapsed="false">
      <c r="A37" s="787" t="s">
        <v>737</v>
      </c>
      <c r="B37" s="787"/>
      <c r="C37" s="787"/>
      <c r="D37" s="787"/>
      <c r="E37" s="787"/>
      <c r="F37" s="788" t="n">
        <f aca="false">F30+F36</f>
        <v>3945.38</v>
      </c>
      <c r="G37" s="788" t="n">
        <f aca="false">G30+G36</f>
        <v>3945.38</v>
      </c>
      <c r="H37" s="788" t="n">
        <f aca="false">H30+H36</f>
        <v>430.25</v>
      </c>
      <c r="I37" s="788" t="n">
        <f aca="false">I30+I36</f>
        <v>168.12</v>
      </c>
      <c r="J37" s="789" t="n">
        <f aca="false">J30+J36</f>
        <v>0</v>
      </c>
    </row>
    <row r="38" customFormat="false" ht="19.5" hidden="false" customHeight="true" outlineLevel="0" collapsed="false">
      <c r="A38" s="790" t="s">
        <v>738</v>
      </c>
      <c r="B38" s="790"/>
      <c r="C38" s="790"/>
      <c r="D38" s="790"/>
      <c r="E38" s="790"/>
      <c r="F38" s="790"/>
      <c r="G38" s="790"/>
      <c r="H38" s="790"/>
      <c r="I38" s="790"/>
      <c r="J38" s="790"/>
    </row>
    <row r="39" customFormat="false" ht="19.5" hidden="false" customHeight="true" outlineLevel="0" collapsed="false">
      <c r="A39" s="759" t="s">
        <v>264</v>
      </c>
      <c r="B39" s="759"/>
      <c r="C39" s="759"/>
      <c r="D39" s="776" t="n">
        <f aca="false">Dados!G57</f>
        <v>0.076</v>
      </c>
      <c r="E39" s="791"/>
      <c r="F39" s="738" t="n">
        <f aca="false">ROUND(($F$45*D39),2)</f>
        <v>337.86</v>
      </c>
      <c r="G39" s="738" t="n">
        <f aca="false">ROUND((G45*$D$39),2)</f>
        <v>337.86</v>
      </c>
      <c r="H39" s="738" t="n">
        <f aca="false">ROUND((H45*$D$39),2)</f>
        <v>36.84</v>
      </c>
      <c r="I39" s="738" t="n">
        <f aca="false">ROUND((I45*$D$39),2)</f>
        <v>14.4</v>
      </c>
      <c r="J39" s="739" t="n">
        <f aca="false">ROUND((J45*$D$39),2)</f>
        <v>0</v>
      </c>
    </row>
    <row r="40" customFormat="false" ht="19.5" hidden="false" customHeight="true" outlineLevel="0" collapsed="false">
      <c r="A40" s="759" t="s">
        <v>266</v>
      </c>
      <c r="B40" s="759"/>
      <c r="C40" s="759"/>
      <c r="D40" s="776" t="n">
        <f aca="false">Dados!G58</f>
        <v>0.0165</v>
      </c>
      <c r="E40" s="791"/>
      <c r="F40" s="738" t="n">
        <f aca="false">ROUND((F45*$D$40),2)</f>
        <v>73.35</v>
      </c>
      <c r="G40" s="738" t="n">
        <f aca="false">ROUND((G45*$D$40),2)</f>
        <v>73.35</v>
      </c>
      <c r="H40" s="738" t="n">
        <f aca="false">ROUND((H45*$D$40),2)</f>
        <v>8</v>
      </c>
      <c r="I40" s="738" t="n">
        <f aca="false">ROUND((I45*$D$40),2)</f>
        <v>3.13</v>
      </c>
      <c r="J40" s="739" t="n">
        <f aca="false">ROUND((J45*$D$40),2)</f>
        <v>0</v>
      </c>
    </row>
    <row r="41" customFormat="false" ht="19.5" hidden="false" customHeight="true" outlineLevel="0" collapsed="false">
      <c r="A41" s="759" t="str">
        <f aca="false">Dados!B59</f>
        <v>ISSQN 7.10 - Limpeza</v>
      </c>
      <c r="B41" s="759"/>
      <c r="C41" s="759"/>
      <c r="D41" s="776" t="n">
        <v>0</v>
      </c>
      <c r="E41" s="791"/>
      <c r="F41" s="738" t="n">
        <f aca="false">ROUND((F45*$D$41),2)</f>
        <v>0</v>
      </c>
      <c r="G41" s="738" t="n">
        <f aca="false">ROUND((G45*$D$41),2)</f>
        <v>0</v>
      </c>
      <c r="H41" s="738" t="n">
        <f aca="false">ROUND((H45*$D$41),2)</f>
        <v>0</v>
      </c>
      <c r="I41" s="738" t="n">
        <f aca="false">ROUND((I45*$D$41),2)</f>
        <v>0</v>
      </c>
      <c r="J41" s="739" t="n">
        <f aca="false">ROUND((J45*$D$41),2)</f>
        <v>0</v>
      </c>
    </row>
    <row r="42" customFormat="false" ht="19.5" hidden="false" customHeight="true" outlineLevel="0" collapsed="false">
      <c r="A42" s="759" t="str">
        <f aca="false">Dados!B60</f>
        <v>ISSQN 17.05 - Fornecimento de mão-de-obra</v>
      </c>
      <c r="B42" s="759"/>
      <c r="C42" s="759"/>
      <c r="D42" s="776" t="n">
        <f aca="false">Dados!G60</f>
        <v>0.02</v>
      </c>
      <c r="E42" s="791"/>
      <c r="F42" s="738" t="n">
        <f aca="false">ROUND((F45*$D$42),2)</f>
        <v>88.91</v>
      </c>
      <c r="G42" s="738" t="n">
        <f aca="false">ROUND((G45*$D$42),2)</f>
        <v>88.91</v>
      </c>
      <c r="H42" s="738" t="n">
        <f aca="false">ROUND((H45*$D$42),2)</f>
        <v>9.7</v>
      </c>
      <c r="I42" s="738" t="n">
        <f aca="false">ROUND((I45*$D$42),2)</f>
        <v>3.79</v>
      </c>
      <c r="J42" s="739" t="n">
        <f aca="false">ROUND((J45*$D$42),2)</f>
        <v>0</v>
      </c>
    </row>
    <row r="43" customFormat="false" ht="19.5" hidden="false" customHeight="true" outlineLevel="0" collapsed="false">
      <c r="A43" s="792" t="s">
        <v>739</v>
      </c>
      <c r="B43" s="792"/>
      <c r="C43" s="792"/>
      <c r="D43" s="793" t="n">
        <f aca="false">SUM(D39:D42)</f>
        <v>0.1125</v>
      </c>
      <c r="E43" s="794"/>
      <c r="F43" s="795" t="n">
        <f aca="false">SUM(F39:F42)</f>
        <v>500.12</v>
      </c>
      <c r="G43" s="795" t="n">
        <f aca="false">SUM(G39:G42)</f>
        <v>500.12</v>
      </c>
      <c r="H43" s="795" t="n">
        <f aca="false">SUM(H39:H42)</f>
        <v>54.54</v>
      </c>
      <c r="I43" s="795" t="n">
        <f aca="false">SUM(I39:I42)</f>
        <v>21.32</v>
      </c>
      <c r="J43" s="796" t="n">
        <f aca="false">SUM(J39:J41)</f>
        <v>0</v>
      </c>
    </row>
    <row r="44" customFormat="false" ht="19.5" hidden="false" customHeight="true" outlineLevel="0" collapsed="false">
      <c r="A44" s="797" t="str">
        <f aca="false">CONCATENATE("Custo Mensal - ",A7)</f>
        <v>Custo Mensal - Assistente Administrativo</v>
      </c>
      <c r="B44" s="797"/>
      <c r="C44" s="797"/>
      <c r="D44" s="797"/>
      <c r="E44" s="797"/>
      <c r="F44" s="798" t="n">
        <f aca="false">ROUND(F37/(1-D43),2)</f>
        <v>4445.5</v>
      </c>
      <c r="G44" s="798" t="n">
        <f aca="false">ROUND(G37/(1-D43),2)</f>
        <v>4445.5</v>
      </c>
      <c r="H44" s="798" t="n">
        <f aca="false">ROUND(H37/(1-D43),2)</f>
        <v>484.79</v>
      </c>
      <c r="I44" s="798" t="n">
        <f aca="false">ROUND(I37/(1-D43),2)</f>
        <v>189.43</v>
      </c>
      <c r="J44" s="799" t="n">
        <f aca="false">ROUND(J37/(1-D43),2)</f>
        <v>0</v>
      </c>
    </row>
    <row r="45" customFormat="false" ht="19.5" hidden="false" customHeight="true" outlineLevel="0" collapsed="false">
      <c r="A45" s="797" t="str">
        <f aca="false">CONCATENATE("Valor do Custo Mensal - ",A7)</f>
        <v>Valor do Custo Mensal - Assistente Administrativo</v>
      </c>
      <c r="B45" s="797"/>
      <c r="C45" s="797"/>
      <c r="D45" s="797"/>
      <c r="E45" s="797"/>
      <c r="F45" s="798" t="n">
        <f aca="false">F44</f>
        <v>4445.5</v>
      </c>
      <c r="G45" s="798" t="n">
        <f aca="false">G44</f>
        <v>4445.5</v>
      </c>
      <c r="H45" s="798" t="n">
        <f aca="false">H44</f>
        <v>484.79</v>
      </c>
      <c r="I45" s="798" t="n">
        <f aca="false">I44</f>
        <v>189.43</v>
      </c>
      <c r="J45" s="799" t="n">
        <f aca="false">J44</f>
        <v>0</v>
      </c>
      <c r="K45" s="800"/>
      <c r="L45" s="800"/>
    </row>
    <row r="46" customFormat="false" ht="27.75" hidden="false" customHeight="true" outlineLevel="0" collapsed="false">
      <c r="A46" s="801" t="s">
        <v>740</v>
      </c>
      <c r="B46" s="801"/>
      <c r="C46" s="801"/>
      <c r="D46" s="801"/>
      <c r="E46" s="801"/>
      <c r="F46" s="802" t="n">
        <f aca="false">(F45/F14)</f>
        <v>2.68691447567241</v>
      </c>
      <c r="G46" s="802" t="n">
        <f aca="false">(G45/G14)</f>
        <v>2.68691447567241</v>
      </c>
      <c r="H46" s="803" t="s">
        <v>741</v>
      </c>
      <c r="I46" s="803"/>
      <c r="J46" s="804" t="n">
        <v>0</v>
      </c>
    </row>
    <row r="47" customFormat="false" ht="19.5" hidden="false" customHeight="true" outlineLevel="0" collapsed="false"/>
  </sheetData>
  <sheetProtection algorithmName="SHA-512" hashValue="cbc3eXhhptkt8AImPveeZjrIFZ5psk2g0jEJ6b8aNpEEo2/sWmah2tvFkvRwjO76QHNo2k8urQ35G1JqkGCP2Q==" saltValue="XhA9iYtssu5qaxwD0bDxEw=="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Dados!C7</f>
        <v>Assistente Administrativo</v>
      </c>
      <c r="B7" s="724"/>
      <c r="C7" s="724"/>
      <c r="D7" s="724"/>
      <c r="E7" s="724"/>
      <c r="F7" s="725" t="s">
        <v>707</v>
      </c>
      <c r="G7" s="725" t="s">
        <v>708</v>
      </c>
      <c r="H7" s="725" t="s">
        <v>709</v>
      </c>
      <c r="I7" s="725" t="s">
        <v>710</v>
      </c>
      <c r="J7" s="725" t="s">
        <v>711</v>
      </c>
    </row>
    <row r="8" customFormat="false" ht="19.5" hidden="false" customHeight="true" outlineLevel="0" collapsed="false">
      <c r="A8" s="726" t="s">
        <v>712</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35" t="str">
        <f aca="false">A7</f>
        <v>Assistente Administrativo</v>
      </c>
      <c r="C11" s="735"/>
      <c r="D11" s="736" t="n">
        <f aca="false">Dados!D8</f>
        <v>200</v>
      </c>
      <c r="E11" s="737" t="n">
        <f aca="false">Dados!$E$8</f>
        <v>2426.6</v>
      </c>
      <c r="F11" s="738" t="n">
        <f aca="false">ROUND(E11/220*D11,2)</f>
        <v>2206</v>
      </c>
      <c r="G11" s="738" t="n">
        <f aca="false">F11</f>
        <v>2206</v>
      </c>
      <c r="H11" s="738"/>
      <c r="I11" s="738"/>
      <c r="J11" s="739"/>
    </row>
    <row r="12" customFormat="false" ht="19.5" hidden="false" customHeight="true" outlineLevel="0" collapsed="false">
      <c r="A12" s="734"/>
      <c r="B12" s="740" t="s">
        <v>717</v>
      </c>
      <c r="C12" s="740"/>
      <c r="D12" s="741" t="n">
        <f aca="false">Dados!G7</f>
        <v>0</v>
      </c>
      <c r="E12" s="737" t="n">
        <f aca="false">Dados!$G$33</f>
        <v>1518</v>
      </c>
      <c r="F12" s="738" t="n">
        <f aca="false">D12*E12</f>
        <v>0</v>
      </c>
      <c r="G12" s="738" t="n">
        <f aca="false">F12</f>
        <v>0</v>
      </c>
      <c r="H12" s="738"/>
      <c r="I12" s="738"/>
      <c r="J12" s="739" t="n">
        <f aca="false">F12</f>
        <v>0</v>
      </c>
    </row>
    <row r="13" customFormat="false" ht="22.5" hidden="false" customHeight="true" outlineLevel="0" collapsed="false">
      <c r="A13" s="734"/>
      <c r="B13" s="742" t="s">
        <v>718</v>
      </c>
      <c r="C13" s="743" t="n">
        <f aca="false">Dados!$I$7</f>
        <v>0</v>
      </c>
      <c r="D13" s="743" t="n">
        <f aca="false">Dados!$J$7</f>
        <v>0</v>
      </c>
      <c r="E13" s="744" t="n">
        <f aca="false">Dados!$K$7</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2206</v>
      </c>
      <c r="G14" s="748" t="n">
        <f aca="false">SUM(G11:G13)</f>
        <v>2206</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1685.38</v>
      </c>
      <c r="G15" s="738" t="n">
        <f aca="false">F15</f>
        <v>1685.38</v>
      </c>
      <c r="H15" s="738"/>
      <c r="I15" s="738"/>
      <c r="J15" s="739" t="n">
        <f aca="false">ROUND((E15*J14),2)</f>
        <v>0</v>
      </c>
    </row>
    <row r="16" customFormat="false" ht="19.5" hidden="false" customHeight="true" outlineLevel="0" collapsed="false">
      <c r="A16" s="752" t="s">
        <v>721</v>
      </c>
      <c r="B16" s="752"/>
      <c r="C16" s="752"/>
      <c r="D16" s="752"/>
      <c r="E16" s="752"/>
      <c r="F16" s="753" t="n">
        <f aca="false">SUM(F14:F15)</f>
        <v>3891.38</v>
      </c>
      <c r="G16" s="753" t="n">
        <f aca="false">SUM(G14:G15)</f>
        <v>3891.38</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Dados!N7</f>
        <v>49.96</v>
      </c>
      <c r="G19" s="738" t="n">
        <f aca="false">F19</f>
        <v>49.96</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118.44</v>
      </c>
      <c r="G22" s="738" t="n">
        <f aca="false">F22</f>
        <v>118.44</v>
      </c>
      <c r="H22" s="738"/>
      <c r="I22" s="738" t="n">
        <f aca="false">F22</f>
        <v>118.44</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805" t="str">
        <f aca="false">Dados!B45</f>
        <v>Plano de Assistência Odontológica</v>
      </c>
      <c r="B24" s="805"/>
      <c r="C24" s="762"/>
      <c r="D24" s="762"/>
      <c r="E24" s="763"/>
      <c r="F24" s="765" t="n">
        <f aca="false">Dados!G45</f>
        <v>42.97</v>
      </c>
      <c r="G24" s="738" t="n">
        <f aca="false">F24</f>
        <v>42.97</v>
      </c>
      <c r="H24" s="738"/>
      <c r="I24" s="765"/>
      <c r="J24" s="739"/>
    </row>
    <row r="25" customFormat="false" ht="19.5" hidden="false" customHeight="true" outlineLevel="0" collapsed="false">
      <c r="A25" s="805" t="str">
        <f aca="false">Dados!B46</f>
        <v>Outros (inserir somente com a justificativa legal)</v>
      </c>
      <c r="B25" s="805"/>
      <c r="C25" s="762"/>
      <c r="D25" s="762"/>
      <c r="E25" s="763"/>
      <c r="F25" s="765" t="n">
        <f aca="false">Dados!G46</f>
        <v>0</v>
      </c>
      <c r="G25" s="738" t="n">
        <f aca="false">F25</f>
        <v>0</v>
      </c>
      <c r="H25" s="738"/>
      <c r="I25" s="765"/>
      <c r="J25" s="739"/>
    </row>
    <row r="26" customFormat="false" ht="19.5" hidden="false" customHeight="true" outlineLevel="0" collapsed="false">
      <c r="A26" s="759" t="s">
        <v>727</v>
      </c>
      <c r="B26" s="759"/>
      <c r="C26" s="762"/>
      <c r="D26" s="763"/>
      <c r="E26" s="763"/>
      <c r="F26" s="738"/>
      <c r="G26" s="738"/>
      <c r="H26" s="738"/>
      <c r="I26" s="738"/>
      <c r="J26" s="739"/>
      <c r="L26" s="766"/>
    </row>
    <row r="27" customFormat="false" ht="19.5" hidden="false" customHeight="true" outlineLevel="0" collapsed="false">
      <c r="A27" s="759" t="s">
        <v>728</v>
      </c>
      <c r="B27" s="767"/>
      <c r="C27" s="762"/>
      <c r="D27" s="763"/>
      <c r="E27" s="763"/>
      <c r="F27" s="738" t="n">
        <f aca="false">Dados!R7</f>
        <v>0</v>
      </c>
      <c r="G27" s="738"/>
      <c r="H27" s="738"/>
      <c r="I27" s="738"/>
      <c r="J27" s="739"/>
    </row>
    <row r="28" customFormat="false" ht="19.5" hidden="false" customHeight="true" outlineLevel="0" collapsed="false">
      <c r="A28" s="768" t="s">
        <v>729</v>
      </c>
      <c r="B28" s="768"/>
      <c r="C28" s="769"/>
      <c r="D28" s="770"/>
      <c r="E28" s="770"/>
      <c r="F28" s="745" t="n">
        <f aca="false">Dados!U7</f>
        <v>0</v>
      </c>
      <c r="G28" s="745" t="n">
        <f aca="false">F28</f>
        <v>0</v>
      </c>
      <c r="H28" s="745"/>
      <c r="I28" s="745"/>
      <c r="J28" s="746"/>
    </row>
    <row r="29" customFormat="false" ht="19.5" hidden="false" customHeight="true" outlineLevel="0" collapsed="false">
      <c r="A29" s="771" t="s">
        <v>730</v>
      </c>
      <c r="B29" s="771"/>
      <c r="C29" s="771"/>
      <c r="D29" s="771"/>
      <c r="E29" s="771"/>
      <c r="F29" s="753" t="n">
        <f aca="false">SUM(F19:F28)</f>
        <v>604.43</v>
      </c>
      <c r="G29" s="753" t="n">
        <f aca="false">SUM(G19:G28)</f>
        <v>604.43</v>
      </c>
      <c r="H29" s="753" t="n">
        <f aca="false">SUM(H19:H28)</f>
        <v>387.79</v>
      </c>
      <c r="I29" s="753" t="n">
        <f aca="false">SUM(I19:I28)</f>
        <v>118.44</v>
      </c>
      <c r="J29" s="754" t="n">
        <f aca="false">SUM(J19:J28)</f>
        <v>0</v>
      </c>
    </row>
    <row r="30" customFormat="false" ht="19.5" hidden="false" customHeight="true" outlineLevel="0" collapsed="false">
      <c r="A30" s="771" t="s">
        <v>731</v>
      </c>
      <c r="B30" s="771"/>
      <c r="C30" s="771"/>
      <c r="D30" s="771"/>
      <c r="E30" s="771"/>
      <c r="F30" s="753" t="n">
        <f aca="false">F16+F29</f>
        <v>4495.81</v>
      </c>
      <c r="G30" s="753" t="n">
        <f aca="false">G16+G29</f>
        <v>4495.81</v>
      </c>
      <c r="H30" s="753" t="n">
        <f aca="false">H16+H29</f>
        <v>387.79</v>
      </c>
      <c r="I30" s="753" t="n">
        <f aca="false">I16+I29</f>
        <v>118.44</v>
      </c>
      <c r="J30" s="754" t="n">
        <f aca="false">J16+J29</f>
        <v>0</v>
      </c>
    </row>
    <row r="31" customFormat="false" ht="19.5" hidden="false" customHeight="true" outlineLevel="0" collapsed="false">
      <c r="A31" s="728" t="s">
        <v>732</v>
      </c>
      <c r="B31" s="728"/>
      <c r="C31" s="728"/>
      <c r="D31" s="728"/>
      <c r="E31" s="728"/>
      <c r="F31" s="728"/>
      <c r="G31" s="728"/>
      <c r="H31" s="728"/>
      <c r="I31" s="728"/>
      <c r="J31" s="728"/>
    </row>
    <row r="32" customFormat="false" ht="19.5" hidden="false" customHeight="true" outlineLevel="0" collapsed="false">
      <c r="A32" s="756" t="s">
        <v>733</v>
      </c>
      <c r="B32" s="756"/>
      <c r="C32" s="756"/>
      <c r="D32" s="772" t="s">
        <v>671</v>
      </c>
      <c r="E32" s="773" t="s">
        <v>394</v>
      </c>
      <c r="F32" s="773"/>
      <c r="G32" s="773"/>
      <c r="H32" s="773"/>
      <c r="I32" s="773"/>
      <c r="J32" s="773"/>
    </row>
    <row r="33" customFormat="false" ht="19.5" hidden="false" customHeight="true" outlineLevel="0" collapsed="false">
      <c r="A33" s="774" t="s">
        <v>734</v>
      </c>
      <c r="B33" s="775"/>
      <c r="C33" s="775"/>
      <c r="D33" s="776" t="n">
        <f aca="false">Dados!$G$49</f>
        <v>0.07</v>
      </c>
      <c r="E33" s="777"/>
      <c r="F33" s="738" t="n">
        <f aca="false">ROUND((F30*$D$33),2)</f>
        <v>314.71</v>
      </c>
      <c r="G33" s="738" t="n">
        <f aca="false">ROUND((G30*$D$33),2)</f>
        <v>314.71</v>
      </c>
      <c r="H33" s="738" t="n">
        <f aca="false">ROUND((H30*$D$33),2)</f>
        <v>27.15</v>
      </c>
      <c r="I33" s="738" t="n">
        <f aca="false">ROUND((I30*$D$33),2)</f>
        <v>8.29</v>
      </c>
      <c r="J33" s="739" t="n">
        <f aca="false">ROUND((J30*$D$33),2)</f>
        <v>0</v>
      </c>
    </row>
    <row r="34" customFormat="false" ht="19.5" hidden="false" customHeight="true" outlineLevel="0" collapsed="false">
      <c r="A34" s="778" t="s">
        <v>735</v>
      </c>
      <c r="B34" s="778"/>
      <c r="C34" s="778"/>
      <c r="D34" s="776"/>
      <c r="E34" s="777"/>
      <c r="F34" s="738" t="n">
        <f aca="false">F30+F33</f>
        <v>4810.52</v>
      </c>
      <c r="G34" s="738" t="n">
        <f aca="false">G30+G33</f>
        <v>4810.52</v>
      </c>
      <c r="H34" s="738" t="n">
        <f aca="false">H30+H33</f>
        <v>414.94</v>
      </c>
      <c r="I34" s="738" t="n">
        <f aca="false">I30+I33</f>
        <v>126.73</v>
      </c>
      <c r="J34" s="739" t="n">
        <f aca="false">J30+J33</f>
        <v>0</v>
      </c>
    </row>
    <row r="35" customFormat="false" ht="19.5" hidden="false" customHeight="true" outlineLevel="0" collapsed="false">
      <c r="A35" s="779" t="s">
        <v>258</v>
      </c>
      <c r="B35" s="780"/>
      <c r="C35" s="780"/>
      <c r="D35" s="781" t="n">
        <f aca="false">Dados!$G$50</f>
        <v>0.0369</v>
      </c>
      <c r="E35" s="782"/>
      <c r="F35" s="745" t="n">
        <f aca="false">ROUND((F34*$D$35),2)</f>
        <v>177.51</v>
      </c>
      <c r="G35" s="745" t="n">
        <f aca="false">ROUND((G34*$D$35),2)</f>
        <v>177.51</v>
      </c>
      <c r="H35" s="745" t="n">
        <f aca="false">ROUND((H34*$D$35),2)</f>
        <v>15.31</v>
      </c>
      <c r="I35" s="745" t="n">
        <f aca="false">ROUND((I34*$D$35),2)</f>
        <v>4.68</v>
      </c>
      <c r="J35" s="746" t="n">
        <f aca="false">ROUND((J34*$D$35),2)</f>
        <v>0</v>
      </c>
    </row>
    <row r="36" customFormat="false" ht="19.5" hidden="false" customHeight="true" outlineLevel="0" collapsed="false">
      <c r="A36" s="783" t="s">
        <v>736</v>
      </c>
      <c r="B36" s="784"/>
      <c r="C36" s="784"/>
      <c r="D36" s="785" t="n">
        <f aca="false">SUM(D33:D35)</f>
        <v>0.1069</v>
      </c>
      <c r="E36" s="786"/>
      <c r="F36" s="753" t="n">
        <f aca="false">F33+F35</f>
        <v>492.22</v>
      </c>
      <c r="G36" s="753" t="n">
        <f aca="false">G33+G35</f>
        <v>492.22</v>
      </c>
      <c r="H36" s="753" t="n">
        <f aca="false">H33+H35</f>
        <v>42.46</v>
      </c>
      <c r="I36" s="753" t="n">
        <f aca="false">I33+I35</f>
        <v>12.97</v>
      </c>
      <c r="J36" s="754" t="n">
        <f aca="false">J33+J35</f>
        <v>0</v>
      </c>
    </row>
    <row r="37" customFormat="false" ht="19.5" hidden="false" customHeight="true" outlineLevel="0" collapsed="false">
      <c r="A37" s="787" t="s">
        <v>737</v>
      </c>
      <c r="B37" s="787"/>
      <c r="C37" s="787"/>
      <c r="D37" s="787"/>
      <c r="E37" s="787"/>
      <c r="F37" s="788" t="n">
        <f aca="false">F30+F36</f>
        <v>4988.03</v>
      </c>
      <c r="G37" s="788" t="n">
        <f aca="false">G30+G36</f>
        <v>4988.03</v>
      </c>
      <c r="H37" s="788" t="n">
        <f aca="false">H30+H36</f>
        <v>430.25</v>
      </c>
      <c r="I37" s="788" t="n">
        <f aca="false">I30+I36</f>
        <v>131.41</v>
      </c>
      <c r="J37" s="789" t="n">
        <f aca="false">J30+J36</f>
        <v>0</v>
      </c>
    </row>
    <row r="38" customFormat="false" ht="19.5" hidden="false" customHeight="true" outlineLevel="0" collapsed="false">
      <c r="A38" s="790" t="s">
        <v>738</v>
      </c>
      <c r="B38" s="790"/>
      <c r="C38" s="790"/>
      <c r="D38" s="790"/>
      <c r="E38" s="790"/>
      <c r="F38" s="790"/>
      <c r="G38" s="790"/>
      <c r="H38" s="790"/>
      <c r="I38" s="790"/>
      <c r="J38" s="790"/>
    </row>
    <row r="39" customFormat="false" ht="19.5" hidden="false" customHeight="true" outlineLevel="0" collapsed="false">
      <c r="A39" s="759" t="s">
        <v>264</v>
      </c>
      <c r="B39" s="759"/>
      <c r="C39" s="759"/>
      <c r="D39" s="776" t="n">
        <f aca="false">Dados!G57</f>
        <v>0.076</v>
      </c>
      <c r="E39" s="791"/>
      <c r="F39" s="738" t="n">
        <f aca="false">ROUND(($F$45*D39),2)</f>
        <v>427.14</v>
      </c>
      <c r="G39" s="738" t="n">
        <f aca="false">ROUND((G45*$D$39),2)</f>
        <v>427.14</v>
      </c>
      <c r="H39" s="738" t="n">
        <f aca="false">ROUND((H45*$D$39),2)</f>
        <v>36.84</v>
      </c>
      <c r="I39" s="738" t="n">
        <f aca="false">ROUND((I45*$D$39),2)</f>
        <v>11.25</v>
      </c>
      <c r="J39" s="739" t="n">
        <f aca="false">ROUND((J45*$D$39),2)</f>
        <v>0</v>
      </c>
    </row>
    <row r="40" customFormat="false" ht="19.5" hidden="false" customHeight="true" outlineLevel="0" collapsed="false">
      <c r="A40" s="759" t="s">
        <v>266</v>
      </c>
      <c r="B40" s="759"/>
      <c r="C40" s="759"/>
      <c r="D40" s="776" t="n">
        <f aca="false">Dados!G58</f>
        <v>0.0165</v>
      </c>
      <c r="E40" s="791"/>
      <c r="F40" s="738" t="n">
        <f aca="false">ROUND((F45*$D$40),2)</f>
        <v>92.74</v>
      </c>
      <c r="G40" s="738" t="n">
        <f aca="false">ROUND((G45*$D$40),2)</f>
        <v>92.74</v>
      </c>
      <c r="H40" s="738" t="n">
        <f aca="false">ROUND((H45*$D$40),2)</f>
        <v>8</v>
      </c>
      <c r="I40" s="738" t="n">
        <f aca="false">ROUND((I45*$D$40),2)</f>
        <v>2.44</v>
      </c>
      <c r="J40" s="739" t="n">
        <f aca="false">ROUND((J45*$D$40),2)</f>
        <v>0</v>
      </c>
    </row>
    <row r="41" customFormat="false" ht="19.5" hidden="false" customHeight="true" outlineLevel="0" collapsed="false">
      <c r="A41" s="759" t="str">
        <f aca="false">Dados!B59</f>
        <v>ISSQN 7.10 - Limpeza</v>
      </c>
      <c r="B41" s="759"/>
      <c r="C41" s="759"/>
      <c r="D41" s="776" t="n">
        <v>0</v>
      </c>
      <c r="E41" s="791"/>
      <c r="F41" s="738" t="n">
        <f aca="false">ROUND((F45*$D$41),2)</f>
        <v>0</v>
      </c>
      <c r="G41" s="738" t="n">
        <f aca="false">ROUND((G45*$D$41),2)</f>
        <v>0</v>
      </c>
      <c r="H41" s="738" t="n">
        <f aca="false">ROUND((H45*$D$41),2)</f>
        <v>0</v>
      </c>
      <c r="I41" s="738" t="n">
        <f aca="false">ROUND((I45*$D$41),2)</f>
        <v>0</v>
      </c>
      <c r="J41" s="739" t="n">
        <f aca="false">ROUND((J45*$D$41),2)</f>
        <v>0</v>
      </c>
    </row>
    <row r="42" customFormat="false" ht="19.5" hidden="false" customHeight="true" outlineLevel="0" collapsed="false">
      <c r="A42" s="759" t="str">
        <f aca="false">Dados!B60</f>
        <v>ISSQN 17.05 - Fornecimento de mão-de-obra</v>
      </c>
      <c r="B42" s="759"/>
      <c r="C42" s="759"/>
      <c r="D42" s="776" t="n">
        <f aca="false">Dados!G60</f>
        <v>0.02</v>
      </c>
      <c r="E42" s="791"/>
      <c r="F42" s="738" t="n">
        <f aca="false">ROUND((F45*$D$42),2)</f>
        <v>112.41</v>
      </c>
      <c r="G42" s="738" t="n">
        <f aca="false">ROUND((G45*$D$42),2)</f>
        <v>112.41</v>
      </c>
      <c r="H42" s="738" t="n">
        <f aca="false">ROUND((H45*$D$42),2)</f>
        <v>9.7</v>
      </c>
      <c r="I42" s="738" t="n">
        <f aca="false">ROUND((I45*$D$42),2)</f>
        <v>2.96</v>
      </c>
      <c r="J42" s="739" t="n">
        <f aca="false">ROUND((J45*$D$42),2)</f>
        <v>0</v>
      </c>
    </row>
    <row r="43" customFormat="false" ht="19.5" hidden="false" customHeight="true" outlineLevel="0" collapsed="false">
      <c r="A43" s="792" t="s">
        <v>739</v>
      </c>
      <c r="B43" s="792"/>
      <c r="C43" s="792"/>
      <c r="D43" s="793" t="n">
        <f aca="false">SUM(D39:D42)</f>
        <v>0.1125</v>
      </c>
      <c r="E43" s="794"/>
      <c r="F43" s="795" t="n">
        <f aca="false">SUM(F39:F42)</f>
        <v>632.29</v>
      </c>
      <c r="G43" s="795" t="n">
        <f aca="false">SUM(G39:G42)</f>
        <v>632.29</v>
      </c>
      <c r="H43" s="795" t="n">
        <f aca="false">SUM(H39:H42)</f>
        <v>54.54</v>
      </c>
      <c r="I43" s="795" t="n">
        <f aca="false">SUM(I39:I42)</f>
        <v>16.65</v>
      </c>
      <c r="J43" s="796" t="n">
        <f aca="false">SUM(J39:J41)</f>
        <v>0</v>
      </c>
    </row>
    <row r="44" customFormat="false" ht="19.5" hidden="false" customHeight="true" outlineLevel="0" collapsed="false">
      <c r="A44" s="797" t="str">
        <f aca="false">CONCATENATE("Custo Mensal - ",A7)</f>
        <v>Custo Mensal - Assistente Administrativo</v>
      </c>
      <c r="B44" s="797"/>
      <c r="C44" s="797"/>
      <c r="D44" s="797"/>
      <c r="E44" s="797"/>
      <c r="F44" s="798" t="n">
        <f aca="false">ROUND(F37/(1-D43),2)</f>
        <v>5620.32</v>
      </c>
      <c r="G44" s="798" t="n">
        <f aca="false">ROUND(G37/(1-D43),2)</f>
        <v>5620.32</v>
      </c>
      <c r="H44" s="798" t="n">
        <f aca="false">ROUND(H37/(1-D43),2)</f>
        <v>484.79</v>
      </c>
      <c r="I44" s="798" t="n">
        <f aca="false">ROUND(I37/(1-D43),2)</f>
        <v>148.07</v>
      </c>
      <c r="J44" s="799" t="n">
        <f aca="false">ROUND(J37/(1-D43),2)</f>
        <v>0</v>
      </c>
    </row>
    <row r="45" customFormat="false" ht="19.5" hidden="false" customHeight="true" outlineLevel="0" collapsed="false">
      <c r="A45" s="797" t="str">
        <f aca="false">CONCATENATE("Valor do Custo Mensal - ",A7)</f>
        <v>Valor do Custo Mensal - Assistente Administrativo</v>
      </c>
      <c r="B45" s="797"/>
      <c r="C45" s="797"/>
      <c r="D45" s="797"/>
      <c r="E45" s="797"/>
      <c r="F45" s="798" t="n">
        <f aca="false">F44</f>
        <v>5620.32</v>
      </c>
      <c r="G45" s="798" t="n">
        <f aca="false">G44</f>
        <v>5620.32</v>
      </c>
      <c r="H45" s="798" t="n">
        <f aca="false">H44</f>
        <v>484.79</v>
      </c>
      <c r="I45" s="798" t="n">
        <f aca="false">I44</f>
        <v>148.07</v>
      </c>
      <c r="J45" s="799" t="n">
        <f aca="false">J44</f>
        <v>0</v>
      </c>
      <c r="K45" s="800"/>
      <c r="L45" s="800"/>
    </row>
    <row r="46" customFormat="false" ht="27.75" hidden="false" customHeight="true" outlineLevel="0" collapsed="false">
      <c r="A46" s="801" t="s">
        <v>740</v>
      </c>
      <c r="B46" s="801"/>
      <c r="C46" s="801"/>
      <c r="D46" s="801"/>
      <c r="E46" s="801"/>
      <c r="F46" s="802" t="n">
        <f aca="false">(F45/F14)</f>
        <v>2.54774252039891</v>
      </c>
      <c r="G46" s="802" t="n">
        <f aca="false">(G45/G14)</f>
        <v>2.54774252039891</v>
      </c>
      <c r="H46" s="803" t="s">
        <v>741</v>
      </c>
      <c r="I46" s="803"/>
      <c r="J46" s="804" t="n">
        <v>0</v>
      </c>
    </row>
    <row r="47" customFormat="false" ht="19.5" hidden="false" customHeight="true" outlineLevel="0" collapsed="false"/>
  </sheetData>
  <sheetProtection algorithmName="SHA-512" hashValue="WqsXgXYoWV2zFNfPmGPEVvfS6CzY5RRgPPAqSYfkEIT/6K3yhiz0FORjzGDtd/sbrezqn7FOWdEW9IbNHqxobw==" saltValue="k38gd6h8+/JXGs+apYkMwA=="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Dados!C15</f>
        <v>Encarregado Geral</v>
      </c>
      <c r="B7" s="724"/>
      <c r="C7" s="724"/>
      <c r="D7" s="724"/>
      <c r="E7" s="724"/>
      <c r="F7" s="725" t="s">
        <v>707</v>
      </c>
      <c r="G7" s="725" t="s">
        <v>708</v>
      </c>
      <c r="H7" s="725" t="s">
        <v>709</v>
      </c>
      <c r="I7" s="725" t="s">
        <v>710</v>
      </c>
      <c r="J7" s="725" t="s">
        <v>711</v>
      </c>
    </row>
    <row r="8" customFormat="false" ht="19.5" hidden="false" customHeight="true" outlineLevel="0" collapsed="false">
      <c r="A8" s="726" t="s">
        <v>742</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40" t="str">
        <f aca="false">A7</f>
        <v>Encarregado Geral</v>
      </c>
      <c r="C11" s="740"/>
      <c r="D11" s="736" t="n">
        <f aca="false">Dados!D15</f>
        <v>200</v>
      </c>
      <c r="E11" s="737" t="n">
        <f aca="false">Dados!E15</f>
        <v>2463.29</v>
      </c>
      <c r="F11" s="738" t="n">
        <f aca="false">ROUND(E11/220*D11,2)</f>
        <v>2239.35</v>
      </c>
      <c r="G11" s="738" t="n">
        <f aca="false">F11</f>
        <v>2239.35</v>
      </c>
      <c r="H11" s="738"/>
      <c r="I11" s="738"/>
      <c r="J11" s="739"/>
    </row>
    <row r="12" customFormat="false" ht="19.5" hidden="false" customHeight="true" outlineLevel="0" collapsed="false">
      <c r="A12" s="734"/>
      <c r="B12" s="740" t="s">
        <v>717</v>
      </c>
      <c r="C12" s="740"/>
      <c r="D12" s="741" t="n">
        <f aca="false">Dados!G15</f>
        <v>0</v>
      </c>
      <c r="E12" s="737" t="n">
        <f aca="false">Dados!$G$33</f>
        <v>1518</v>
      </c>
      <c r="F12" s="738" t="n">
        <f aca="false">D12*E12</f>
        <v>0</v>
      </c>
      <c r="G12" s="738" t="n">
        <f aca="false">F12</f>
        <v>0</v>
      </c>
      <c r="H12" s="738"/>
      <c r="I12" s="738"/>
      <c r="J12" s="739" t="n">
        <f aca="false">F12</f>
        <v>0</v>
      </c>
    </row>
    <row r="13" customFormat="false" ht="22.5" hidden="false" customHeight="true" outlineLevel="0" collapsed="false">
      <c r="A13" s="734"/>
      <c r="B13" s="742" t="s">
        <v>718</v>
      </c>
      <c r="C13" s="743" t="n">
        <f aca="false">Dados!$I$15</f>
        <v>0</v>
      </c>
      <c r="D13" s="743" t="n">
        <f aca="false">Dados!$J$15</f>
        <v>0</v>
      </c>
      <c r="E13" s="744" t="n">
        <f aca="false">Dados!$K$15</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2239.35</v>
      </c>
      <c r="G14" s="748" t="n">
        <f aca="false">SUM(G11:G13)</f>
        <v>2239.35</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1710.86</v>
      </c>
      <c r="G15" s="738" t="n">
        <f aca="false">F15</f>
        <v>1710.86</v>
      </c>
      <c r="H15" s="738"/>
      <c r="I15" s="738"/>
      <c r="J15" s="739" t="n">
        <f aca="false">ROUND((E15*J14),2)</f>
        <v>0</v>
      </c>
    </row>
    <row r="16" customFormat="false" ht="19.5" hidden="false" customHeight="true" outlineLevel="0" collapsed="false">
      <c r="A16" s="752" t="s">
        <v>721</v>
      </c>
      <c r="B16" s="752"/>
      <c r="C16" s="752"/>
      <c r="D16" s="752"/>
      <c r="E16" s="752"/>
      <c r="F16" s="753" t="n">
        <f aca="false">SUM(F14:F15)</f>
        <v>3950.21</v>
      </c>
      <c r="G16" s="753" t="n">
        <f aca="false">SUM(G14:G15)</f>
        <v>3950.21</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Dados!N15</f>
        <v>64.49</v>
      </c>
      <c r="G19" s="738" t="n">
        <f aca="false">F19</f>
        <v>64.49</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116.44</v>
      </c>
      <c r="G22" s="738" t="n">
        <f aca="false">F22</f>
        <v>116.44</v>
      </c>
      <c r="H22" s="738"/>
      <c r="I22" s="738" t="n">
        <f aca="false">F22</f>
        <v>116.44</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727</v>
      </c>
      <c r="B26" s="759"/>
      <c r="C26" s="762"/>
      <c r="D26" s="763"/>
      <c r="E26" s="763"/>
      <c r="F26" s="738"/>
      <c r="G26" s="738"/>
      <c r="H26" s="738"/>
      <c r="I26" s="738"/>
      <c r="J26" s="739"/>
      <c r="L26" s="766"/>
    </row>
    <row r="27" customFormat="false" ht="19.5" hidden="false" customHeight="true" outlineLevel="0" collapsed="false">
      <c r="A27" s="759" t="s">
        <v>728</v>
      </c>
      <c r="B27" s="767"/>
      <c r="C27" s="762"/>
      <c r="D27" s="763"/>
      <c r="E27" s="763"/>
      <c r="F27" s="738" t="n">
        <f aca="false">Dados!R15</f>
        <v>0</v>
      </c>
      <c r="G27" s="738"/>
      <c r="H27" s="738"/>
      <c r="I27" s="738"/>
      <c r="J27" s="739"/>
    </row>
    <row r="28" customFormat="false" ht="19.5" hidden="false" customHeight="true" outlineLevel="0" collapsed="false">
      <c r="A28" s="768" t="s">
        <v>729</v>
      </c>
      <c r="B28" s="768"/>
      <c r="C28" s="769"/>
      <c r="D28" s="770"/>
      <c r="E28" s="770"/>
      <c r="F28" s="745" t="n">
        <f aca="false">Dados!U15</f>
        <v>0</v>
      </c>
      <c r="G28" s="745" t="n">
        <f aca="false">F28</f>
        <v>0</v>
      </c>
      <c r="H28" s="745"/>
      <c r="I28" s="745"/>
      <c r="J28" s="746"/>
    </row>
    <row r="29" customFormat="false" ht="19.5" hidden="false" customHeight="true" outlineLevel="0" collapsed="false">
      <c r="A29" s="771" t="s">
        <v>730</v>
      </c>
      <c r="B29" s="771"/>
      <c r="C29" s="771"/>
      <c r="D29" s="771"/>
      <c r="E29" s="771"/>
      <c r="F29" s="753" t="n">
        <f aca="false">SUM(F19:F28)</f>
        <v>616.96</v>
      </c>
      <c r="G29" s="753" t="n">
        <f aca="false">SUM(G19:G28)</f>
        <v>616.96</v>
      </c>
      <c r="H29" s="753" t="n">
        <f aca="false">SUM(H19:H28)</f>
        <v>387.79</v>
      </c>
      <c r="I29" s="753" t="n">
        <f aca="false">SUM(I19:I28)</f>
        <v>116.44</v>
      </c>
      <c r="J29" s="754" t="n">
        <f aca="false">SUM(J19:J28)</f>
        <v>0</v>
      </c>
    </row>
    <row r="30" customFormat="false" ht="19.5" hidden="false" customHeight="true" outlineLevel="0" collapsed="false">
      <c r="A30" s="771" t="s">
        <v>731</v>
      </c>
      <c r="B30" s="771"/>
      <c r="C30" s="771"/>
      <c r="D30" s="771"/>
      <c r="E30" s="771"/>
      <c r="F30" s="753" t="n">
        <f aca="false">F16+F29</f>
        <v>4567.17</v>
      </c>
      <c r="G30" s="753" t="n">
        <f aca="false">G16+G29</f>
        <v>4567.17</v>
      </c>
      <c r="H30" s="753" t="n">
        <f aca="false">H16+H29</f>
        <v>387.79</v>
      </c>
      <c r="I30" s="753" t="n">
        <f aca="false">I16+I29</f>
        <v>116.44</v>
      </c>
      <c r="J30" s="754" t="n">
        <f aca="false">J16+J29</f>
        <v>0</v>
      </c>
    </row>
    <row r="31" customFormat="false" ht="19.5" hidden="false" customHeight="true" outlineLevel="0" collapsed="false">
      <c r="A31" s="728" t="s">
        <v>732</v>
      </c>
      <c r="B31" s="728"/>
      <c r="C31" s="728"/>
      <c r="D31" s="728"/>
      <c r="E31" s="728"/>
      <c r="F31" s="728"/>
      <c r="G31" s="728"/>
      <c r="H31" s="728"/>
      <c r="I31" s="728"/>
      <c r="J31" s="728"/>
    </row>
    <row r="32" customFormat="false" ht="19.5" hidden="false" customHeight="true" outlineLevel="0" collapsed="false">
      <c r="A32" s="756" t="s">
        <v>733</v>
      </c>
      <c r="B32" s="756"/>
      <c r="C32" s="756"/>
      <c r="D32" s="772" t="s">
        <v>671</v>
      </c>
      <c r="E32" s="773" t="s">
        <v>394</v>
      </c>
      <c r="F32" s="773"/>
      <c r="G32" s="773"/>
      <c r="H32" s="773"/>
      <c r="I32" s="773"/>
      <c r="J32" s="773"/>
    </row>
    <row r="33" customFormat="false" ht="19.5" hidden="false" customHeight="true" outlineLevel="0" collapsed="false">
      <c r="A33" s="774" t="s">
        <v>734</v>
      </c>
      <c r="B33" s="775"/>
      <c r="C33" s="775"/>
      <c r="D33" s="776" t="n">
        <f aca="false">Dados!$G$49</f>
        <v>0.07</v>
      </c>
      <c r="E33" s="777"/>
      <c r="F33" s="738" t="n">
        <f aca="false">ROUND((F30*$D$33),2)</f>
        <v>319.7</v>
      </c>
      <c r="G33" s="738" t="n">
        <f aca="false">ROUND((G30*$D$33),2)</f>
        <v>319.7</v>
      </c>
      <c r="H33" s="738" t="n">
        <f aca="false">ROUND((H30*$D$33),2)</f>
        <v>27.15</v>
      </c>
      <c r="I33" s="738" t="n">
        <f aca="false">ROUND((I30*$D$33),2)</f>
        <v>8.15</v>
      </c>
      <c r="J33" s="739" t="n">
        <f aca="false">ROUND((J30*$D$33),2)</f>
        <v>0</v>
      </c>
    </row>
    <row r="34" customFormat="false" ht="19.5" hidden="false" customHeight="true" outlineLevel="0" collapsed="false">
      <c r="A34" s="778" t="s">
        <v>735</v>
      </c>
      <c r="B34" s="778"/>
      <c r="C34" s="778"/>
      <c r="D34" s="776"/>
      <c r="E34" s="777"/>
      <c r="F34" s="738" t="n">
        <f aca="false">F30+F33</f>
        <v>4886.87</v>
      </c>
      <c r="G34" s="738" t="n">
        <f aca="false">G30+G33</f>
        <v>4886.87</v>
      </c>
      <c r="H34" s="738" t="n">
        <f aca="false">H30+H33</f>
        <v>414.94</v>
      </c>
      <c r="I34" s="738" t="n">
        <f aca="false">I30+I33</f>
        <v>124.59</v>
      </c>
      <c r="J34" s="739" t="n">
        <f aca="false">J30+J33</f>
        <v>0</v>
      </c>
    </row>
    <row r="35" customFormat="false" ht="19.5" hidden="false" customHeight="true" outlineLevel="0" collapsed="false">
      <c r="A35" s="779" t="s">
        <v>258</v>
      </c>
      <c r="B35" s="780"/>
      <c r="C35" s="780"/>
      <c r="D35" s="781" t="n">
        <f aca="false">Dados!$G$50</f>
        <v>0.0369</v>
      </c>
      <c r="E35" s="782"/>
      <c r="F35" s="745" t="n">
        <f aca="false">ROUND((F34*$D$35),2)</f>
        <v>180.33</v>
      </c>
      <c r="G35" s="745" t="n">
        <f aca="false">ROUND((G34*$D$35),2)</f>
        <v>180.33</v>
      </c>
      <c r="H35" s="745" t="n">
        <f aca="false">ROUND((H34*$D$35),2)</f>
        <v>15.31</v>
      </c>
      <c r="I35" s="745" t="n">
        <f aca="false">ROUND((I34*$D$35),2)</f>
        <v>4.6</v>
      </c>
      <c r="J35" s="746" t="n">
        <f aca="false">ROUND((J34*$D$35),2)</f>
        <v>0</v>
      </c>
    </row>
    <row r="36" customFormat="false" ht="19.5" hidden="false" customHeight="true" outlineLevel="0" collapsed="false">
      <c r="A36" s="783" t="s">
        <v>736</v>
      </c>
      <c r="B36" s="784"/>
      <c r="C36" s="784"/>
      <c r="D36" s="785" t="n">
        <f aca="false">SUM(D33:D35)</f>
        <v>0.1069</v>
      </c>
      <c r="E36" s="786"/>
      <c r="F36" s="753" t="n">
        <f aca="false">F33+F35</f>
        <v>500.03</v>
      </c>
      <c r="G36" s="753" t="n">
        <f aca="false">G33+G35</f>
        <v>500.03</v>
      </c>
      <c r="H36" s="753" t="n">
        <f aca="false">H33+H35</f>
        <v>42.46</v>
      </c>
      <c r="I36" s="753" t="n">
        <f aca="false">I33+I35</f>
        <v>12.75</v>
      </c>
      <c r="J36" s="754" t="n">
        <f aca="false">J33+J35</f>
        <v>0</v>
      </c>
    </row>
    <row r="37" customFormat="false" ht="19.5" hidden="false" customHeight="true" outlineLevel="0" collapsed="false">
      <c r="A37" s="787" t="s">
        <v>737</v>
      </c>
      <c r="B37" s="787"/>
      <c r="C37" s="787"/>
      <c r="D37" s="787"/>
      <c r="E37" s="787"/>
      <c r="F37" s="788" t="n">
        <f aca="false">F30+F36</f>
        <v>5067.2</v>
      </c>
      <c r="G37" s="788" t="n">
        <f aca="false">G30+G36</f>
        <v>5067.2</v>
      </c>
      <c r="H37" s="788" t="n">
        <f aca="false">H30+H36</f>
        <v>430.25</v>
      </c>
      <c r="I37" s="788" t="n">
        <f aca="false">I30+I36</f>
        <v>129.19</v>
      </c>
      <c r="J37" s="789" t="n">
        <f aca="false">J30+J36</f>
        <v>0</v>
      </c>
    </row>
    <row r="38" customFormat="false" ht="19.5" hidden="false" customHeight="true" outlineLevel="0" collapsed="false">
      <c r="A38" s="790" t="s">
        <v>738</v>
      </c>
      <c r="B38" s="790"/>
      <c r="C38" s="790"/>
      <c r="D38" s="790"/>
      <c r="E38" s="790"/>
      <c r="F38" s="790"/>
      <c r="G38" s="790"/>
      <c r="H38" s="790"/>
      <c r="I38" s="790"/>
      <c r="J38" s="790"/>
    </row>
    <row r="39" customFormat="false" ht="19.5" hidden="false" customHeight="true" outlineLevel="0" collapsed="false">
      <c r="A39" s="759" t="s">
        <v>264</v>
      </c>
      <c r="B39" s="759"/>
      <c r="C39" s="759"/>
      <c r="D39" s="776" t="n">
        <f aca="false">Dados!G57</f>
        <v>0.076</v>
      </c>
      <c r="E39" s="791"/>
      <c r="F39" s="738" t="n">
        <f aca="false">ROUND(($F$45*D39),2)</f>
        <v>433.92</v>
      </c>
      <c r="G39" s="738" t="n">
        <f aca="false">ROUND((G45*$D$39),2)</f>
        <v>433.92</v>
      </c>
      <c r="H39" s="738" t="n">
        <f aca="false">ROUND((H45*$D$39),2)</f>
        <v>36.84</v>
      </c>
      <c r="I39" s="738" t="n">
        <f aca="false">ROUND((I45*$D$39),2)</f>
        <v>11.06</v>
      </c>
      <c r="J39" s="739" t="n">
        <f aca="false">ROUND((J45*$D$39),2)</f>
        <v>0</v>
      </c>
    </row>
    <row r="40" customFormat="false" ht="19.5" hidden="false" customHeight="true" outlineLevel="0" collapsed="false">
      <c r="A40" s="759" t="s">
        <v>266</v>
      </c>
      <c r="B40" s="759"/>
      <c r="C40" s="759"/>
      <c r="D40" s="776" t="n">
        <f aca="false">Dados!G58</f>
        <v>0.0165</v>
      </c>
      <c r="E40" s="791"/>
      <c r="F40" s="738" t="n">
        <f aca="false">ROUND((F45*$D$40),2)</f>
        <v>94.21</v>
      </c>
      <c r="G40" s="738" t="n">
        <f aca="false">ROUND((G45*$D$40),2)</f>
        <v>94.21</v>
      </c>
      <c r="H40" s="738" t="n">
        <f aca="false">ROUND((H45*$D$40),2)</f>
        <v>8</v>
      </c>
      <c r="I40" s="738" t="n">
        <f aca="false">ROUND((I45*$D$40),2)</f>
        <v>2.4</v>
      </c>
      <c r="J40" s="739" t="n">
        <f aca="false">ROUND((J45*$D$40),2)</f>
        <v>0</v>
      </c>
    </row>
    <row r="41" customFormat="false" ht="19.5" hidden="false" customHeight="true" outlineLevel="0" collapsed="false">
      <c r="A41" s="759" t="str">
        <f aca="false">Dados!B59</f>
        <v>ISSQN 7.10 - Limpeza</v>
      </c>
      <c r="B41" s="759"/>
      <c r="C41" s="759"/>
      <c r="D41" s="776" t="n">
        <v>0</v>
      </c>
      <c r="E41" s="791"/>
      <c r="F41" s="738" t="n">
        <f aca="false">ROUND((F45*$D$41),2)</f>
        <v>0</v>
      </c>
      <c r="G41" s="738" t="n">
        <f aca="false">ROUND((G45*$D$41),2)</f>
        <v>0</v>
      </c>
      <c r="H41" s="738" t="n">
        <f aca="false">ROUND((H45*$D$41),2)</f>
        <v>0</v>
      </c>
      <c r="I41" s="738" t="n">
        <f aca="false">ROUND((I45*$D$41),2)</f>
        <v>0</v>
      </c>
      <c r="J41" s="739" t="n">
        <f aca="false">ROUND((J45*$D$41),2)</f>
        <v>0</v>
      </c>
    </row>
    <row r="42" customFormat="false" ht="19.5" hidden="false" customHeight="true" outlineLevel="0" collapsed="false">
      <c r="A42" s="759" t="str">
        <f aca="false">Dados!B60</f>
        <v>ISSQN 17.05 - Fornecimento de mão-de-obra</v>
      </c>
      <c r="B42" s="759"/>
      <c r="C42" s="759"/>
      <c r="D42" s="776" t="n">
        <f aca="false">Dados!G60</f>
        <v>0.02</v>
      </c>
      <c r="E42" s="791"/>
      <c r="F42" s="738" t="n">
        <f aca="false">ROUND((F45*$D$42),2)</f>
        <v>114.19</v>
      </c>
      <c r="G42" s="738" t="n">
        <f aca="false">ROUND((G45*$D$42),2)</f>
        <v>114.19</v>
      </c>
      <c r="H42" s="738" t="n">
        <f aca="false">ROUND((H45*$D$42),2)</f>
        <v>9.7</v>
      </c>
      <c r="I42" s="738" t="n">
        <f aca="false">ROUND((I45*$D$42),2)</f>
        <v>2.91</v>
      </c>
      <c r="J42" s="739" t="n">
        <f aca="false">ROUND((J45*$D$42),2)</f>
        <v>0</v>
      </c>
    </row>
    <row r="43" customFormat="false" ht="19.5" hidden="false" customHeight="true" outlineLevel="0" collapsed="false">
      <c r="A43" s="792" t="s">
        <v>739</v>
      </c>
      <c r="B43" s="792"/>
      <c r="C43" s="792"/>
      <c r="D43" s="793" t="n">
        <f aca="false">SUM(D39:D42)</f>
        <v>0.1125</v>
      </c>
      <c r="E43" s="794"/>
      <c r="F43" s="795" t="n">
        <f aca="false">SUM(F39:F42)</f>
        <v>642.32</v>
      </c>
      <c r="G43" s="795" t="n">
        <f aca="false">SUM(G39:G42)</f>
        <v>642.32</v>
      </c>
      <c r="H43" s="795" t="n">
        <f aca="false">SUM(H39:H42)</f>
        <v>54.54</v>
      </c>
      <c r="I43" s="795" t="n">
        <f aca="false">SUM(I39:I42)</f>
        <v>16.37</v>
      </c>
      <c r="J43" s="796" t="n">
        <f aca="false">SUM(J39:J41)</f>
        <v>0</v>
      </c>
    </row>
    <row r="44" customFormat="false" ht="19.5" hidden="false" customHeight="true" outlineLevel="0" collapsed="false">
      <c r="A44" s="797" t="str">
        <f aca="false">CONCATENATE("Custo Mensal - ",A7)</f>
        <v>Custo Mensal - Encarregado Geral</v>
      </c>
      <c r="B44" s="797"/>
      <c r="C44" s="797"/>
      <c r="D44" s="797"/>
      <c r="E44" s="797"/>
      <c r="F44" s="798" t="n">
        <f aca="false">ROUND(F37/(1-D43),2)</f>
        <v>5709.52</v>
      </c>
      <c r="G44" s="798" t="n">
        <f aca="false">ROUND(G37/(1-D43),2)</f>
        <v>5709.52</v>
      </c>
      <c r="H44" s="798" t="n">
        <f aca="false">ROUND(H37/(1-D43),2)</f>
        <v>484.79</v>
      </c>
      <c r="I44" s="798" t="n">
        <f aca="false">ROUND(I37/(1-D43),2)</f>
        <v>145.57</v>
      </c>
      <c r="J44" s="799" t="n">
        <f aca="false">ROUND(J37/(1-D43),2)</f>
        <v>0</v>
      </c>
    </row>
    <row r="45" customFormat="false" ht="19.5" hidden="false" customHeight="true" outlineLevel="0" collapsed="false">
      <c r="A45" s="797" t="str">
        <f aca="false">CONCATENATE("Valor do Custo Mensal - ",A7)</f>
        <v>Valor do Custo Mensal - Encarregado Geral</v>
      </c>
      <c r="B45" s="797"/>
      <c r="C45" s="797"/>
      <c r="D45" s="797"/>
      <c r="E45" s="797"/>
      <c r="F45" s="798" t="n">
        <f aca="false">F44</f>
        <v>5709.52</v>
      </c>
      <c r="G45" s="798" t="n">
        <f aca="false">G44</f>
        <v>5709.52</v>
      </c>
      <c r="H45" s="798" t="n">
        <f aca="false">H44</f>
        <v>484.79</v>
      </c>
      <c r="I45" s="798" t="n">
        <f aca="false">I44</f>
        <v>145.57</v>
      </c>
      <c r="J45" s="799" t="n">
        <f aca="false">J44</f>
        <v>0</v>
      </c>
      <c r="K45" s="800"/>
      <c r="L45" s="800"/>
    </row>
    <row r="46" customFormat="false" ht="27.75" hidden="false" customHeight="true" outlineLevel="0" collapsed="false">
      <c r="A46" s="801" t="s">
        <v>740</v>
      </c>
      <c r="B46" s="801"/>
      <c r="C46" s="801"/>
      <c r="D46" s="801"/>
      <c r="E46" s="801"/>
      <c r="F46" s="802" t="n">
        <f aca="false">(F45/F14)</f>
        <v>2.54963270591913</v>
      </c>
      <c r="G46" s="802" t="n">
        <f aca="false">(G45/G14)</f>
        <v>2.54963270591913</v>
      </c>
      <c r="H46" s="803" t="s">
        <v>741</v>
      </c>
      <c r="I46" s="803"/>
      <c r="J46" s="804" t="n">
        <v>0</v>
      </c>
    </row>
    <row r="47" customFormat="false" ht="19.5" hidden="false" customHeight="true" outlineLevel="0" collapsed="false"/>
  </sheetData>
  <sheetProtection algorithmName="SHA-512" hashValue="VL2ARy2Uqbv/ZS/lijckkRv8cE2+9QKxXg8Y1EtY639MzNmKQT0qhvdCpnnumL5qEruJ/HQjpvpJZqaXX1ym/Q==" saltValue="BOYdZFL54P5uFQaUypN4tQ=="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Dados!C16</f>
        <v>Copeira</v>
      </c>
      <c r="B7" s="724"/>
      <c r="C7" s="724"/>
      <c r="D7" s="724"/>
      <c r="E7" s="724"/>
      <c r="F7" s="725" t="s">
        <v>707</v>
      </c>
      <c r="G7" s="725" t="s">
        <v>708</v>
      </c>
      <c r="H7" s="725" t="s">
        <v>709</v>
      </c>
      <c r="I7" s="725" t="s">
        <v>710</v>
      </c>
      <c r="J7" s="725" t="s">
        <v>711</v>
      </c>
    </row>
    <row r="8" customFormat="false" ht="19.5" hidden="false" customHeight="true" outlineLevel="0" collapsed="false">
      <c r="A8" s="726" t="s">
        <v>743</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40" t="str">
        <f aca="false">A7</f>
        <v>Copeira</v>
      </c>
      <c r="C11" s="740"/>
      <c r="D11" s="736" t="n">
        <f aca="false">Dados!D16</f>
        <v>200</v>
      </c>
      <c r="E11" s="737" t="n">
        <f aca="false">Dados!E16</f>
        <v>1649.12</v>
      </c>
      <c r="F11" s="738" t="n">
        <f aca="false">ROUND(E11/220*D11,2)</f>
        <v>1499.2</v>
      </c>
      <c r="G11" s="738" t="n">
        <f aca="false">F11</f>
        <v>1499.2</v>
      </c>
      <c r="H11" s="738"/>
      <c r="I11" s="738"/>
      <c r="J11" s="739"/>
    </row>
    <row r="12" customFormat="false" ht="19.5" hidden="false" customHeight="true" outlineLevel="0" collapsed="false">
      <c r="A12" s="734"/>
      <c r="B12" s="740" t="s">
        <v>717</v>
      </c>
      <c r="C12" s="740"/>
      <c r="D12" s="741" t="n">
        <f aca="false">Dados!G16</f>
        <v>0</v>
      </c>
      <c r="E12" s="737" t="n">
        <f aca="false">Dados!$G$33</f>
        <v>1518</v>
      </c>
      <c r="F12" s="738" t="n">
        <f aca="false">D12*E12</f>
        <v>0</v>
      </c>
      <c r="G12" s="738" t="n">
        <f aca="false">F12</f>
        <v>0</v>
      </c>
      <c r="H12" s="738"/>
      <c r="I12" s="738"/>
      <c r="J12" s="739" t="n">
        <f aca="false">F12</f>
        <v>0</v>
      </c>
    </row>
    <row r="13" customFormat="false" ht="22.5" hidden="false" customHeight="true" outlineLevel="0" collapsed="false">
      <c r="A13" s="734"/>
      <c r="B13" s="742" t="s">
        <v>718</v>
      </c>
      <c r="C13" s="743" t="n">
        <f aca="false">Dados!$I$16</f>
        <v>0</v>
      </c>
      <c r="D13" s="743" t="n">
        <f aca="false">Dados!$J$16</f>
        <v>0</v>
      </c>
      <c r="E13" s="744" t="n">
        <f aca="false">Dados!$K$16</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1499.2</v>
      </c>
      <c r="G14" s="748" t="n">
        <f aca="false">SUM(G11:G13)</f>
        <v>1499.2</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1145.39</v>
      </c>
      <c r="G15" s="738" t="n">
        <f aca="false">F15</f>
        <v>1145.39</v>
      </c>
      <c r="H15" s="738"/>
      <c r="I15" s="738"/>
      <c r="J15" s="739" t="n">
        <f aca="false">ROUND((E15*J14),2)</f>
        <v>0</v>
      </c>
    </row>
    <row r="16" customFormat="false" ht="19.5" hidden="false" customHeight="true" outlineLevel="0" collapsed="false">
      <c r="A16" s="752" t="s">
        <v>721</v>
      </c>
      <c r="B16" s="752"/>
      <c r="C16" s="752"/>
      <c r="D16" s="752"/>
      <c r="E16" s="752"/>
      <c r="F16" s="753" t="n">
        <f aca="false">SUM(F14:F15)</f>
        <v>2644.59</v>
      </c>
      <c r="G16" s="753" t="n">
        <f aca="false">SUM(G14:G15)</f>
        <v>2644.59</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Dados!N16</f>
        <v>64.49</v>
      </c>
      <c r="G19" s="738" t="n">
        <f aca="false">F19</f>
        <v>64.49</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160.85</v>
      </c>
      <c r="G22" s="738" t="n">
        <f aca="false">F22</f>
        <v>160.85</v>
      </c>
      <c r="H22" s="738"/>
      <c r="I22" s="738" t="n">
        <f aca="false">F22</f>
        <v>160.85</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189</v>
      </c>
      <c r="B26" s="759"/>
      <c r="C26" s="762"/>
      <c r="D26" s="762"/>
      <c r="E26" s="763"/>
      <c r="F26" s="765" t="n">
        <f aca="false">Dados!T16</f>
        <v>0</v>
      </c>
      <c r="G26" s="738" t="n">
        <f aca="false">F26</f>
        <v>0</v>
      </c>
      <c r="H26" s="738"/>
      <c r="I26" s="765"/>
      <c r="J26" s="739"/>
    </row>
    <row r="27" customFormat="false" ht="19.5" hidden="false" customHeight="true" outlineLevel="0" collapsed="false">
      <c r="A27" s="759" t="s">
        <v>727</v>
      </c>
      <c r="B27" s="759"/>
      <c r="C27" s="762"/>
      <c r="D27" s="763"/>
      <c r="E27" s="763"/>
      <c r="F27" s="738" t="n">
        <v>0</v>
      </c>
      <c r="G27" s="738"/>
      <c r="H27" s="738"/>
      <c r="I27" s="738"/>
      <c r="J27" s="739"/>
      <c r="L27" s="766"/>
    </row>
    <row r="28" customFormat="false" ht="19.5" hidden="false" customHeight="true" outlineLevel="0" collapsed="false">
      <c r="A28" s="759" t="s">
        <v>728</v>
      </c>
      <c r="B28" s="767"/>
      <c r="C28" s="762"/>
      <c r="D28" s="763"/>
      <c r="E28" s="763"/>
      <c r="F28" s="738" t="n">
        <f aca="false">Dados!Q16</f>
        <v>269.75</v>
      </c>
      <c r="G28" s="738"/>
      <c r="H28" s="738"/>
      <c r="I28" s="738"/>
      <c r="J28" s="739"/>
    </row>
    <row r="29" customFormat="false" ht="19.5" hidden="false" customHeight="true" outlineLevel="0" collapsed="false">
      <c r="A29" s="768" t="s">
        <v>729</v>
      </c>
      <c r="B29" s="768"/>
      <c r="C29" s="769"/>
      <c r="D29" s="770"/>
      <c r="E29" s="770"/>
      <c r="F29" s="745" t="n">
        <f aca="false">Dados!U16</f>
        <v>0</v>
      </c>
      <c r="G29" s="745" t="n">
        <f aca="false">F29</f>
        <v>0</v>
      </c>
      <c r="H29" s="745"/>
      <c r="I29" s="745"/>
      <c r="J29" s="746"/>
    </row>
    <row r="30" customFormat="false" ht="19.5" hidden="false" customHeight="true" outlineLevel="0" collapsed="false">
      <c r="A30" s="771" t="s">
        <v>730</v>
      </c>
      <c r="B30" s="771"/>
      <c r="C30" s="771"/>
      <c r="D30" s="771"/>
      <c r="E30" s="771"/>
      <c r="F30" s="753" t="n">
        <f aca="false">SUM(F19:F29)</f>
        <v>931.12</v>
      </c>
      <c r="G30" s="753" t="n">
        <f aca="false">SUM(G19:G29)</f>
        <v>661.37</v>
      </c>
      <c r="H30" s="753" t="n">
        <f aca="false">SUM(H19:H29)</f>
        <v>387.79</v>
      </c>
      <c r="I30" s="753" t="n">
        <f aca="false">SUM(I19:I29)</f>
        <v>160.85</v>
      </c>
      <c r="J30" s="754" t="n">
        <f aca="false">SUM(J19:J29)</f>
        <v>0</v>
      </c>
    </row>
    <row r="31" customFormat="false" ht="19.5" hidden="false" customHeight="true" outlineLevel="0" collapsed="false">
      <c r="A31" s="771" t="s">
        <v>731</v>
      </c>
      <c r="B31" s="771"/>
      <c r="C31" s="771"/>
      <c r="D31" s="771"/>
      <c r="E31" s="771"/>
      <c r="F31" s="753" t="n">
        <f aca="false">F16+F30</f>
        <v>3575.71</v>
      </c>
      <c r="G31" s="753" t="n">
        <f aca="false">G16+G30</f>
        <v>3305.96</v>
      </c>
      <c r="H31" s="753" t="n">
        <f aca="false">H16+H30</f>
        <v>387.79</v>
      </c>
      <c r="I31" s="753" t="n">
        <f aca="false">I16+I30</f>
        <v>160.85</v>
      </c>
      <c r="J31" s="754" t="n">
        <f aca="false">J16+J30</f>
        <v>0</v>
      </c>
    </row>
    <row r="32" customFormat="false" ht="19.5" hidden="false" customHeight="true" outlineLevel="0" collapsed="false">
      <c r="A32" s="728" t="s">
        <v>732</v>
      </c>
      <c r="B32" s="728"/>
      <c r="C32" s="728"/>
      <c r="D32" s="728"/>
      <c r="E32" s="728"/>
      <c r="F32" s="728"/>
      <c r="G32" s="728"/>
      <c r="H32" s="728"/>
      <c r="I32" s="728"/>
      <c r="J32" s="728"/>
    </row>
    <row r="33" customFormat="false" ht="19.5" hidden="false" customHeight="true" outlineLevel="0" collapsed="false">
      <c r="A33" s="756" t="s">
        <v>733</v>
      </c>
      <c r="B33" s="756"/>
      <c r="C33" s="756"/>
      <c r="D33" s="772" t="s">
        <v>671</v>
      </c>
      <c r="E33" s="773" t="s">
        <v>394</v>
      </c>
      <c r="F33" s="773"/>
      <c r="G33" s="773"/>
      <c r="H33" s="773"/>
      <c r="I33" s="773"/>
      <c r="J33" s="773"/>
    </row>
    <row r="34" customFormat="false" ht="19.5" hidden="false" customHeight="true" outlineLevel="0" collapsed="false">
      <c r="A34" s="774" t="s">
        <v>734</v>
      </c>
      <c r="B34" s="775"/>
      <c r="C34" s="775"/>
      <c r="D34" s="776" t="n">
        <f aca="false">Dados!$G$49</f>
        <v>0.07</v>
      </c>
      <c r="E34" s="777"/>
      <c r="F34" s="738" t="n">
        <f aca="false">ROUND((F31*$D$34),2)</f>
        <v>250.3</v>
      </c>
      <c r="G34" s="738" t="n">
        <f aca="false">ROUND((G31*$D$34),2)</f>
        <v>231.42</v>
      </c>
      <c r="H34" s="738" t="n">
        <f aca="false">ROUND((H31*$D$34),2)</f>
        <v>27.15</v>
      </c>
      <c r="I34" s="738" t="n">
        <f aca="false">ROUND((I31*$D$34),2)</f>
        <v>11.26</v>
      </c>
      <c r="J34" s="739" t="n">
        <f aca="false">ROUND((J31*$D$34),2)</f>
        <v>0</v>
      </c>
    </row>
    <row r="35" customFormat="false" ht="19.5" hidden="false" customHeight="true" outlineLevel="0" collapsed="false">
      <c r="A35" s="778" t="s">
        <v>735</v>
      </c>
      <c r="B35" s="778"/>
      <c r="C35" s="778"/>
      <c r="D35" s="776"/>
      <c r="E35" s="777"/>
      <c r="F35" s="738" t="n">
        <f aca="false">F31+F34</f>
        <v>3826.01</v>
      </c>
      <c r="G35" s="738" t="n">
        <f aca="false">G31+G34</f>
        <v>3537.38</v>
      </c>
      <c r="H35" s="738" t="n">
        <f aca="false">H31+H34</f>
        <v>414.94</v>
      </c>
      <c r="I35" s="738" t="n">
        <f aca="false">I31+I34</f>
        <v>172.11</v>
      </c>
      <c r="J35" s="739" t="n">
        <f aca="false">J31+J34</f>
        <v>0</v>
      </c>
    </row>
    <row r="36" customFormat="false" ht="19.5" hidden="false" customHeight="true" outlineLevel="0" collapsed="false">
      <c r="A36" s="779" t="s">
        <v>258</v>
      </c>
      <c r="B36" s="780"/>
      <c r="C36" s="780"/>
      <c r="D36" s="781" t="n">
        <f aca="false">Dados!$G$50</f>
        <v>0.0369</v>
      </c>
      <c r="E36" s="782"/>
      <c r="F36" s="745" t="n">
        <f aca="false">ROUND((F35*$D$36),2)</f>
        <v>141.18</v>
      </c>
      <c r="G36" s="745" t="n">
        <f aca="false">ROUND((G35*$D$36),2)</f>
        <v>130.53</v>
      </c>
      <c r="H36" s="745" t="n">
        <f aca="false">ROUND((H35*$D$36),2)</f>
        <v>15.31</v>
      </c>
      <c r="I36" s="745" t="n">
        <f aca="false">ROUND((I35*$D$36),2)</f>
        <v>6.35</v>
      </c>
      <c r="J36" s="746" t="n">
        <f aca="false">ROUND((J35*$D$36),2)</f>
        <v>0</v>
      </c>
    </row>
    <row r="37" customFormat="false" ht="19.5" hidden="false" customHeight="true" outlineLevel="0" collapsed="false">
      <c r="A37" s="783" t="s">
        <v>736</v>
      </c>
      <c r="B37" s="784"/>
      <c r="C37" s="784"/>
      <c r="D37" s="785" t="n">
        <f aca="false">SUM(D34:D36)</f>
        <v>0.1069</v>
      </c>
      <c r="E37" s="786"/>
      <c r="F37" s="753" t="n">
        <f aca="false">F34+F36</f>
        <v>391.48</v>
      </c>
      <c r="G37" s="753" t="n">
        <f aca="false">G34+G36</f>
        <v>361.95</v>
      </c>
      <c r="H37" s="753" t="n">
        <f aca="false">H34+H36</f>
        <v>42.46</v>
      </c>
      <c r="I37" s="753" t="n">
        <f aca="false">I34+I36</f>
        <v>17.61</v>
      </c>
      <c r="J37" s="754" t="n">
        <f aca="false">J34+J36</f>
        <v>0</v>
      </c>
    </row>
    <row r="38" customFormat="false" ht="19.5" hidden="false" customHeight="true" outlineLevel="0" collapsed="false">
      <c r="A38" s="787" t="s">
        <v>737</v>
      </c>
      <c r="B38" s="787"/>
      <c r="C38" s="787"/>
      <c r="D38" s="787"/>
      <c r="E38" s="787"/>
      <c r="F38" s="788" t="n">
        <f aca="false">F31+F37</f>
        <v>3967.19</v>
      </c>
      <c r="G38" s="788" t="n">
        <f aca="false">G31+G37</f>
        <v>3667.91</v>
      </c>
      <c r="H38" s="788" t="n">
        <f aca="false">H31+H37</f>
        <v>430.25</v>
      </c>
      <c r="I38" s="788" t="n">
        <f aca="false">I31+I37</f>
        <v>178.46</v>
      </c>
      <c r="J38" s="789" t="n">
        <f aca="false">J31+J37</f>
        <v>0</v>
      </c>
    </row>
    <row r="39" customFormat="false" ht="19.5" hidden="false" customHeight="true" outlineLevel="0" collapsed="false">
      <c r="A39" s="790" t="s">
        <v>738</v>
      </c>
      <c r="B39" s="790"/>
      <c r="C39" s="790"/>
      <c r="D39" s="790"/>
      <c r="E39" s="790"/>
      <c r="F39" s="790"/>
      <c r="G39" s="790"/>
      <c r="H39" s="790"/>
      <c r="I39" s="790"/>
      <c r="J39" s="790"/>
    </row>
    <row r="40" customFormat="false" ht="19.5" hidden="false" customHeight="true" outlineLevel="0" collapsed="false">
      <c r="A40" s="759" t="s">
        <v>264</v>
      </c>
      <c r="B40" s="759"/>
      <c r="C40" s="759"/>
      <c r="D40" s="776" t="n">
        <f aca="false">Dados!G57</f>
        <v>0.076</v>
      </c>
      <c r="E40" s="791"/>
      <c r="F40" s="738" t="n">
        <f aca="false">ROUND(($F$46*D40),2)</f>
        <v>343.6</v>
      </c>
      <c r="G40" s="738" t="n">
        <f aca="false">ROUND((G46*$D$40),2)</f>
        <v>317.68</v>
      </c>
      <c r="H40" s="738" t="n">
        <f aca="false">ROUND((H46*$D$40),2)</f>
        <v>37.26</v>
      </c>
      <c r="I40" s="738" t="n">
        <f aca="false">ROUND((I46*$D$40),2)</f>
        <v>15.46</v>
      </c>
      <c r="J40" s="739" t="n">
        <f aca="false">ROUND((J46*$D$40),2)</f>
        <v>0</v>
      </c>
    </row>
    <row r="41" customFormat="false" ht="19.5" hidden="false" customHeight="true" outlineLevel="0" collapsed="false">
      <c r="A41" s="759" t="s">
        <v>266</v>
      </c>
      <c r="B41" s="759"/>
      <c r="C41" s="759"/>
      <c r="D41" s="776" t="n">
        <f aca="false">Dados!G58</f>
        <v>0.0165</v>
      </c>
      <c r="E41" s="791"/>
      <c r="F41" s="738" t="n">
        <f aca="false">ROUND((F46*$D$41),2)</f>
        <v>74.6</v>
      </c>
      <c r="G41" s="738" t="n">
        <f aca="false">ROUND((G46*$D$41),2)</f>
        <v>68.97</v>
      </c>
      <c r="H41" s="738" t="n">
        <f aca="false">ROUND((H46*$D$41),2)</f>
        <v>8.09</v>
      </c>
      <c r="I41" s="738" t="n">
        <f aca="false">ROUND((I46*$D$41),2)</f>
        <v>3.36</v>
      </c>
      <c r="J41" s="739" t="n">
        <f aca="false">ROUND((J46*$D$41),2)</f>
        <v>0</v>
      </c>
    </row>
    <row r="42" customFormat="false" ht="19.5" hidden="false" customHeight="true" outlineLevel="0" collapsed="false">
      <c r="A42" s="759" t="str">
        <f aca="false">Dados!B59</f>
        <v>ISSQN 7.10 - Limpeza</v>
      </c>
      <c r="B42" s="759"/>
      <c r="C42" s="759"/>
      <c r="D42" s="776" t="n">
        <f aca="false">Dados!G59</f>
        <v>0.03</v>
      </c>
      <c r="E42" s="791"/>
      <c r="F42" s="738" t="n">
        <f aca="false">ROUND((F46*$D$42),2)</f>
        <v>135.63</v>
      </c>
      <c r="G42" s="738" t="n">
        <f aca="false">ROUND((G46*$D$42),2)</f>
        <v>125.4</v>
      </c>
      <c r="H42" s="738" t="n">
        <f aca="false">ROUND((H46*$D$42),2)</f>
        <v>14.71</v>
      </c>
      <c r="I42" s="738" t="n">
        <f aca="false">ROUND((I46*$D$42),2)</f>
        <v>6.1</v>
      </c>
      <c r="J42" s="739" t="n">
        <f aca="false">ROUND((J46*$D$42),2)</f>
        <v>0</v>
      </c>
    </row>
    <row r="43" customFormat="false" ht="19.5" hidden="false" customHeight="true" outlineLevel="0" collapsed="false">
      <c r="A43" s="759" t="str">
        <f aca="false">Dados!B60</f>
        <v>ISSQN 17.05 - Fornecimento de mão-de-obra</v>
      </c>
      <c r="B43" s="759"/>
      <c r="C43" s="759"/>
      <c r="D43" s="776" t="n">
        <v>0</v>
      </c>
      <c r="E43" s="791"/>
      <c r="F43" s="738" t="n">
        <f aca="false">ROUND((F46*$D$43),2)</f>
        <v>0</v>
      </c>
      <c r="G43" s="738" t="n">
        <f aca="false">ROUND((G46*$D$43),2)</f>
        <v>0</v>
      </c>
      <c r="H43" s="738" t="n">
        <f aca="false">ROUND((H46*$D$43),2)</f>
        <v>0</v>
      </c>
      <c r="I43" s="738" t="n">
        <f aca="false">ROUND((I46*$D$43),2)</f>
        <v>0</v>
      </c>
      <c r="J43" s="739" t="n">
        <f aca="false">ROUND((J46*$D$43),2)</f>
        <v>0</v>
      </c>
    </row>
    <row r="44" customFormat="false" ht="19.5" hidden="false" customHeight="true" outlineLevel="0" collapsed="false">
      <c r="A44" s="792" t="s">
        <v>739</v>
      </c>
      <c r="B44" s="792"/>
      <c r="C44" s="792"/>
      <c r="D44" s="793" t="n">
        <f aca="false">SUM(D40:D43)</f>
        <v>0.1225</v>
      </c>
      <c r="E44" s="794"/>
      <c r="F44" s="795" t="n">
        <f aca="false">SUM(F40:F43)</f>
        <v>553.83</v>
      </c>
      <c r="G44" s="795" t="n">
        <f aca="false">SUM(G40:G43)</f>
        <v>512.05</v>
      </c>
      <c r="H44" s="795" t="n">
        <f aca="false">SUM(H40:H43)</f>
        <v>60.06</v>
      </c>
      <c r="I44" s="795" t="n">
        <f aca="false">SUM(I40:I43)</f>
        <v>24.92</v>
      </c>
      <c r="J44" s="796" t="n">
        <f aca="false">SUM(J40:J42)</f>
        <v>0</v>
      </c>
    </row>
    <row r="45" customFormat="false" ht="19.5" hidden="false" customHeight="true" outlineLevel="0" collapsed="false">
      <c r="A45" s="797" t="str">
        <f aca="false">CONCATENATE("Custo Mensal - ",A7)</f>
        <v>Custo Mensal - Copeira</v>
      </c>
      <c r="B45" s="797"/>
      <c r="C45" s="797"/>
      <c r="D45" s="797"/>
      <c r="E45" s="797"/>
      <c r="F45" s="798" t="n">
        <f aca="false">ROUND(F38/(1-D44),2)</f>
        <v>4521.01</v>
      </c>
      <c r="G45" s="798" t="n">
        <f aca="false">ROUND(G38/(1-D44),2)</f>
        <v>4179.95</v>
      </c>
      <c r="H45" s="798" t="n">
        <f aca="false">ROUND(H38/(1-D44),2)</f>
        <v>490.31</v>
      </c>
      <c r="I45" s="798" t="n">
        <f aca="false">ROUND(I38/(1-D44),2)</f>
        <v>203.37</v>
      </c>
      <c r="J45" s="799" t="n">
        <f aca="false">ROUND(J38/(1-D44),2)</f>
        <v>0</v>
      </c>
    </row>
    <row r="46" customFormat="false" ht="19.5" hidden="false" customHeight="true" outlineLevel="0" collapsed="false">
      <c r="A46" s="797" t="str">
        <f aca="false">CONCATENATE("Valor do Custo Mensal - ",A7)</f>
        <v>Valor do Custo Mensal - Copeira</v>
      </c>
      <c r="B46" s="797"/>
      <c r="C46" s="797"/>
      <c r="D46" s="797"/>
      <c r="E46" s="797"/>
      <c r="F46" s="798" t="n">
        <f aca="false">F45</f>
        <v>4521.01</v>
      </c>
      <c r="G46" s="798" t="n">
        <f aca="false">G45</f>
        <v>4179.95</v>
      </c>
      <c r="H46" s="798" t="n">
        <f aca="false">H45</f>
        <v>490.31</v>
      </c>
      <c r="I46" s="798" t="n">
        <f aca="false">I45</f>
        <v>203.37</v>
      </c>
      <c r="J46" s="799" t="n">
        <f aca="false">J45</f>
        <v>0</v>
      </c>
      <c r="K46" s="800"/>
      <c r="L46" s="800"/>
    </row>
    <row r="47" customFormat="false" ht="27.75" hidden="false" customHeight="true" outlineLevel="0" collapsed="false">
      <c r="A47" s="801" t="s">
        <v>740</v>
      </c>
      <c r="B47" s="801"/>
      <c r="C47" s="801"/>
      <c r="D47" s="801"/>
      <c r="E47" s="801"/>
      <c r="F47" s="802" t="n">
        <f aca="false">(F46/F14)</f>
        <v>3.01561499466382</v>
      </c>
      <c r="G47" s="802" t="n">
        <f aca="false">(G46/G14)</f>
        <v>2.78812033084312</v>
      </c>
      <c r="H47" s="803" t="s">
        <v>741</v>
      </c>
      <c r="I47" s="803"/>
      <c r="J47" s="804" t="n">
        <v>0</v>
      </c>
    </row>
    <row r="48" customFormat="false" ht="19.5" hidden="false" customHeight="true" outlineLevel="0" collapsed="false"/>
  </sheetData>
  <sheetProtection algorithmName="SHA-512" hashValue="gJT7mNM2NUZnpNBC1yHWGqiSvnfMlRYdCfh4SfgqoD0jhIdd9KCQLhqzKte2WrQ9lR9LX4M49sHp+jc8kIVzmQ==" saltValue="T+4jY4l50DHfdeWNCC9lPg=="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8"/>
  <sheetViews>
    <sheetView showFormulas="false" showGridLines="true" showRowColHeaders="true" showZeros="true" rightToLeft="false" tabSelected="false" showOutlineSymbols="true" defaultGridColor="true" view="normal" topLeftCell="A37"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Dados!C10</f>
        <v>Servente de Limpeza insalubridade (20%)</v>
      </c>
      <c r="B7" s="724"/>
      <c r="C7" s="724"/>
      <c r="D7" s="724"/>
      <c r="E7" s="724"/>
      <c r="F7" s="725" t="s">
        <v>707</v>
      </c>
      <c r="G7" s="725" t="s">
        <v>708</v>
      </c>
      <c r="H7" s="725" t="s">
        <v>709</v>
      </c>
      <c r="I7" s="725" t="s">
        <v>710</v>
      </c>
      <c r="J7" s="725" t="s">
        <v>711</v>
      </c>
    </row>
    <row r="8" customFormat="false" ht="19.5" hidden="false" customHeight="true" outlineLevel="0" collapsed="false">
      <c r="A8" s="726" t="s">
        <v>712</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40" t="str">
        <f aca="false">A7</f>
        <v>Servente de Limpeza insalubridade (20%)</v>
      </c>
      <c r="C11" s="740"/>
      <c r="D11" s="736" t="n">
        <f aca="false">Dados!D10</f>
        <v>200</v>
      </c>
      <c r="E11" s="737" t="n">
        <f aca="false">Dados!E10</f>
        <v>1649.12</v>
      </c>
      <c r="F11" s="738" t="n">
        <f aca="false">ROUND(E11/220*D11,2)</f>
        <v>1499.2</v>
      </c>
      <c r="G11" s="738" t="n">
        <f aca="false">F11</f>
        <v>1499.2</v>
      </c>
      <c r="H11" s="738"/>
      <c r="I11" s="738"/>
      <c r="J11" s="739"/>
    </row>
    <row r="12" customFormat="false" ht="19.5" hidden="false" customHeight="true" outlineLevel="0" collapsed="false">
      <c r="A12" s="734"/>
      <c r="B12" s="740" t="s">
        <v>717</v>
      </c>
      <c r="C12" s="740"/>
      <c r="D12" s="741" t="n">
        <f aca="false">Dados!G10</f>
        <v>0.2</v>
      </c>
      <c r="E12" s="737" t="n">
        <f aca="false">Dados!$G$33</f>
        <v>1518</v>
      </c>
      <c r="F12" s="738" t="n">
        <f aca="false">D12*E12</f>
        <v>303.6</v>
      </c>
      <c r="G12" s="738" t="n">
        <f aca="false">F12</f>
        <v>303.6</v>
      </c>
      <c r="H12" s="738"/>
      <c r="I12" s="738"/>
      <c r="J12" s="739" t="n">
        <f aca="false">F12</f>
        <v>303.6</v>
      </c>
    </row>
    <row r="13" customFormat="false" ht="22.5" hidden="false" customHeight="true" outlineLevel="0" collapsed="false">
      <c r="A13" s="734"/>
      <c r="B13" s="742" t="s">
        <v>718</v>
      </c>
      <c r="C13" s="743" t="n">
        <f aca="false">Dados!$I$10</f>
        <v>0</v>
      </c>
      <c r="D13" s="743" t="n">
        <f aca="false">Dados!$J$10</f>
        <v>0</v>
      </c>
      <c r="E13" s="744" t="n">
        <f aca="false">Dados!$K$10</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1802.8</v>
      </c>
      <c r="G14" s="748" t="n">
        <f aca="false">SUM(G11:G13)</f>
        <v>1802.8</v>
      </c>
      <c r="H14" s="748" t="n">
        <f aca="false">SUM(H11:H13)</f>
        <v>0</v>
      </c>
      <c r="I14" s="748" t="n">
        <f aca="false">SUM(I11:I13)</f>
        <v>0</v>
      </c>
      <c r="J14" s="749" t="n">
        <f aca="false">SUM(J11:J13)</f>
        <v>303.6</v>
      </c>
    </row>
    <row r="15" customFormat="false" ht="19.5" hidden="false" customHeight="true" outlineLevel="0" collapsed="false">
      <c r="A15" s="734"/>
      <c r="B15" s="750" t="s">
        <v>720</v>
      </c>
      <c r="C15" s="750"/>
      <c r="D15" s="750"/>
      <c r="E15" s="751" t="n">
        <f aca="false">Encargos!$C$57</f>
        <v>0.764</v>
      </c>
      <c r="F15" s="738" t="n">
        <f aca="false">ROUND((E15*F14),2)</f>
        <v>1377.34</v>
      </c>
      <c r="G15" s="738" t="n">
        <f aca="false">F15</f>
        <v>1377.34</v>
      </c>
      <c r="H15" s="738"/>
      <c r="I15" s="738"/>
      <c r="J15" s="739" t="n">
        <f aca="false">ROUND((E15*J14),2)</f>
        <v>231.95</v>
      </c>
    </row>
    <row r="16" customFormat="false" ht="19.5" hidden="false" customHeight="true" outlineLevel="0" collapsed="false">
      <c r="A16" s="752" t="s">
        <v>721</v>
      </c>
      <c r="B16" s="752"/>
      <c r="C16" s="752"/>
      <c r="D16" s="752"/>
      <c r="E16" s="752"/>
      <c r="F16" s="753" t="n">
        <f aca="false">SUM(F14:F15)</f>
        <v>3180.14</v>
      </c>
      <c r="G16" s="753" t="n">
        <f aca="false">SUM(G14:G15)</f>
        <v>3180.14</v>
      </c>
      <c r="H16" s="753" t="n">
        <f aca="false">SUM(H14:H15)</f>
        <v>0</v>
      </c>
      <c r="I16" s="753" t="n">
        <f aca="false">SUM(I14:I15)</f>
        <v>0</v>
      </c>
      <c r="J16" s="754" t="n">
        <f aca="false">SUM(J14:J15)</f>
        <v>535.55</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Dados!N10</f>
        <v>27.83</v>
      </c>
      <c r="G19" s="738" t="n">
        <f aca="false">F19</f>
        <v>27.83</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160.85</v>
      </c>
      <c r="G22" s="738" t="n">
        <f aca="false">F22</f>
        <v>160.85</v>
      </c>
      <c r="H22" s="738"/>
      <c r="I22" s="738" t="n">
        <f aca="false">F22</f>
        <v>160.85</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189</v>
      </c>
      <c r="B26" s="759"/>
      <c r="C26" s="762"/>
      <c r="D26" s="762"/>
      <c r="E26" s="763"/>
      <c r="F26" s="765" t="n">
        <f aca="false">Dados!T10</f>
        <v>4.94083333333333</v>
      </c>
      <c r="G26" s="738" t="n">
        <f aca="false">F26</f>
        <v>4.94083333333333</v>
      </c>
      <c r="H26" s="738"/>
      <c r="I26" s="765"/>
      <c r="J26" s="739"/>
    </row>
    <row r="27" customFormat="false" ht="19.5" hidden="false" customHeight="true" outlineLevel="0" collapsed="false">
      <c r="A27" s="759" t="s">
        <v>727</v>
      </c>
      <c r="B27" s="759"/>
      <c r="C27" s="762"/>
      <c r="D27" s="763"/>
      <c r="E27" s="763"/>
      <c r="F27" s="738" t="n">
        <f aca="false">Dados!O10</f>
        <v>1017.12</v>
      </c>
      <c r="G27" s="738"/>
      <c r="H27" s="738"/>
      <c r="I27" s="738"/>
      <c r="J27" s="739"/>
      <c r="L27" s="766"/>
    </row>
    <row r="28" customFormat="false" ht="19.5" hidden="false" customHeight="true" outlineLevel="0" collapsed="false">
      <c r="A28" s="759" t="s">
        <v>744</v>
      </c>
      <c r="B28" s="767"/>
      <c r="C28" s="762"/>
      <c r="D28" s="763"/>
      <c r="E28" s="763"/>
      <c r="F28" s="738" t="n">
        <f aca="false">Dados!R10</f>
        <v>0</v>
      </c>
      <c r="G28" s="738"/>
      <c r="H28" s="738"/>
      <c r="I28" s="738"/>
      <c r="J28" s="739"/>
    </row>
    <row r="29" customFormat="false" ht="19.5" hidden="false" customHeight="true" outlineLevel="0" collapsed="false">
      <c r="A29" s="768" t="s">
        <v>729</v>
      </c>
      <c r="B29" s="768"/>
      <c r="C29" s="769"/>
      <c r="D29" s="770"/>
      <c r="E29" s="770"/>
      <c r="F29" s="745" t="n">
        <f aca="false">Dados!U10</f>
        <v>4.54473776223776</v>
      </c>
      <c r="G29" s="745" t="n">
        <f aca="false">F29</f>
        <v>4.54473776223776</v>
      </c>
      <c r="H29" s="745"/>
      <c r="I29" s="745"/>
      <c r="J29" s="746"/>
    </row>
    <row r="30" customFormat="false" ht="19.5" hidden="false" customHeight="true" outlineLevel="0" collapsed="false">
      <c r="A30" s="771" t="s">
        <v>730</v>
      </c>
      <c r="B30" s="771"/>
      <c r="C30" s="771"/>
      <c r="D30" s="771"/>
      <c r="E30" s="771"/>
      <c r="F30" s="753" t="n">
        <f aca="false">SUM(F19:F29)</f>
        <v>1651.31557109557</v>
      </c>
      <c r="G30" s="753" t="n">
        <f aca="false">SUM(G19:G29)</f>
        <v>634.195571095571</v>
      </c>
      <c r="H30" s="753" t="n">
        <f aca="false">SUM(H19:H29)</f>
        <v>387.79</v>
      </c>
      <c r="I30" s="753" t="n">
        <f aca="false">SUM(I19:I29)</f>
        <v>160.85</v>
      </c>
      <c r="J30" s="754" t="n">
        <f aca="false">SUM(J19:J29)</f>
        <v>0</v>
      </c>
    </row>
    <row r="31" customFormat="false" ht="19.5" hidden="false" customHeight="true" outlineLevel="0" collapsed="false">
      <c r="A31" s="771" t="s">
        <v>731</v>
      </c>
      <c r="B31" s="771"/>
      <c r="C31" s="771"/>
      <c r="D31" s="771"/>
      <c r="E31" s="771"/>
      <c r="F31" s="753" t="n">
        <f aca="false">F16+F30</f>
        <v>4831.45557109557</v>
      </c>
      <c r="G31" s="753" t="n">
        <f aca="false">G16+G30</f>
        <v>3814.33557109557</v>
      </c>
      <c r="H31" s="753" t="n">
        <f aca="false">H16+H30</f>
        <v>387.79</v>
      </c>
      <c r="I31" s="753" t="n">
        <f aca="false">I16+I30</f>
        <v>160.85</v>
      </c>
      <c r="J31" s="754" t="n">
        <f aca="false">J16+J30</f>
        <v>535.55</v>
      </c>
    </row>
    <row r="32" customFormat="false" ht="19.5" hidden="false" customHeight="true" outlineLevel="0" collapsed="false">
      <c r="A32" s="728" t="s">
        <v>732</v>
      </c>
      <c r="B32" s="728"/>
      <c r="C32" s="728"/>
      <c r="D32" s="728"/>
      <c r="E32" s="728"/>
      <c r="F32" s="728"/>
      <c r="G32" s="728"/>
      <c r="H32" s="728"/>
      <c r="I32" s="728"/>
      <c r="J32" s="728"/>
    </row>
    <row r="33" customFormat="false" ht="19.5" hidden="false" customHeight="true" outlineLevel="0" collapsed="false">
      <c r="A33" s="756" t="s">
        <v>733</v>
      </c>
      <c r="B33" s="756"/>
      <c r="C33" s="756"/>
      <c r="D33" s="772" t="s">
        <v>671</v>
      </c>
      <c r="E33" s="773" t="s">
        <v>394</v>
      </c>
      <c r="F33" s="773"/>
      <c r="G33" s="773"/>
      <c r="H33" s="773"/>
      <c r="I33" s="773"/>
      <c r="J33" s="773"/>
    </row>
    <row r="34" customFormat="false" ht="19.5" hidden="false" customHeight="true" outlineLevel="0" collapsed="false">
      <c r="A34" s="774" t="s">
        <v>734</v>
      </c>
      <c r="B34" s="775"/>
      <c r="C34" s="775"/>
      <c r="D34" s="776" t="n">
        <f aca="false">Dados!$G$49</f>
        <v>0.07</v>
      </c>
      <c r="E34" s="777"/>
      <c r="F34" s="738" t="n">
        <f aca="false">ROUND((F31*$D$34),2)</f>
        <v>338.2</v>
      </c>
      <c r="G34" s="738" t="n">
        <f aca="false">ROUND((G31*$D$34),2)</f>
        <v>267</v>
      </c>
      <c r="H34" s="738" t="n">
        <f aca="false">ROUND((H31*$D$34),2)</f>
        <v>27.15</v>
      </c>
      <c r="I34" s="738" t="n">
        <f aca="false">ROUND((I31*$D$34),2)</f>
        <v>11.26</v>
      </c>
      <c r="J34" s="739" t="n">
        <f aca="false">ROUND((J31*$D$34),2)</f>
        <v>37.49</v>
      </c>
    </row>
    <row r="35" customFormat="false" ht="19.5" hidden="false" customHeight="true" outlineLevel="0" collapsed="false">
      <c r="A35" s="778" t="s">
        <v>735</v>
      </c>
      <c r="B35" s="778"/>
      <c r="C35" s="778"/>
      <c r="D35" s="776"/>
      <c r="E35" s="777"/>
      <c r="F35" s="738" t="n">
        <f aca="false">F31+F34</f>
        <v>5169.65557109557</v>
      </c>
      <c r="G35" s="738" t="n">
        <f aca="false">G31+G34</f>
        <v>4081.33557109557</v>
      </c>
      <c r="H35" s="738" t="n">
        <f aca="false">H31+H34</f>
        <v>414.94</v>
      </c>
      <c r="I35" s="738" t="n">
        <f aca="false">I31+I34</f>
        <v>172.11</v>
      </c>
      <c r="J35" s="739" t="n">
        <f aca="false">J31+J34</f>
        <v>573.04</v>
      </c>
    </row>
    <row r="36" customFormat="false" ht="19.5" hidden="false" customHeight="true" outlineLevel="0" collapsed="false">
      <c r="A36" s="779" t="s">
        <v>258</v>
      </c>
      <c r="B36" s="780"/>
      <c r="C36" s="780"/>
      <c r="D36" s="781" t="n">
        <f aca="false">Dados!$G$50</f>
        <v>0.0369</v>
      </c>
      <c r="E36" s="782"/>
      <c r="F36" s="745" t="n">
        <f aca="false">ROUND((F35*$D$36),2)</f>
        <v>190.76</v>
      </c>
      <c r="G36" s="745" t="n">
        <f aca="false">ROUND((G35*$D$36),2)</f>
        <v>150.6</v>
      </c>
      <c r="H36" s="745" t="n">
        <f aca="false">ROUND((H35*$D$36),2)</f>
        <v>15.31</v>
      </c>
      <c r="I36" s="745" t="n">
        <f aca="false">ROUND((I35*$D$36),2)</f>
        <v>6.35</v>
      </c>
      <c r="J36" s="746" t="n">
        <f aca="false">ROUND((J35*$D$36),2)</f>
        <v>21.15</v>
      </c>
    </row>
    <row r="37" customFormat="false" ht="19.5" hidden="false" customHeight="true" outlineLevel="0" collapsed="false">
      <c r="A37" s="783" t="s">
        <v>736</v>
      </c>
      <c r="B37" s="784"/>
      <c r="C37" s="784"/>
      <c r="D37" s="785" t="n">
        <f aca="false">SUM(D34:D36)</f>
        <v>0.1069</v>
      </c>
      <c r="E37" s="786"/>
      <c r="F37" s="753" t="n">
        <f aca="false">F34+F36</f>
        <v>528.96</v>
      </c>
      <c r="G37" s="753" t="n">
        <f aca="false">G34+G36</f>
        <v>417.6</v>
      </c>
      <c r="H37" s="753" t="n">
        <f aca="false">H34+H36</f>
        <v>42.46</v>
      </c>
      <c r="I37" s="753" t="n">
        <f aca="false">I34+I36</f>
        <v>17.61</v>
      </c>
      <c r="J37" s="754" t="n">
        <f aca="false">J34+J36</f>
        <v>58.64</v>
      </c>
    </row>
    <row r="38" customFormat="false" ht="19.5" hidden="false" customHeight="true" outlineLevel="0" collapsed="false">
      <c r="A38" s="787" t="s">
        <v>737</v>
      </c>
      <c r="B38" s="787"/>
      <c r="C38" s="787"/>
      <c r="D38" s="787"/>
      <c r="E38" s="787"/>
      <c r="F38" s="788" t="n">
        <f aca="false">F31+F37</f>
        <v>5360.41557109557</v>
      </c>
      <c r="G38" s="788" t="n">
        <f aca="false">G31+G37</f>
        <v>4231.93557109557</v>
      </c>
      <c r="H38" s="788" t="n">
        <f aca="false">H31+H37</f>
        <v>430.25</v>
      </c>
      <c r="I38" s="788" t="n">
        <f aca="false">I31+I37</f>
        <v>178.46</v>
      </c>
      <c r="J38" s="789" t="n">
        <f aca="false">J31+J37</f>
        <v>594.19</v>
      </c>
    </row>
    <row r="39" customFormat="false" ht="19.5" hidden="false" customHeight="true" outlineLevel="0" collapsed="false">
      <c r="A39" s="790" t="s">
        <v>738</v>
      </c>
      <c r="B39" s="790"/>
      <c r="C39" s="790"/>
      <c r="D39" s="790"/>
      <c r="E39" s="790"/>
      <c r="F39" s="790"/>
      <c r="G39" s="790"/>
      <c r="H39" s="790"/>
      <c r="I39" s="790"/>
      <c r="J39" s="790"/>
    </row>
    <row r="40" customFormat="false" ht="19.5" hidden="false" customHeight="true" outlineLevel="0" collapsed="false">
      <c r="A40" s="759" t="s">
        <v>264</v>
      </c>
      <c r="B40" s="759"/>
      <c r="C40" s="759"/>
      <c r="D40" s="776" t="n">
        <f aca="false">Dados!G57</f>
        <v>0.076</v>
      </c>
      <c r="E40" s="791"/>
      <c r="F40" s="738" t="n">
        <f aca="false">ROUND(($F$46*D40),2)</f>
        <v>464.26</v>
      </c>
      <c r="G40" s="738" t="n">
        <f aca="false">ROUND((G46*$D$40),2)</f>
        <v>366.53</v>
      </c>
      <c r="H40" s="738" t="n">
        <f aca="false">ROUND((H46*$D$40),2)</f>
        <v>37.26</v>
      </c>
      <c r="I40" s="738" t="n">
        <f aca="false">ROUND((I46*$D$40),2)</f>
        <v>15.46</v>
      </c>
      <c r="J40" s="739" t="n">
        <f aca="false">ROUND((J46*$D$40),2)</f>
        <v>51.46</v>
      </c>
    </row>
    <row r="41" customFormat="false" ht="19.5" hidden="false" customHeight="true" outlineLevel="0" collapsed="false">
      <c r="A41" s="759" t="s">
        <v>266</v>
      </c>
      <c r="B41" s="759"/>
      <c r="C41" s="759"/>
      <c r="D41" s="776" t="n">
        <f aca="false">Dados!G58</f>
        <v>0.0165</v>
      </c>
      <c r="E41" s="791"/>
      <c r="F41" s="738" t="n">
        <f aca="false">ROUND((F46*$D$41),2)</f>
        <v>100.79</v>
      </c>
      <c r="G41" s="738" t="n">
        <f aca="false">ROUND((G46*$D$41),2)</f>
        <v>79.57</v>
      </c>
      <c r="H41" s="738" t="n">
        <f aca="false">ROUND((H46*$D$41),2)</f>
        <v>8.09</v>
      </c>
      <c r="I41" s="738" t="n">
        <f aca="false">ROUND((I46*$D$41),2)</f>
        <v>3.36</v>
      </c>
      <c r="J41" s="739" t="n">
        <f aca="false">ROUND((J46*$D$41),2)</f>
        <v>11.17</v>
      </c>
    </row>
    <row r="42" customFormat="false" ht="19.5" hidden="false" customHeight="true" outlineLevel="0" collapsed="false">
      <c r="A42" s="759" t="str">
        <f aca="false">Dados!B59</f>
        <v>ISSQN 7.10 - Limpeza</v>
      </c>
      <c r="B42" s="759"/>
      <c r="C42" s="759"/>
      <c r="D42" s="776" t="n">
        <f aca="false">Dados!G59</f>
        <v>0.03</v>
      </c>
      <c r="E42" s="791"/>
      <c r="F42" s="738" t="n">
        <f aca="false">ROUND((F46*$D$42),2)</f>
        <v>183.26</v>
      </c>
      <c r="G42" s="738" t="n">
        <f aca="false">ROUND((G46*$D$42),2)</f>
        <v>144.68</v>
      </c>
      <c r="H42" s="738" t="n">
        <f aca="false">ROUND((H46*$D$42),2)</f>
        <v>14.71</v>
      </c>
      <c r="I42" s="738" t="n">
        <f aca="false">ROUND((I46*$D$42),2)</f>
        <v>6.1</v>
      </c>
      <c r="J42" s="739" t="n">
        <f aca="false">ROUND((J46*$D$42),2)</f>
        <v>20.31</v>
      </c>
    </row>
    <row r="43" customFormat="false" ht="19.5" hidden="false" customHeight="true" outlineLevel="0" collapsed="false">
      <c r="A43" s="759" t="str">
        <f aca="false">Dados!B60</f>
        <v>ISSQN 17.05 - Fornecimento de mão-de-obra</v>
      </c>
      <c r="B43" s="759"/>
      <c r="C43" s="759"/>
      <c r="D43" s="776" t="n">
        <v>0</v>
      </c>
      <c r="E43" s="791"/>
      <c r="F43" s="738" t="n">
        <f aca="false">ROUND((F46*$D$43),2)</f>
        <v>0</v>
      </c>
      <c r="G43" s="738" t="n">
        <f aca="false">ROUND((G46*$D$43),2)</f>
        <v>0</v>
      </c>
      <c r="H43" s="738" t="n">
        <f aca="false">ROUND((H46*$D$43),2)</f>
        <v>0</v>
      </c>
      <c r="I43" s="738" t="n">
        <f aca="false">ROUND((I46*$D$43),2)</f>
        <v>0</v>
      </c>
      <c r="J43" s="739" t="n">
        <f aca="false">ROUND((J46*$D$43),2)</f>
        <v>0</v>
      </c>
    </row>
    <row r="44" customFormat="false" ht="19.5" hidden="false" customHeight="true" outlineLevel="0" collapsed="false">
      <c r="A44" s="792" t="s">
        <v>739</v>
      </c>
      <c r="B44" s="792"/>
      <c r="C44" s="792"/>
      <c r="D44" s="793" t="n">
        <f aca="false">SUM(D40:D43)</f>
        <v>0.1225</v>
      </c>
      <c r="E44" s="794"/>
      <c r="F44" s="795" t="n">
        <f aca="false">SUM(F40:F43)</f>
        <v>748.31</v>
      </c>
      <c r="G44" s="795" t="n">
        <f aca="false">SUM(G40:G43)</f>
        <v>590.78</v>
      </c>
      <c r="H44" s="795" t="n">
        <f aca="false">SUM(H40:H43)</f>
        <v>60.06</v>
      </c>
      <c r="I44" s="795" t="n">
        <f aca="false">SUM(I40:I43)</f>
        <v>24.92</v>
      </c>
      <c r="J44" s="796" t="n">
        <f aca="false">SUM(J40:J42)</f>
        <v>82.94</v>
      </c>
    </row>
    <row r="45" customFormat="false" ht="19.5" hidden="false" customHeight="true" outlineLevel="0" collapsed="false">
      <c r="A45" s="797" t="str">
        <f aca="false">CONCATENATE("Custo Mensal - ",A7)</f>
        <v>Custo Mensal - Servente de Limpeza insalubridade (20%)</v>
      </c>
      <c r="B45" s="797"/>
      <c r="C45" s="797"/>
      <c r="D45" s="797"/>
      <c r="E45" s="797"/>
      <c r="F45" s="798" t="n">
        <f aca="false">ROUND(F38/(1-D44),2)</f>
        <v>6108.74</v>
      </c>
      <c r="G45" s="798" t="n">
        <f aca="false">ROUND(G38/(1-D44),2)</f>
        <v>4822.72</v>
      </c>
      <c r="H45" s="798" t="n">
        <f aca="false">ROUND(H38/(1-D44),2)</f>
        <v>490.31</v>
      </c>
      <c r="I45" s="798" t="n">
        <f aca="false">ROUND(I38/(1-D44),2)</f>
        <v>203.37</v>
      </c>
      <c r="J45" s="799" t="n">
        <f aca="false">ROUND(J38/(1-D44),2)</f>
        <v>677.14</v>
      </c>
    </row>
    <row r="46" customFormat="false" ht="19.5" hidden="false" customHeight="true" outlineLevel="0" collapsed="false">
      <c r="A46" s="797" t="str">
        <f aca="false">CONCATENATE("Valor do Custo Mensal - ",A7)</f>
        <v>Valor do Custo Mensal - Servente de Limpeza insalubridade (20%)</v>
      </c>
      <c r="B46" s="797"/>
      <c r="C46" s="797"/>
      <c r="D46" s="797"/>
      <c r="E46" s="797"/>
      <c r="F46" s="798" t="n">
        <f aca="false">F45</f>
        <v>6108.74</v>
      </c>
      <c r="G46" s="798" t="n">
        <f aca="false">G45</f>
        <v>4822.72</v>
      </c>
      <c r="H46" s="798" t="n">
        <f aca="false">H45</f>
        <v>490.31</v>
      </c>
      <c r="I46" s="798" t="n">
        <f aca="false">I45</f>
        <v>203.37</v>
      </c>
      <c r="J46" s="799" t="n">
        <f aca="false">J45</f>
        <v>677.14</v>
      </c>
      <c r="K46" s="800"/>
      <c r="L46" s="800"/>
    </row>
    <row r="47" customFormat="false" ht="27.75" hidden="false" customHeight="true" outlineLevel="0" collapsed="false">
      <c r="A47" s="801" t="s">
        <v>740</v>
      </c>
      <c r="B47" s="801"/>
      <c r="C47" s="801"/>
      <c r="D47" s="801"/>
      <c r="E47" s="801"/>
      <c r="F47" s="802" t="n">
        <f aca="false">(F46/F14)</f>
        <v>3.38847348568893</v>
      </c>
      <c r="G47" s="802" t="n">
        <f aca="false">(G46/G14)</f>
        <v>2.67512757932106</v>
      </c>
      <c r="H47" s="803" t="s">
        <v>741</v>
      </c>
      <c r="I47" s="803"/>
      <c r="J47" s="804" t="n">
        <v>0</v>
      </c>
    </row>
    <row r="48" customFormat="false" ht="19.5" hidden="false" customHeight="true" outlineLevel="0" collapsed="false"/>
  </sheetData>
  <sheetProtection algorithmName="SHA-512" hashValue="iMfBPLh9Zh3W4FcoICBwAtCy5sChLbExLLQRIrMxlGeJSJ/j8VCy/Y3pTSxAF2TpBoBj1OPz53eJWw/BxxkOhw==" saltValue="qkNlacEy7McvP1sCaXZtpA=="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8"/>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9" min="9" style="711" width="12.57"/>
    <col collapsed="false" customWidth="true" hidden="false" outlineLevel="0" max="10" min="10" style="711" width="13.15"/>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Dados!C11</f>
        <v>Limpador de Vidro</v>
      </c>
      <c r="B7" s="724"/>
      <c r="C7" s="724"/>
      <c r="D7" s="724"/>
      <c r="E7" s="724"/>
      <c r="F7" s="725" t="s">
        <v>707</v>
      </c>
      <c r="G7" s="725" t="s">
        <v>708</v>
      </c>
      <c r="H7" s="725" t="s">
        <v>709</v>
      </c>
      <c r="I7" s="725" t="s">
        <v>710</v>
      </c>
      <c r="J7" s="725" t="s">
        <v>745</v>
      </c>
    </row>
    <row r="8" customFormat="false" ht="19.5" hidden="false" customHeight="true" outlineLevel="0" collapsed="false">
      <c r="A8" s="726" t="s">
        <v>746</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40" t="str">
        <f aca="false">A7</f>
        <v>Limpador de Vidro</v>
      </c>
      <c r="C11" s="740"/>
      <c r="D11" s="736" t="n">
        <f aca="false">Dados!D11</f>
        <v>200</v>
      </c>
      <c r="E11" s="737" t="n">
        <f aca="false">Dados!E11</f>
        <v>1805.94</v>
      </c>
      <c r="F11" s="738" t="n">
        <f aca="false">ROUND(E11/220*D11,2)</f>
        <v>1641.76</v>
      </c>
      <c r="G11" s="738" t="n">
        <f aca="false">F11</f>
        <v>1641.76</v>
      </c>
      <c r="H11" s="738"/>
      <c r="I11" s="738"/>
      <c r="J11" s="739"/>
    </row>
    <row r="12" customFormat="false" ht="19.5" hidden="false" customHeight="true" outlineLevel="0" collapsed="false">
      <c r="A12" s="734"/>
      <c r="B12" s="740" t="s">
        <v>747</v>
      </c>
      <c r="C12" s="740"/>
      <c r="D12" s="806" t="n">
        <f aca="false">Dados!G11</f>
        <v>0</v>
      </c>
      <c r="E12" s="737" t="n">
        <f aca="false">Dados!F11</f>
        <v>1641.76</v>
      </c>
      <c r="F12" s="738" t="n">
        <f aca="false">D12*E12</f>
        <v>0</v>
      </c>
      <c r="G12" s="738" t="n">
        <f aca="false">F12</f>
        <v>0</v>
      </c>
      <c r="H12" s="738"/>
      <c r="I12" s="738"/>
      <c r="J12" s="739" t="n">
        <f aca="false">F12</f>
        <v>0</v>
      </c>
    </row>
    <row r="13" customFormat="false" ht="22.5" hidden="false" customHeight="true" outlineLevel="0" collapsed="false">
      <c r="A13" s="734"/>
      <c r="B13" s="742" t="s">
        <v>718</v>
      </c>
      <c r="C13" s="743" t="n">
        <f aca="false">Dados!I11</f>
        <v>0</v>
      </c>
      <c r="D13" s="743" t="n">
        <f aca="false">Dados!J11</f>
        <v>0</v>
      </c>
      <c r="E13" s="744" t="n">
        <f aca="false">Dados!K11</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1641.76</v>
      </c>
      <c r="G14" s="748" t="n">
        <f aca="false">SUM(G11:G13)</f>
        <v>1641.76</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1254.3</v>
      </c>
      <c r="G15" s="738" t="n">
        <f aca="false">F15</f>
        <v>1254.3</v>
      </c>
      <c r="H15" s="738"/>
      <c r="I15" s="738"/>
      <c r="J15" s="739" t="n">
        <f aca="false">ROUND((E15*J14),2)</f>
        <v>0</v>
      </c>
    </row>
    <row r="16" customFormat="false" ht="19.5" hidden="false" customHeight="true" outlineLevel="0" collapsed="false">
      <c r="A16" s="752" t="s">
        <v>721</v>
      </c>
      <c r="B16" s="752"/>
      <c r="C16" s="752"/>
      <c r="D16" s="752"/>
      <c r="E16" s="752"/>
      <c r="F16" s="753" t="n">
        <f aca="false">SUM(F14:F15)</f>
        <v>2896.06</v>
      </c>
      <c r="G16" s="753" t="n">
        <f aca="false">SUM(G14:G15)</f>
        <v>2896.06</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Dados!N11</f>
        <v>31.18</v>
      </c>
      <c r="G19" s="738" t="n">
        <f aca="false">F19</f>
        <v>31.18</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152.29</v>
      </c>
      <c r="G22" s="738" t="n">
        <f aca="false">F22</f>
        <v>152.29</v>
      </c>
      <c r="H22" s="738"/>
      <c r="I22" s="738" t="n">
        <f aca="false">F22</f>
        <v>152.29</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189</v>
      </c>
      <c r="B26" s="759"/>
      <c r="C26" s="762"/>
      <c r="D26" s="762"/>
      <c r="E26" s="763"/>
      <c r="F26" s="765" t="n">
        <f aca="false">Dados!T11</f>
        <v>4.94083333333333</v>
      </c>
      <c r="G26" s="738" t="n">
        <f aca="false">F26</f>
        <v>4.94083333333333</v>
      </c>
      <c r="H26" s="738"/>
      <c r="I26" s="765"/>
      <c r="J26" s="739"/>
    </row>
    <row r="27" customFormat="false" ht="19.5" hidden="false" customHeight="true" outlineLevel="0" collapsed="false">
      <c r="A27" s="759" t="s">
        <v>727</v>
      </c>
      <c r="B27" s="759"/>
      <c r="C27" s="762"/>
      <c r="D27" s="763"/>
      <c r="E27" s="763"/>
      <c r="F27" s="738" t="n">
        <f aca="false">Dados!P11</f>
        <v>0</v>
      </c>
      <c r="G27" s="738"/>
      <c r="H27" s="738"/>
      <c r="I27" s="738"/>
      <c r="J27" s="739"/>
      <c r="L27" s="766"/>
    </row>
    <row r="28" customFormat="false" ht="19.5" hidden="false" customHeight="true" outlineLevel="0" collapsed="false">
      <c r="A28" s="759" t="s">
        <v>728</v>
      </c>
      <c r="B28" s="767"/>
      <c r="C28" s="762"/>
      <c r="D28" s="763"/>
      <c r="E28" s="763"/>
      <c r="F28" s="738" t="n">
        <f aca="false">Dados!R11</f>
        <v>0</v>
      </c>
      <c r="G28" s="738"/>
      <c r="H28" s="738"/>
      <c r="I28" s="738"/>
      <c r="J28" s="739"/>
    </row>
    <row r="29" customFormat="false" ht="19.5" hidden="false" customHeight="true" outlineLevel="0" collapsed="false">
      <c r="A29" s="768" t="s">
        <v>729</v>
      </c>
      <c r="B29" s="768"/>
      <c r="C29" s="769"/>
      <c r="D29" s="770"/>
      <c r="E29" s="770"/>
      <c r="F29" s="745" t="n">
        <f aca="false">Dados!U11</f>
        <v>4.24269230769231</v>
      </c>
      <c r="G29" s="745" t="n">
        <f aca="false">F29</f>
        <v>4.24269230769231</v>
      </c>
      <c r="H29" s="745"/>
      <c r="I29" s="745"/>
      <c r="J29" s="746"/>
    </row>
    <row r="30" customFormat="false" ht="19.5" hidden="false" customHeight="true" outlineLevel="0" collapsed="false">
      <c r="A30" s="771" t="s">
        <v>730</v>
      </c>
      <c r="B30" s="771"/>
      <c r="C30" s="771"/>
      <c r="D30" s="771"/>
      <c r="E30" s="771"/>
      <c r="F30" s="753" t="n">
        <f aca="false">SUM(F19:F29)</f>
        <v>628.683525641026</v>
      </c>
      <c r="G30" s="753" t="n">
        <f aca="false">SUM(G19:G29)</f>
        <v>628.683525641026</v>
      </c>
      <c r="H30" s="753" t="n">
        <f aca="false">SUM(H19:H29)</f>
        <v>387.79</v>
      </c>
      <c r="I30" s="753" t="n">
        <f aca="false">SUM(I19:I29)</f>
        <v>152.29</v>
      </c>
      <c r="J30" s="754" t="n">
        <f aca="false">SUM(J19:J29)</f>
        <v>0</v>
      </c>
    </row>
    <row r="31" customFormat="false" ht="19.5" hidden="false" customHeight="true" outlineLevel="0" collapsed="false">
      <c r="A31" s="771" t="s">
        <v>731</v>
      </c>
      <c r="B31" s="771"/>
      <c r="C31" s="771"/>
      <c r="D31" s="771"/>
      <c r="E31" s="771"/>
      <c r="F31" s="753" t="n">
        <f aca="false">F16+F30</f>
        <v>3524.74352564103</v>
      </c>
      <c r="G31" s="753" t="n">
        <f aca="false">G16+G30</f>
        <v>3524.74352564103</v>
      </c>
      <c r="H31" s="753" t="n">
        <f aca="false">H16+H30</f>
        <v>387.79</v>
      </c>
      <c r="I31" s="753" t="n">
        <f aca="false">I16+I30</f>
        <v>152.29</v>
      </c>
      <c r="J31" s="754" t="n">
        <f aca="false">J16+J30</f>
        <v>0</v>
      </c>
    </row>
    <row r="32" customFormat="false" ht="19.5" hidden="false" customHeight="true" outlineLevel="0" collapsed="false">
      <c r="A32" s="728" t="s">
        <v>732</v>
      </c>
      <c r="B32" s="728"/>
      <c r="C32" s="728"/>
      <c r="D32" s="728"/>
      <c r="E32" s="728"/>
      <c r="F32" s="728"/>
      <c r="G32" s="728"/>
      <c r="H32" s="728"/>
      <c r="I32" s="728"/>
      <c r="J32" s="728"/>
    </row>
    <row r="33" customFormat="false" ht="19.5" hidden="false" customHeight="true" outlineLevel="0" collapsed="false">
      <c r="A33" s="756" t="s">
        <v>733</v>
      </c>
      <c r="B33" s="756"/>
      <c r="C33" s="756"/>
      <c r="D33" s="772" t="s">
        <v>671</v>
      </c>
      <c r="E33" s="773" t="s">
        <v>394</v>
      </c>
      <c r="F33" s="773"/>
      <c r="G33" s="773"/>
      <c r="H33" s="773"/>
      <c r="I33" s="773"/>
      <c r="J33" s="773"/>
    </row>
    <row r="34" customFormat="false" ht="19.5" hidden="false" customHeight="true" outlineLevel="0" collapsed="false">
      <c r="A34" s="774" t="s">
        <v>734</v>
      </c>
      <c r="B34" s="775"/>
      <c r="C34" s="775"/>
      <c r="D34" s="776" t="n">
        <f aca="false">Dados!$G$49</f>
        <v>0.07</v>
      </c>
      <c r="E34" s="777"/>
      <c r="F34" s="738" t="n">
        <f aca="false">ROUND((F31*$D$34),2)</f>
        <v>246.73</v>
      </c>
      <c r="G34" s="738" t="n">
        <f aca="false">ROUND((G31*$D$34),2)</f>
        <v>246.73</v>
      </c>
      <c r="H34" s="738" t="n">
        <f aca="false">ROUND((H31*$D$34),2)</f>
        <v>27.15</v>
      </c>
      <c r="I34" s="738" t="n">
        <f aca="false">ROUND((I31*$D$34),2)</f>
        <v>10.66</v>
      </c>
      <c r="J34" s="739" t="n">
        <f aca="false">ROUND((J31*$D$34),2)</f>
        <v>0</v>
      </c>
    </row>
    <row r="35" customFormat="false" ht="19.5" hidden="false" customHeight="true" outlineLevel="0" collapsed="false">
      <c r="A35" s="778" t="s">
        <v>735</v>
      </c>
      <c r="B35" s="778"/>
      <c r="C35" s="778"/>
      <c r="D35" s="776"/>
      <c r="E35" s="777"/>
      <c r="F35" s="738" t="n">
        <f aca="false">F31+F34</f>
        <v>3771.47352564103</v>
      </c>
      <c r="G35" s="738" t="n">
        <f aca="false">G31+G34</f>
        <v>3771.47352564103</v>
      </c>
      <c r="H35" s="738" t="n">
        <f aca="false">H31+H34</f>
        <v>414.94</v>
      </c>
      <c r="I35" s="738" t="n">
        <f aca="false">I31+I34</f>
        <v>162.95</v>
      </c>
      <c r="J35" s="739" t="n">
        <f aca="false">J31+J34</f>
        <v>0</v>
      </c>
    </row>
    <row r="36" customFormat="false" ht="19.5" hidden="false" customHeight="true" outlineLevel="0" collapsed="false">
      <c r="A36" s="779" t="s">
        <v>258</v>
      </c>
      <c r="B36" s="780"/>
      <c r="C36" s="780"/>
      <c r="D36" s="781" t="n">
        <f aca="false">Dados!$G$50</f>
        <v>0.0369</v>
      </c>
      <c r="E36" s="782"/>
      <c r="F36" s="745" t="n">
        <f aca="false">ROUND((F35*$D$36),2)</f>
        <v>139.17</v>
      </c>
      <c r="G36" s="745" t="n">
        <f aca="false">ROUND((G35*$D$36),2)</f>
        <v>139.17</v>
      </c>
      <c r="H36" s="745" t="n">
        <f aca="false">ROUND((H35*$D$36),2)</f>
        <v>15.31</v>
      </c>
      <c r="I36" s="745" t="n">
        <f aca="false">ROUND((I35*$D$36),2)</f>
        <v>6.01</v>
      </c>
      <c r="J36" s="746" t="n">
        <f aca="false">ROUND((J35*$D$36),2)</f>
        <v>0</v>
      </c>
    </row>
    <row r="37" customFormat="false" ht="19.5" hidden="false" customHeight="true" outlineLevel="0" collapsed="false">
      <c r="A37" s="783" t="s">
        <v>736</v>
      </c>
      <c r="B37" s="784"/>
      <c r="C37" s="784"/>
      <c r="D37" s="785" t="n">
        <f aca="false">SUM(D34:D36)</f>
        <v>0.1069</v>
      </c>
      <c r="E37" s="786"/>
      <c r="F37" s="753" t="n">
        <f aca="false">F34+F36</f>
        <v>385.9</v>
      </c>
      <c r="G37" s="753" t="n">
        <f aca="false">G34+G36</f>
        <v>385.9</v>
      </c>
      <c r="H37" s="753" t="n">
        <f aca="false">H34+H36</f>
        <v>42.46</v>
      </c>
      <c r="I37" s="753" t="n">
        <f aca="false">I34+I36</f>
        <v>16.67</v>
      </c>
      <c r="J37" s="754" t="n">
        <f aca="false">J34+J36</f>
        <v>0</v>
      </c>
    </row>
    <row r="38" customFormat="false" ht="19.5" hidden="false" customHeight="true" outlineLevel="0" collapsed="false">
      <c r="A38" s="787" t="s">
        <v>737</v>
      </c>
      <c r="B38" s="787"/>
      <c r="C38" s="787"/>
      <c r="D38" s="787"/>
      <c r="E38" s="787"/>
      <c r="F38" s="788" t="n">
        <f aca="false">F31+F37</f>
        <v>3910.64352564103</v>
      </c>
      <c r="G38" s="788" t="n">
        <f aca="false">G31+G37</f>
        <v>3910.64352564103</v>
      </c>
      <c r="H38" s="788" t="n">
        <f aca="false">H31+H37</f>
        <v>430.25</v>
      </c>
      <c r="I38" s="788" t="n">
        <f aca="false">I31+I37</f>
        <v>168.96</v>
      </c>
      <c r="J38" s="789" t="n">
        <f aca="false">J31+J37</f>
        <v>0</v>
      </c>
    </row>
    <row r="39" customFormat="false" ht="19.5" hidden="false" customHeight="true" outlineLevel="0" collapsed="false">
      <c r="A39" s="790" t="s">
        <v>738</v>
      </c>
      <c r="B39" s="790"/>
      <c r="C39" s="790"/>
      <c r="D39" s="790"/>
      <c r="E39" s="790"/>
      <c r="F39" s="790"/>
      <c r="G39" s="790"/>
      <c r="H39" s="790"/>
      <c r="I39" s="790"/>
      <c r="J39" s="790"/>
    </row>
    <row r="40" customFormat="false" ht="19.5" hidden="false" customHeight="true" outlineLevel="0" collapsed="false">
      <c r="A40" s="759" t="s">
        <v>264</v>
      </c>
      <c r="B40" s="759"/>
      <c r="C40" s="759"/>
      <c r="D40" s="776" t="n">
        <f aca="false">Dados!G57</f>
        <v>0.076</v>
      </c>
      <c r="E40" s="791"/>
      <c r="F40" s="738" t="n">
        <f aca="false">ROUND(($F$46*D40),2)</f>
        <v>338.7</v>
      </c>
      <c r="G40" s="738" t="n">
        <f aca="false">ROUND((G46*$D$40),2)</f>
        <v>338.7</v>
      </c>
      <c r="H40" s="738" t="n">
        <f aca="false">ROUND((H46*$D$40),2)</f>
        <v>37.26</v>
      </c>
      <c r="I40" s="738" t="n">
        <f aca="false">ROUND((I46*$D$40),2)</f>
        <v>14.63</v>
      </c>
      <c r="J40" s="739" t="n">
        <f aca="false">ROUND((J46*$D$40),2)</f>
        <v>0</v>
      </c>
    </row>
    <row r="41" customFormat="false" ht="19.5" hidden="false" customHeight="true" outlineLevel="0" collapsed="false">
      <c r="A41" s="759" t="s">
        <v>266</v>
      </c>
      <c r="B41" s="759"/>
      <c r="C41" s="759"/>
      <c r="D41" s="776" t="n">
        <f aca="false">Dados!G58</f>
        <v>0.0165</v>
      </c>
      <c r="E41" s="791"/>
      <c r="F41" s="738" t="n">
        <f aca="false">ROUND((F46*$D$41),2)</f>
        <v>73.53</v>
      </c>
      <c r="G41" s="738" t="n">
        <f aca="false">ROUND((G46*$D$41),2)</f>
        <v>73.53</v>
      </c>
      <c r="H41" s="738" t="n">
        <f aca="false">ROUND((H46*$D$41),2)</f>
        <v>8.09</v>
      </c>
      <c r="I41" s="738" t="n">
        <f aca="false">ROUND((I46*$D$41),2)</f>
        <v>3.18</v>
      </c>
      <c r="J41" s="739" t="n">
        <f aca="false">ROUND((J46*$D$41),2)</f>
        <v>0</v>
      </c>
    </row>
    <row r="42" customFormat="false" ht="19.5" hidden="false" customHeight="true" outlineLevel="0" collapsed="false">
      <c r="A42" s="759" t="str">
        <f aca="false">Dados!B59</f>
        <v>ISSQN 7.10 - Limpeza</v>
      </c>
      <c r="B42" s="759"/>
      <c r="C42" s="759"/>
      <c r="D42" s="776" t="n">
        <f aca="false">Dados!G59</f>
        <v>0.03</v>
      </c>
      <c r="E42" s="791"/>
      <c r="F42" s="738" t="n">
        <f aca="false">ROUND((F46*$D$42),2)</f>
        <v>133.7</v>
      </c>
      <c r="G42" s="738" t="n">
        <f aca="false">ROUND((G46*$D$42),2)</f>
        <v>133.7</v>
      </c>
      <c r="H42" s="738" t="n">
        <f aca="false">ROUND((H46*$D$42),2)</f>
        <v>14.71</v>
      </c>
      <c r="I42" s="738" t="n">
        <f aca="false">ROUND((I46*$D$42),2)</f>
        <v>5.78</v>
      </c>
      <c r="J42" s="739" t="n">
        <f aca="false">ROUND((J46*$D$42),2)</f>
        <v>0</v>
      </c>
    </row>
    <row r="43" customFormat="false" ht="19.5" hidden="false" customHeight="true" outlineLevel="0" collapsed="false">
      <c r="A43" s="759" t="str">
        <f aca="false">Dados!B60</f>
        <v>ISSQN 17.05 - Fornecimento de mão-de-obra</v>
      </c>
      <c r="B43" s="759"/>
      <c r="C43" s="759"/>
      <c r="D43" s="776" t="n">
        <v>0</v>
      </c>
      <c r="E43" s="791"/>
      <c r="F43" s="738" t="n">
        <f aca="false">ROUND((F46*$D$43),2)</f>
        <v>0</v>
      </c>
      <c r="G43" s="738" t="n">
        <f aca="false">ROUND((G46*$D$43),2)</f>
        <v>0</v>
      </c>
      <c r="H43" s="738" t="n">
        <f aca="false">ROUND((H46*$D$43),2)</f>
        <v>0</v>
      </c>
      <c r="I43" s="738" t="n">
        <f aca="false">ROUND((I46*$D$43),2)</f>
        <v>0</v>
      </c>
      <c r="J43" s="739" t="n">
        <f aca="false">ROUND((J46*$D$43),2)</f>
        <v>0</v>
      </c>
    </row>
    <row r="44" customFormat="false" ht="19.5" hidden="false" customHeight="true" outlineLevel="0" collapsed="false">
      <c r="A44" s="792" t="s">
        <v>739</v>
      </c>
      <c r="B44" s="792"/>
      <c r="C44" s="792"/>
      <c r="D44" s="793" t="n">
        <f aca="false">SUM(D40:D43)</f>
        <v>0.1225</v>
      </c>
      <c r="E44" s="794"/>
      <c r="F44" s="795" t="n">
        <f aca="false">SUM(F40:F43)</f>
        <v>545.93</v>
      </c>
      <c r="G44" s="795" t="n">
        <f aca="false">SUM(G40:G43)</f>
        <v>545.93</v>
      </c>
      <c r="H44" s="795" t="n">
        <f aca="false">SUM(H40:H43)</f>
        <v>60.06</v>
      </c>
      <c r="I44" s="795" t="n">
        <f aca="false">SUM(I40:I43)</f>
        <v>23.59</v>
      </c>
      <c r="J44" s="796" t="n">
        <f aca="false">SUM(J40:J42)</f>
        <v>0</v>
      </c>
    </row>
    <row r="45" customFormat="false" ht="19.5" hidden="false" customHeight="true" outlineLevel="0" collapsed="false">
      <c r="A45" s="797" t="str">
        <f aca="false">CONCATENATE("Custo Mensal - ",A7)</f>
        <v>Custo Mensal - Limpador de Vidro</v>
      </c>
      <c r="B45" s="797"/>
      <c r="C45" s="797"/>
      <c r="D45" s="797"/>
      <c r="E45" s="797"/>
      <c r="F45" s="798" t="n">
        <f aca="false">ROUND(F38/(1-D44),2)</f>
        <v>4456.57</v>
      </c>
      <c r="G45" s="798" t="n">
        <f aca="false">ROUND(G38/(1-D44),2)</f>
        <v>4456.57</v>
      </c>
      <c r="H45" s="798" t="n">
        <f aca="false">ROUND(H38/(1-D44),2)</f>
        <v>490.31</v>
      </c>
      <c r="I45" s="798" t="n">
        <f aca="false">ROUND(I38/(1-D44),2)</f>
        <v>192.55</v>
      </c>
      <c r="J45" s="799" t="n">
        <f aca="false">ROUND(J38/(1-D44),2)</f>
        <v>0</v>
      </c>
    </row>
    <row r="46" customFormat="false" ht="19.5" hidden="false" customHeight="true" outlineLevel="0" collapsed="false">
      <c r="A46" s="797" t="str">
        <f aca="false">CONCATENATE("Valor do Custo Mensal - ",A7)</f>
        <v>Valor do Custo Mensal - Limpador de Vidro</v>
      </c>
      <c r="B46" s="797"/>
      <c r="C46" s="797"/>
      <c r="D46" s="797"/>
      <c r="E46" s="797"/>
      <c r="F46" s="798" t="n">
        <f aca="false">F45</f>
        <v>4456.57</v>
      </c>
      <c r="G46" s="798" t="n">
        <f aca="false">G45</f>
        <v>4456.57</v>
      </c>
      <c r="H46" s="798" t="n">
        <f aca="false">H45</f>
        <v>490.31</v>
      </c>
      <c r="I46" s="798" t="n">
        <f aca="false">I45</f>
        <v>192.55</v>
      </c>
      <c r="J46" s="799" t="n">
        <f aca="false">J45</f>
        <v>0</v>
      </c>
      <c r="K46" s="800"/>
      <c r="L46" s="800"/>
    </row>
    <row r="47" customFormat="false" ht="27.75" hidden="false" customHeight="true" outlineLevel="0" collapsed="false">
      <c r="A47" s="801" t="s">
        <v>740</v>
      </c>
      <c r="B47" s="801"/>
      <c r="C47" s="801"/>
      <c r="D47" s="801"/>
      <c r="E47" s="801"/>
      <c r="F47" s="802" t="n">
        <f aca="false">(F46/F14)</f>
        <v>2.71450760159828</v>
      </c>
      <c r="G47" s="802" t="n">
        <f aca="false">(G46/G14)</f>
        <v>2.71450760159828</v>
      </c>
      <c r="H47" s="803"/>
      <c r="I47" s="803"/>
      <c r="J47" s="804"/>
    </row>
    <row r="48" customFormat="false" ht="19.5" hidden="false" customHeight="true" outlineLevel="0" collapsed="false"/>
  </sheetData>
  <sheetProtection algorithmName="SHA-512" hashValue="Kzs4PlbEAHQ34wIQDxwMA4AKr9z2VfVfEuV1kHX/7YtICjdztoiE1DHqUbqHutuLLP56dab4KXt8BvHS2QHl3A==" saltValue="FQiroCx0or3NeH3/jnMayw=="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7"/>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Dados!C9</f>
        <v>Recepcionista</v>
      </c>
      <c r="B7" s="724"/>
      <c r="C7" s="724"/>
      <c r="D7" s="724"/>
      <c r="E7" s="724"/>
      <c r="F7" s="725" t="s">
        <v>707</v>
      </c>
      <c r="G7" s="725" t="s">
        <v>708</v>
      </c>
      <c r="H7" s="725" t="s">
        <v>709</v>
      </c>
      <c r="I7" s="725" t="s">
        <v>710</v>
      </c>
      <c r="J7" s="725" t="s">
        <v>711</v>
      </c>
    </row>
    <row r="8" customFormat="false" ht="19.5" hidden="false" customHeight="true" outlineLevel="0" collapsed="false">
      <c r="A8" s="726" t="s">
        <v>712</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40" t="str">
        <f aca="false">A7</f>
        <v>Recepcionista</v>
      </c>
      <c r="C11" s="740"/>
      <c r="D11" s="736" t="n">
        <f aca="false">Dados!D9</f>
        <v>150</v>
      </c>
      <c r="E11" s="737" t="n">
        <f aca="false">Dados!$E$9</f>
        <v>2830.97</v>
      </c>
      <c r="F11" s="738" t="n">
        <f aca="false">ROUND(E11/220*D11,2)</f>
        <v>1930.21</v>
      </c>
      <c r="G11" s="738" t="n">
        <f aca="false">F11</f>
        <v>1930.21</v>
      </c>
      <c r="H11" s="738"/>
      <c r="I11" s="738"/>
      <c r="J11" s="739"/>
    </row>
    <row r="12" customFormat="false" ht="19.5" hidden="false" customHeight="true" outlineLevel="0" collapsed="false">
      <c r="A12" s="734"/>
      <c r="B12" s="740" t="s">
        <v>717</v>
      </c>
      <c r="C12" s="740"/>
      <c r="D12" s="741" t="n">
        <f aca="false">Dados!G9</f>
        <v>0</v>
      </c>
      <c r="E12" s="737" t="n">
        <f aca="false">Dados!$G$33</f>
        <v>1518</v>
      </c>
      <c r="F12" s="738" t="n">
        <f aca="false">D12*E12</f>
        <v>0</v>
      </c>
      <c r="G12" s="738" t="n">
        <f aca="false">F12</f>
        <v>0</v>
      </c>
      <c r="H12" s="738"/>
      <c r="I12" s="738"/>
      <c r="J12" s="739" t="n">
        <f aca="false">F12</f>
        <v>0</v>
      </c>
    </row>
    <row r="13" customFormat="false" ht="22.5" hidden="false" customHeight="true" outlineLevel="0" collapsed="false">
      <c r="A13" s="734"/>
      <c r="B13" s="742" t="s">
        <v>718</v>
      </c>
      <c r="C13" s="743" t="n">
        <f aca="false">Dados!$I$9</f>
        <v>0</v>
      </c>
      <c r="D13" s="743" t="n">
        <f aca="false">Dados!$J$9</f>
        <v>0</v>
      </c>
      <c r="E13" s="744" t="n">
        <f aca="false">Dados!$K$9</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1930.21</v>
      </c>
      <c r="G14" s="748" t="n">
        <f aca="false">SUM(G11:G13)</f>
        <v>1930.21</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1474.68</v>
      </c>
      <c r="G15" s="738" t="n">
        <f aca="false">F15</f>
        <v>1474.68</v>
      </c>
      <c r="H15" s="738"/>
      <c r="I15" s="738"/>
      <c r="J15" s="739" t="n">
        <f aca="false">ROUND((E15*J14),2)</f>
        <v>0</v>
      </c>
    </row>
    <row r="16" customFormat="false" ht="19.5" hidden="false" customHeight="true" outlineLevel="0" collapsed="false">
      <c r="A16" s="752" t="s">
        <v>721</v>
      </c>
      <c r="B16" s="752"/>
      <c r="C16" s="752"/>
      <c r="D16" s="752"/>
      <c r="E16" s="752"/>
      <c r="F16" s="753" t="n">
        <f aca="false">SUM(F14:F15)</f>
        <v>3404.89</v>
      </c>
      <c r="G16" s="753" t="n">
        <f aca="false">SUM(G14:G15)</f>
        <v>3404.89</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Dados!N9</f>
        <v>56.93</v>
      </c>
      <c r="G19" s="738" t="n">
        <f aca="false">F19</f>
        <v>56.93</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134.99</v>
      </c>
      <c r="G22" s="738" t="n">
        <f aca="false">F22</f>
        <v>134.99</v>
      </c>
      <c r="H22" s="738"/>
      <c r="I22" s="738" t="n">
        <f aca="false">F22</f>
        <v>134.99</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727</v>
      </c>
      <c r="B26" s="759"/>
      <c r="C26" s="762"/>
      <c r="D26" s="763"/>
      <c r="E26" s="763"/>
      <c r="F26" s="738"/>
      <c r="G26" s="738"/>
      <c r="H26" s="738"/>
      <c r="I26" s="738"/>
      <c r="J26" s="739"/>
      <c r="L26" s="766"/>
    </row>
    <row r="27" customFormat="false" ht="19.5" hidden="false" customHeight="true" outlineLevel="0" collapsed="false">
      <c r="A27" s="759" t="s">
        <v>728</v>
      </c>
      <c r="B27" s="767"/>
      <c r="C27" s="762"/>
      <c r="D27" s="763"/>
      <c r="E27" s="763"/>
      <c r="F27" s="738" t="n">
        <f aca="false">Dados!R9</f>
        <v>0</v>
      </c>
      <c r="G27" s="738"/>
      <c r="H27" s="738"/>
      <c r="I27" s="738"/>
      <c r="J27" s="739"/>
    </row>
    <row r="28" customFormat="false" ht="19.5" hidden="false" customHeight="true" outlineLevel="0" collapsed="false">
      <c r="A28" s="768" t="s">
        <v>729</v>
      </c>
      <c r="B28" s="768"/>
      <c r="C28" s="769"/>
      <c r="D28" s="770"/>
      <c r="E28" s="770"/>
      <c r="F28" s="745" t="n">
        <f aca="false">Dados!U9</f>
        <v>0</v>
      </c>
      <c r="G28" s="745" t="n">
        <f aca="false">F28</f>
        <v>0</v>
      </c>
      <c r="H28" s="745"/>
      <c r="I28" s="745"/>
      <c r="J28" s="746"/>
    </row>
    <row r="29" customFormat="false" ht="19.5" hidden="false" customHeight="true" outlineLevel="0" collapsed="false">
      <c r="A29" s="771" t="s">
        <v>730</v>
      </c>
      <c r="B29" s="771"/>
      <c r="C29" s="771"/>
      <c r="D29" s="771"/>
      <c r="E29" s="771"/>
      <c r="F29" s="753" t="n">
        <f aca="false">SUM(F19:F28)</f>
        <v>627.95</v>
      </c>
      <c r="G29" s="753" t="n">
        <f aca="false">SUM(G19:G28)</f>
        <v>627.95</v>
      </c>
      <c r="H29" s="753" t="n">
        <f aca="false">SUM(H19:H28)</f>
        <v>387.79</v>
      </c>
      <c r="I29" s="753" t="n">
        <f aca="false">SUM(I19:I28)</f>
        <v>134.99</v>
      </c>
      <c r="J29" s="754" t="n">
        <f aca="false">SUM(J19:J28)</f>
        <v>0</v>
      </c>
    </row>
    <row r="30" customFormat="false" ht="19.5" hidden="false" customHeight="true" outlineLevel="0" collapsed="false">
      <c r="A30" s="771" t="s">
        <v>731</v>
      </c>
      <c r="B30" s="771"/>
      <c r="C30" s="771"/>
      <c r="D30" s="771"/>
      <c r="E30" s="771"/>
      <c r="F30" s="753" t="n">
        <f aca="false">F16+F29</f>
        <v>4032.84</v>
      </c>
      <c r="G30" s="753" t="n">
        <f aca="false">G16+G29</f>
        <v>4032.84</v>
      </c>
      <c r="H30" s="753" t="n">
        <f aca="false">H16+H29</f>
        <v>387.79</v>
      </c>
      <c r="I30" s="753" t="n">
        <f aca="false">I16+I29</f>
        <v>134.99</v>
      </c>
      <c r="J30" s="754" t="n">
        <f aca="false">J16+J29</f>
        <v>0</v>
      </c>
    </row>
    <row r="31" customFormat="false" ht="19.5" hidden="false" customHeight="true" outlineLevel="0" collapsed="false">
      <c r="A31" s="728" t="s">
        <v>732</v>
      </c>
      <c r="B31" s="728"/>
      <c r="C31" s="728"/>
      <c r="D31" s="728"/>
      <c r="E31" s="728"/>
      <c r="F31" s="728"/>
      <c r="G31" s="728"/>
      <c r="H31" s="728"/>
      <c r="I31" s="728"/>
      <c r="J31" s="728"/>
    </row>
    <row r="32" customFormat="false" ht="19.5" hidden="false" customHeight="true" outlineLevel="0" collapsed="false">
      <c r="A32" s="756" t="s">
        <v>733</v>
      </c>
      <c r="B32" s="756"/>
      <c r="C32" s="756"/>
      <c r="D32" s="772" t="s">
        <v>671</v>
      </c>
      <c r="E32" s="773" t="s">
        <v>394</v>
      </c>
      <c r="F32" s="773"/>
      <c r="G32" s="773"/>
      <c r="H32" s="773"/>
      <c r="I32" s="773"/>
      <c r="J32" s="773"/>
    </row>
    <row r="33" customFormat="false" ht="19.5" hidden="false" customHeight="true" outlineLevel="0" collapsed="false">
      <c r="A33" s="774" t="s">
        <v>734</v>
      </c>
      <c r="B33" s="775"/>
      <c r="C33" s="775"/>
      <c r="D33" s="776" t="n">
        <f aca="false">Dados!$G$49</f>
        <v>0.07</v>
      </c>
      <c r="E33" s="777"/>
      <c r="F33" s="738" t="n">
        <f aca="false">ROUND((F30*$D$33),2)</f>
        <v>282.3</v>
      </c>
      <c r="G33" s="738" t="n">
        <f aca="false">ROUND((G30*$D$33),2)</f>
        <v>282.3</v>
      </c>
      <c r="H33" s="738" t="n">
        <f aca="false">ROUND((H30*$D$33),2)</f>
        <v>27.15</v>
      </c>
      <c r="I33" s="738" t="n">
        <f aca="false">ROUND((I30*$D$33),2)</f>
        <v>9.45</v>
      </c>
      <c r="J33" s="739" t="n">
        <f aca="false">ROUND((J30*$D$33),2)</f>
        <v>0</v>
      </c>
    </row>
    <row r="34" customFormat="false" ht="19.5" hidden="false" customHeight="true" outlineLevel="0" collapsed="false">
      <c r="A34" s="778" t="s">
        <v>735</v>
      </c>
      <c r="B34" s="778"/>
      <c r="C34" s="778"/>
      <c r="D34" s="776"/>
      <c r="E34" s="777"/>
      <c r="F34" s="738" t="n">
        <f aca="false">F30+F33</f>
        <v>4315.14</v>
      </c>
      <c r="G34" s="738" t="n">
        <f aca="false">G30+G33</f>
        <v>4315.14</v>
      </c>
      <c r="H34" s="738" t="n">
        <f aca="false">H30+H33</f>
        <v>414.94</v>
      </c>
      <c r="I34" s="738" t="n">
        <f aca="false">I30+I33</f>
        <v>144.44</v>
      </c>
      <c r="J34" s="739" t="n">
        <f aca="false">J30+J33</f>
        <v>0</v>
      </c>
    </row>
    <row r="35" customFormat="false" ht="19.5" hidden="false" customHeight="true" outlineLevel="0" collapsed="false">
      <c r="A35" s="779" t="s">
        <v>258</v>
      </c>
      <c r="B35" s="780"/>
      <c r="C35" s="780"/>
      <c r="D35" s="781" t="n">
        <f aca="false">Dados!$G$50</f>
        <v>0.0369</v>
      </c>
      <c r="E35" s="782"/>
      <c r="F35" s="745" t="n">
        <f aca="false">ROUND((F34*$D$35),2)</f>
        <v>159.23</v>
      </c>
      <c r="G35" s="745" t="n">
        <f aca="false">ROUND((G34*$D$35),2)</f>
        <v>159.23</v>
      </c>
      <c r="H35" s="745" t="n">
        <f aca="false">ROUND((H34*$D$35),2)</f>
        <v>15.31</v>
      </c>
      <c r="I35" s="745" t="n">
        <f aca="false">ROUND((I34*$D$35),2)</f>
        <v>5.33</v>
      </c>
      <c r="J35" s="746" t="n">
        <f aca="false">ROUND((J34*$D$35),2)</f>
        <v>0</v>
      </c>
    </row>
    <row r="36" customFormat="false" ht="19.5" hidden="false" customHeight="true" outlineLevel="0" collapsed="false">
      <c r="A36" s="783" t="s">
        <v>736</v>
      </c>
      <c r="B36" s="784"/>
      <c r="C36" s="784"/>
      <c r="D36" s="785" t="n">
        <f aca="false">SUM(D33:D35)</f>
        <v>0.1069</v>
      </c>
      <c r="E36" s="786"/>
      <c r="F36" s="753" t="n">
        <f aca="false">F33+F35</f>
        <v>441.53</v>
      </c>
      <c r="G36" s="753" t="n">
        <f aca="false">G33+G35</f>
        <v>441.53</v>
      </c>
      <c r="H36" s="753" t="n">
        <f aca="false">H33+H35</f>
        <v>42.46</v>
      </c>
      <c r="I36" s="753" t="n">
        <f aca="false">I33+I35</f>
        <v>14.78</v>
      </c>
      <c r="J36" s="754" t="n">
        <f aca="false">J33+J35</f>
        <v>0</v>
      </c>
    </row>
    <row r="37" customFormat="false" ht="19.5" hidden="false" customHeight="true" outlineLevel="0" collapsed="false">
      <c r="A37" s="787" t="s">
        <v>737</v>
      </c>
      <c r="B37" s="787"/>
      <c r="C37" s="787"/>
      <c r="D37" s="787"/>
      <c r="E37" s="787"/>
      <c r="F37" s="788" t="n">
        <f aca="false">F30+F36</f>
        <v>4474.37</v>
      </c>
      <c r="G37" s="788" t="n">
        <f aca="false">G30+G36</f>
        <v>4474.37</v>
      </c>
      <c r="H37" s="788" t="n">
        <f aca="false">H30+H36</f>
        <v>430.25</v>
      </c>
      <c r="I37" s="788" t="n">
        <f aca="false">I30+I36</f>
        <v>149.77</v>
      </c>
      <c r="J37" s="789" t="n">
        <f aca="false">J30+J36</f>
        <v>0</v>
      </c>
    </row>
    <row r="38" customFormat="false" ht="19.5" hidden="false" customHeight="true" outlineLevel="0" collapsed="false">
      <c r="A38" s="790" t="s">
        <v>738</v>
      </c>
      <c r="B38" s="790"/>
      <c r="C38" s="790"/>
      <c r="D38" s="790"/>
      <c r="E38" s="790"/>
      <c r="F38" s="790"/>
      <c r="G38" s="790"/>
      <c r="H38" s="790"/>
      <c r="I38" s="790"/>
      <c r="J38" s="790"/>
    </row>
    <row r="39" customFormat="false" ht="19.5" hidden="false" customHeight="true" outlineLevel="0" collapsed="false">
      <c r="A39" s="759" t="s">
        <v>264</v>
      </c>
      <c r="B39" s="759"/>
      <c r="C39" s="759"/>
      <c r="D39" s="776" t="n">
        <f aca="false">Dados!G57</f>
        <v>0.076</v>
      </c>
      <c r="E39" s="791"/>
      <c r="F39" s="738" t="n">
        <f aca="false">ROUND(($F$45*D39),2)</f>
        <v>383.16</v>
      </c>
      <c r="G39" s="738" t="n">
        <f aca="false">ROUND((G45*$D$39),2)</f>
        <v>383.16</v>
      </c>
      <c r="H39" s="738" t="n">
        <f aca="false">ROUND((H45*$D$39),2)</f>
        <v>36.84</v>
      </c>
      <c r="I39" s="738" t="n">
        <f aca="false">ROUND((I45*$D$39),2)</f>
        <v>12.83</v>
      </c>
      <c r="J39" s="739" t="n">
        <f aca="false">ROUND((J45*$D$39),2)</f>
        <v>0</v>
      </c>
    </row>
    <row r="40" customFormat="false" ht="19.5" hidden="false" customHeight="true" outlineLevel="0" collapsed="false">
      <c r="A40" s="759" t="s">
        <v>266</v>
      </c>
      <c r="B40" s="759"/>
      <c r="C40" s="759"/>
      <c r="D40" s="776" t="n">
        <f aca="false">Dados!G58</f>
        <v>0.0165</v>
      </c>
      <c r="E40" s="791"/>
      <c r="F40" s="738" t="n">
        <f aca="false">ROUND((F45*$D$40),2)</f>
        <v>83.19</v>
      </c>
      <c r="G40" s="738" t="n">
        <f aca="false">ROUND((G45*$D$40),2)</f>
        <v>83.19</v>
      </c>
      <c r="H40" s="738" t="n">
        <f aca="false">ROUND((H45*$D$40),2)</f>
        <v>8</v>
      </c>
      <c r="I40" s="738" t="n">
        <f aca="false">ROUND((I45*$D$40),2)</f>
        <v>2.78</v>
      </c>
      <c r="J40" s="739" t="n">
        <f aca="false">ROUND((J45*$D$40),2)</f>
        <v>0</v>
      </c>
    </row>
    <row r="41" customFormat="false" ht="19.5" hidden="false" customHeight="true" outlineLevel="0" collapsed="false">
      <c r="A41" s="759" t="str">
        <f aca="false">Dados!B59</f>
        <v>ISSQN 7.10 - Limpeza</v>
      </c>
      <c r="B41" s="759"/>
      <c r="C41" s="759"/>
      <c r="D41" s="776" t="n">
        <v>0</v>
      </c>
      <c r="E41" s="791"/>
      <c r="F41" s="738" t="n">
        <f aca="false">ROUND((F45*$D$41),2)</f>
        <v>0</v>
      </c>
      <c r="G41" s="738" t="n">
        <f aca="false">ROUND((G45*$D$41),2)</f>
        <v>0</v>
      </c>
      <c r="H41" s="738" t="n">
        <f aca="false">ROUND((H45*$D$41),2)</f>
        <v>0</v>
      </c>
      <c r="I41" s="738" t="n">
        <f aca="false">ROUND((I45*$D$41),2)</f>
        <v>0</v>
      </c>
      <c r="J41" s="739" t="n">
        <f aca="false">ROUND((J45*$D$41),2)</f>
        <v>0</v>
      </c>
    </row>
    <row r="42" customFormat="false" ht="19.5" hidden="false" customHeight="true" outlineLevel="0" collapsed="false">
      <c r="A42" s="759" t="str">
        <f aca="false">Dados!B60</f>
        <v>ISSQN 17.05 - Fornecimento de mão-de-obra</v>
      </c>
      <c r="B42" s="759"/>
      <c r="C42" s="759"/>
      <c r="D42" s="776" t="n">
        <f aca="false">Dados!G60</f>
        <v>0.02</v>
      </c>
      <c r="E42" s="791"/>
      <c r="F42" s="738" t="n">
        <f aca="false">ROUND((F45*$D$42),2)</f>
        <v>100.83</v>
      </c>
      <c r="G42" s="738" t="n">
        <f aca="false">ROUND((G45*$D$42),2)</f>
        <v>100.83</v>
      </c>
      <c r="H42" s="738" t="n">
        <f aca="false">ROUND((H45*$D$42),2)</f>
        <v>9.7</v>
      </c>
      <c r="I42" s="738" t="n">
        <f aca="false">ROUND((I45*$D$42),2)</f>
        <v>3.38</v>
      </c>
      <c r="J42" s="739" t="n">
        <f aca="false">ROUND((J45*$D$42),2)</f>
        <v>0</v>
      </c>
    </row>
    <row r="43" customFormat="false" ht="19.5" hidden="false" customHeight="true" outlineLevel="0" collapsed="false">
      <c r="A43" s="792" t="s">
        <v>739</v>
      </c>
      <c r="B43" s="792"/>
      <c r="C43" s="792"/>
      <c r="D43" s="793" t="n">
        <f aca="false">SUM(D39:D42)</f>
        <v>0.1125</v>
      </c>
      <c r="E43" s="794"/>
      <c r="F43" s="795" t="n">
        <f aca="false">SUM(F39:F42)</f>
        <v>567.18</v>
      </c>
      <c r="G43" s="795" t="n">
        <f aca="false">SUM(G39:G42)</f>
        <v>567.18</v>
      </c>
      <c r="H43" s="795" t="n">
        <f aca="false">SUM(H39:H42)</f>
        <v>54.54</v>
      </c>
      <c r="I43" s="795" t="n">
        <f aca="false">SUM(I39:I42)</f>
        <v>18.99</v>
      </c>
      <c r="J43" s="796" t="n">
        <f aca="false">SUM(J39:J41)</f>
        <v>0</v>
      </c>
    </row>
    <row r="44" customFormat="false" ht="19.5" hidden="false" customHeight="true" outlineLevel="0" collapsed="false">
      <c r="A44" s="797" t="str">
        <f aca="false">CONCATENATE("Custo Mensal - ",A7)</f>
        <v>Custo Mensal - Recepcionista</v>
      </c>
      <c r="B44" s="797"/>
      <c r="C44" s="797"/>
      <c r="D44" s="797"/>
      <c r="E44" s="797"/>
      <c r="F44" s="798" t="n">
        <f aca="false">ROUND(F37/(1-D43),2)</f>
        <v>5041.54</v>
      </c>
      <c r="G44" s="798" t="n">
        <f aca="false">ROUND(G37/(1-D43),2)</f>
        <v>5041.54</v>
      </c>
      <c r="H44" s="798" t="n">
        <f aca="false">ROUND(H37/(1-D43),2)</f>
        <v>484.79</v>
      </c>
      <c r="I44" s="798" t="n">
        <f aca="false">ROUND(I37/(1-D43),2)</f>
        <v>168.75</v>
      </c>
      <c r="J44" s="799" t="n">
        <f aca="false">ROUND(J37/(1-D43),2)</f>
        <v>0</v>
      </c>
    </row>
    <row r="45" customFormat="false" ht="19.5" hidden="false" customHeight="true" outlineLevel="0" collapsed="false">
      <c r="A45" s="797" t="str">
        <f aca="false">CONCATENATE("Valor do Custo Mensal - ",A7)</f>
        <v>Valor do Custo Mensal - Recepcionista</v>
      </c>
      <c r="B45" s="797"/>
      <c r="C45" s="797"/>
      <c r="D45" s="797"/>
      <c r="E45" s="797"/>
      <c r="F45" s="798" t="n">
        <f aca="false">F44</f>
        <v>5041.54</v>
      </c>
      <c r="G45" s="798" t="n">
        <f aca="false">G44</f>
        <v>5041.54</v>
      </c>
      <c r="H45" s="798" t="n">
        <f aca="false">H44</f>
        <v>484.79</v>
      </c>
      <c r="I45" s="798" t="n">
        <f aca="false">I44</f>
        <v>168.75</v>
      </c>
      <c r="J45" s="799" t="n">
        <f aca="false">J44</f>
        <v>0</v>
      </c>
      <c r="K45" s="800"/>
      <c r="L45" s="800"/>
    </row>
    <row r="46" customFormat="false" ht="27.75" hidden="false" customHeight="true" outlineLevel="0" collapsed="false">
      <c r="A46" s="801" t="s">
        <v>740</v>
      </c>
      <c r="B46" s="801"/>
      <c r="C46" s="801"/>
      <c r="D46" s="801"/>
      <c r="E46" s="801"/>
      <c r="F46" s="802" t="n">
        <f aca="false">(F45/F14)</f>
        <v>2.6119126934375</v>
      </c>
      <c r="G46" s="802" t="n">
        <f aca="false">(G45/G14)</f>
        <v>2.6119126934375</v>
      </c>
      <c r="H46" s="803" t="s">
        <v>741</v>
      </c>
      <c r="I46" s="803"/>
      <c r="J46" s="804" t="n">
        <v>0</v>
      </c>
    </row>
    <row r="47" customFormat="false" ht="19.5" hidden="false" customHeight="true" outlineLevel="0" collapsed="false"/>
  </sheetData>
  <sheetProtection algorithmName="SHA-512" hashValue="5yO5DbNu6MsLf1xSJQJxXFHT6Rfw+Pkze9PEqfyL76/1YB1HvtJsORtMW8L2fizLY83dIjpLaJz0IL7ae4cQwA==" saltValue="kJ+0I0yhkqwHDW6+9koSQA=="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Dados!C13</f>
        <v>Servente de Limpeza insalubridade (40%)</v>
      </c>
      <c r="B7" s="724"/>
      <c r="C7" s="724"/>
      <c r="D7" s="724"/>
      <c r="E7" s="724"/>
      <c r="F7" s="725" t="s">
        <v>707</v>
      </c>
      <c r="G7" s="725" t="s">
        <v>708</v>
      </c>
      <c r="H7" s="725" t="s">
        <v>709</v>
      </c>
      <c r="I7" s="725" t="s">
        <v>710</v>
      </c>
      <c r="J7" s="725" t="s">
        <v>711</v>
      </c>
    </row>
    <row r="8" customFormat="false" ht="19.5" hidden="false" customHeight="true" outlineLevel="0" collapsed="false">
      <c r="A8" s="726" t="s">
        <v>746</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40" t="str">
        <f aca="false">A7</f>
        <v>Servente de Limpeza insalubridade (40%)</v>
      </c>
      <c r="C11" s="740"/>
      <c r="D11" s="736" t="n">
        <f aca="false">Dados!D13</f>
        <v>200</v>
      </c>
      <c r="E11" s="737" t="n">
        <f aca="false">Dados!E13</f>
        <v>1649.12</v>
      </c>
      <c r="F11" s="738" t="n">
        <f aca="false">ROUND(E11/220*D11,2)</f>
        <v>1499.2</v>
      </c>
      <c r="G11" s="738" t="n">
        <f aca="false">F11</f>
        <v>1499.2</v>
      </c>
      <c r="H11" s="738"/>
      <c r="I11" s="738"/>
      <c r="J11" s="739"/>
    </row>
    <row r="12" customFormat="false" ht="19.5" hidden="false" customHeight="true" outlineLevel="0" collapsed="false">
      <c r="A12" s="734"/>
      <c r="B12" s="740" t="s">
        <v>717</v>
      </c>
      <c r="C12" s="740"/>
      <c r="D12" s="806" t="n">
        <f aca="false">Dados!G13</f>
        <v>0.4</v>
      </c>
      <c r="E12" s="737" t="n">
        <f aca="false">Dados!G33</f>
        <v>1518</v>
      </c>
      <c r="F12" s="738" t="n">
        <f aca="false">D12*E12</f>
        <v>607.2</v>
      </c>
      <c r="G12" s="738" t="n">
        <f aca="false">F12</f>
        <v>607.2</v>
      </c>
      <c r="H12" s="738"/>
      <c r="I12" s="738"/>
      <c r="J12" s="739" t="n">
        <f aca="false">F12</f>
        <v>607.2</v>
      </c>
    </row>
    <row r="13" customFormat="false" ht="20.25" hidden="false" customHeight="true" outlineLevel="0" collapsed="false">
      <c r="A13" s="734"/>
      <c r="B13" s="742" t="s">
        <v>718</v>
      </c>
      <c r="C13" s="743" t="n">
        <f aca="false">Dados!I13</f>
        <v>0</v>
      </c>
      <c r="D13" s="743" t="n">
        <f aca="false">Dados!J13</f>
        <v>0</v>
      </c>
      <c r="E13" s="744" t="n">
        <f aca="false">Dados!L13</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2106.4</v>
      </c>
      <c r="G14" s="748" t="n">
        <f aca="false">SUM(G11:G13)</f>
        <v>2106.4</v>
      </c>
      <c r="H14" s="748" t="n">
        <f aca="false">SUM(H11:H13)</f>
        <v>0</v>
      </c>
      <c r="I14" s="748" t="n">
        <f aca="false">SUM(I11:I13)</f>
        <v>0</v>
      </c>
      <c r="J14" s="749" t="n">
        <f aca="false">SUM(J11:J13)</f>
        <v>607.2</v>
      </c>
    </row>
    <row r="15" customFormat="false" ht="19.5" hidden="false" customHeight="true" outlineLevel="0" collapsed="false">
      <c r="A15" s="734"/>
      <c r="B15" s="750" t="s">
        <v>720</v>
      </c>
      <c r="C15" s="750"/>
      <c r="D15" s="750"/>
      <c r="E15" s="751" t="n">
        <f aca="false">Encargos!$C$57</f>
        <v>0.764</v>
      </c>
      <c r="F15" s="738" t="n">
        <f aca="false">ROUND((E15*F14),2)</f>
        <v>1609.29</v>
      </c>
      <c r="G15" s="738" t="n">
        <f aca="false">F15</f>
        <v>1609.29</v>
      </c>
      <c r="H15" s="738"/>
      <c r="I15" s="738"/>
      <c r="J15" s="739" t="n">
        <f aca="false">ROUND((E15*J14),2)</f>
        <v>463.9</v>
      </c>
    </row>
    <row r="16" customFormat="false" ht="19.5" hidden="false" customHeight="true" outlineLevel="0" collapsed="false">
      <c r="A16" s="752" t="s">
        <v>721</v>
      </c>
      <c r="B16" s="752"/>
      <c r="C16" s="752"/>
      <c r="D16" s="752"/>
      <c r="E16" s="752"/>
      <c r="F16" s="753" t="n">
        <f aca="false">SUM(F14:F15)</f>
        <v>3715.69</v>
      </c>
      <c r="G16" s="753" t="n">
        <f aca="false">SUM(G14:G15)</f>
        <v>3715.69</v>
      </c>
      <c r="H16" s="753" t="n">
        <f aca="false">SUM(H14:H15)</f>
        <v>0</v>
      </c>
      <c r="I16" s="753" t="n">
        <f aca="false">SUM(I14:I15)</f>
        <v>0</v>
      </c>
      <c r="J16" s="754" t="n">
        <f aca="false">SUM(J14:J15)</f>
        <v>1071.1</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Dados!N13</f>
        <v>27.83</v>
      </c>
      <c r="G19" s="738" t="n">
        <f aca="false">F19</f>
        <v>27.83</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160.85</v>
      </c>
      <c r="G22" s="738" t="n">
        <f aca="false">F22</f>
        <v>160.85</v>
      </c>
      <c r="H22" s="738"/>
      <c r="I22" s="738" t="n">
        <f aca="false">F22</f>
        <v>160.85</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189</v>
      </c>
      <c r="B26" s="759"/>
      <c r="C26" s="762"/>
      <c r="D26" s="762"/>
      <c r="E26" s="763"/>
      <c r="F26" s="765" t="n">
        <f aca="false">Dados!T13</f>
        <v>4.94083333333333</v>
      </c>
      <c r="G26" s="738" t="n">
        <f aca="false">F26</f>
        <v>4.94083333333333</v>
      </c>
      <c r="H26" s="738"/>
      <c r="I26" s="765"/>
      <c r="J26" s="739"/>
    </row>
    <row r="27" customFormat="false" ht="19.5" hidden="false" customHeight="true" outlineLevel="0" collapsed="false">
      <c r="A27" s="759" t="s">
        <v>727</v>
      </c>
      <c r="B27" s="759"/>
      <c r="C27" s="762"/>
      <c r="D27" s="763"/>
      <c r="E27" s="763"/>
      <c r="F27" s="738" t="n">
        <f aca="false">Dados!O13</f>
        <v>1017.12</v>
      </c>
      <c r="G27" s="738"/>
      <c r="H27" s="738"/>
      <c r="I27" s="738"/>
      <c r="J27" s="739"/>
      <c r="L27" s="766"/>
    </row>
    <row r="28" customFormat="false" ht="19.5" hidden="false" customHeight="true" outlineLevel="0" collapsed="false">
      <c r="A28" s="759" t="s">
        <v>728</v>
      </c>
      <c r="B28" s="767"/>
      <c r="C28" s="762"/>
      <c r="D28" s="763"/>
      <c r="E28" s="763"/>
      <c r="F28" s="738"/>
      <c r="G28" s="738"/>
      <c r="H28" s="738"/>
      <c r="I28" s="738"/>
      <c r="J28" s="739"/>
    </row>
    <row r="29" customFormat="false" ht="19.5" hidden="false" customHeight="true" outlineLevel="0" collapsed="false">
      <c r="A29" s="768" t="s">
        <v>729</v>
      </c>
      <c r="B29" s="768"/>
      <c r="C29" s="769"/>
      <c r="D29" s="770"/>
      <c r="E29" s="770"/>
      <c r="F29" s="745" t="n">
        <f aca="false">Dados!U13</f>
        <v>4.54473776223776</v>
      </c>
      <c r="G29" s="745" t="n">
        <f aca="false">F29</f>
        <v>4.54473776223776</v>
      </c>
      <c r="H29" s="745"/>
      <c r="I29" s="745"/>
      <c r="J29" s="746"/>
    </row>
    <row r="30" customFormat="false" ht="19.5" hidden="false" customHeight="true" outlineLevel="0" collapsed="false">
      <c r="A30" s="771" t="s">
        <v>730</v>
      </c>
      <c r="B30" s="771"/>
      <c r="C30" s="771"/>
      <c r="D30" s="771"/>
      <c r="E30" s="771"/>
      <c r="F30" s="753" t="n">
        <f aca="false">SUM(F19:F29)</f>
        <v>1651.31557109557</v>
      </c>
      <c r="G30" s="753" t="n">
        <f aca="false">SUM(G19:G29)</f>
        <v>634.195571095571</v>
      </c>
      <c r="H30" s="753" t="n">
        <f aca="false">SUM(H19:H29)</f>
        <v>387.79</v>
      </c>
      <c r="I30" s="753" t="n">
        <f aca="false">SUM(I19:I29)</f>
        <v>160.85</v>
      </c>
      <c r="J30" s="754" t="n">
        <f aca="false">SUM(J19:J29)</f>
        <v>0</v>
      </c>
    </row>
    <row r="31" customFormat="false" ht="19.5" hidden="false" customHeight="true" outlineLevel="0" collapsed="false">
      <c r="A31" s="771" t="s">
        <v>731</v>
      </c>
      <c r="B31" s="771"/>
      <c r="C31" s="771"/>
      <c r="D31" s="771"/>
      <c r="E31" s="771"/>
      <c r="F31" s="753" t="n">
        <f aca="false">F16+F30</f>
        <v>5367.00557109557</v>
      </c>
      <c r="G31" s="753" t="n">
        <f aca="false">G16+G30</f>
        <v>4349.88557109557</v>
      </c>
      <c r="H31" s="753" t="n">
        <f aca="false">H16+H30</f>
        <v>387.79</v>
      </c>
      <c r="I31" s="753" t="n">
        <f aca="false">I16+I30</f>
        <v>160.85</v>
      </c>
      <c r="J31" s="754" t="n">
        <f aca="false">J16+J30</f>
        <v>1071.1</v>
      </c>
    </row>
    <row r="32" customFormat="false" ht="19.5" hidden="false" customHeight="true" outlineLevel="0" collapsed="false">
      <c r="A32" s="728" t="s">
        <v>732</v>
      </c>
      <c r="B32" s="728"/>
      <c r="C32" s="728"/>
      <c r="D32" s="728"/>
      <c r="E32" s="728"/>
      <c r="F32" s="728"/>
      <c r="G32" s="728"/>
      <c r="H32" s="728"/>
      <c r="I32" s="728"/>
      <c r="J32" s="728"/>
    </row>
    <row r="33" customFormat="false" ht="19.5" hidden="false" customHeight="true" outlineLevel="0" collapsed="false">
      <c r="A33" s="756" t="s">
        <v>733</v>
      </c>
      <c r="B33" s="756"/>
      <c r="C33" s="756"/>
      <c r="D33" s="772" t="s">
        <v>671</v>
      </c>
      <c r="E33" s="773" t="s">
        <v>394</v>
      </c>
      <c r="F33" s="773"/>
      <c r="G33" s="773"/>
      <c r="H33" s="773"/>
      <c r="I33" s="773"/>
      <c r="J33" s="773"/>
    </row>
    <row r="34" customFormat="false" ht="19.5" hidden="false" customHeight="true" outlineLevel="0" collapsed="false">
      <c r="A34" s="774" t="s">
        <v>734</v>
      </c>
      <c r="B34" s="775"/>
      <c r="C34" s="775"/>
      <c r="D34" s="776" t="n">
        <f aca="false">Dados!$G$49</f>
        <v>0.07</v>
      </c>
      <c r="E34" s="777"/>
      <c r="F34" s="738" t="n">
        <f aca="false">ROUND((F31*$D$34),2)</f>
        <v>375.69</v>
      </c>
      <c r="G34" s="738" t="n">
        <f aca="false">ROUND((G31*$D$34),2)</f>
        <v>304.49</v>
      </c>
      <c r="H34" s="738" t="n">
        <f aca="false">ROUND((H31*$D$34),2)</f>
        <v>27.15</v>
      </c>
      <c r="I34" s="738" t="n">
        <f aca="false">ROUND((I31*$D$34),2)</f>
        <v>11.26</v>
      </c>
      <c r="J34" s="739" t="n">
        <f aca="false">ROUND((J31*$D$34),2)</f>
        <v>74.98</v>
      </c>
    </row>
    <row r="35" customFormat="false" ht="19.5" hidden="false" customHeight="true" outlineLevel="0" collapsed="false">
      <c r="A35" s="778" t="s">
        <v>735</v>
      </c>
      <c r="B35" s="778"/>
      <c r="C35" s="778"/>
      <c r="D35" s="776"/>
      <c r="E35" s="777"/>
      <c r="F35" s="738" t="n">
        <f aca="false">F31+F34</f>
        <v>5742.69557109557</v>
      </c>
      <c r="G35" s="738" t="n">
        <f aca="false">G31+G34</f>
        <v>4654.37557109557</v>
      </c>
      <c r="H35" s="738" t="n">
        <f aca="false">H31+H34</f>
        <v>414.94</v>
      </c>
      <c r="I35" s="738" t="n">
        <f aca="false">I31+I34</f>
        <v>172.11</v>
      </c>
      <c r="J35" s="739" t="n">
        <f aca="false">J31+J34</f>
        <v>1146.08</v>
      </c>
    </row>
    <row r="36" customFormat="false" ht="19.5" hidden="false" customHeight="true" outlineLevel="0" collapsed="false">
      <c r="A36" s="779" t="s">
        <v>258</v>
      </c>
      <c r="B36" s="780"/>
      <c r="C36" s="780"/>
      <c r="D36" s="781" t="n">
        <f aca="false">Dados!$G$50</f>
        <v>0.0369</v>
      </c>
      <c r="E36" s="782"/>
      <c r="F36" s="745" t="n">
        <f aca="false">ROUND((F35*$D$36),2)</f>
        <v>211.91</v>
      </c>
      <c r="G36" s="745" t="n">
        <f aca="false">ROUND((G35*$D$36),2)</f>
        <v>171.75</v>
      </c>
      <c r="H36" s="745" t="n">
        <f aca="false">ROUND((H35*$D$36),2)</f>
        <v>15.31</v>
      </c>
      <c r="I36" s="745" t="n">
        <f aca="false">ROUND((I35*$D$36),2)</f>
        <v>6.35</v>
      </c>
      <c r="J36" s="746" t="n">
        <f aca="false">ROUND((J35*$D$36),2)</f>
        <v>42.29</v>
      </c>
    </row>
    <row r="37" customFormat="false" ht="19.5" hidden="false" customHeight="true" outlineLevel="0" collapsed="false">
      <c r="A37" s="783" t="s">
        <v>736</v>
      </c>
      <c r="B37" s="784"/>
      <c r="C37" s="784"/>
      <c r="D37" s="785" t="n">
        <f aca="false">SUM(D34:D36)</f>
        <v>0.1069</v>
      </c>
      <c r="E37" s="786"/>
      <c r="F37" s="753" t="n">
        <f aca="false">F34+F36</f>
        <v>587.6</v>
      </c>
      <c r="G37" s="753" t="n">
        <f aca="false">G34+G36</f>
        <v>476.24</v>
      </c>
      <c r="H37" s="753" t="n">
        <f aca="false">H34+H36</f>
        <v>42.46</v>
      </c>
      <c r="I37" s="753" t="n">
        <f aca="false">I34+I36</f>
        <v>17.61</v>
      </c>
      <c r="J37" s="754" t="n">
        <f aca="false">J34+J36</f>
        <v>117.27</v>
      </c>
    </row>
    <row r="38" customFormat="false" ht="19.5" hidden="false" customHeight="true" outlineLevel="0" collapsed="false">
      <c r="A38" s="787" t="s">
        <v>737</v>
      </c>
      <c r="B38" s="787"/>
      <c r="C38" s="787"/>
      <c r="D38" s="787"/>
      <c r="E38" s="787"/>
      <c r="F38" s="788" t="n">
        <f aca="false">F31+F37</f>
        <v>5954.60557109557</v>
      </c>
      <c r="G38" s="788" t="n">
        <f aca="false">G31+G37</f>
        <v>4826.12557109557</v>
      </c>
      <c r="H38" s="788" t="n">
        <f aca="false">H31+H37</f>
        <v>430.25</v>
      </c>
      <c r="I38" s="788" t="n">
        <f aca="false">I31+I37</f>
        <v>178.46</v>
      </c>
      <c r="J38" s="789" t="n">
        <f aca="false">J31+J37</f>
        <v>1188.37</v>
      </c>
    </row>
    <row r="39" customFormat="false" ht="19.5" hidden="false" customHeight="true" outlineLevel="0" collapsed="false">
      <c r="A39" s="790" t="s">
        <v>738</v>
      </c>
      <c r="B39" s="790"/>
      <c r="C39" s="790"/>
      <c r="D39" s="790"/>
      <c r="E39" s="790"/>
      <c r="F39" s="790"/>
      <c r="G39" s="790"/>
      <c r="H39" s="790"/>
      <c r="I39" s="790"/>
      <c r="J39" s="790"/>
    </row>
    <row r="40" customFormat="false" ht="19.5" hidden="false" customHeight="true" outlineLevel="0" collapsed="false">
      <c r="A40" s="759" t="s">
        <v>264</v>
      </c>
      <c r="B40" s="759"/>
      <c r="C40" s="759"/>
      <c r="D40" s="776" t="n">
        <f aca="false">Dados!G57</f>
        <v>0.076</v>
      </c>
      <c r="E40" s="791"/>
      <c r="F40" s="738" t="n">
        <f aca="false">ROUND(($F$46*D40),2)</f>
        <v>515.73</v>
      </c>
      <c r="G40" s="738" t="n">
        <f aca="false">ROUND((G46*$D$40),2)</f>
        <v>417.99</v>
      </c>
      <c r="H40" s="738" t="n">
        <f aca="false">ROUND((H46*$D$40),2)</f>
        <v>37.26</v>
      </c>
      <c r="I40" s="738" t="n">
        <f aca="false">ROUND((I46*$D$40),2)</f>
        <v>15.46</v>
      </c>
      <c r="J40" s="739" t="n">
        <f aca="false">ROUND((J46*$D$40),2)</f>
        <v>102.92</v>
      </c>
    </row>
    <row r="41" customFormat="false" ht="19.5" hidden="false" customHeight="true" outlineLevel="0" collapsed="false">
      <c r="A41" s="759" t="s">
        <v>266</v>
      </c>
      <c r="B41" s="759"/>
      <c r="C41" s="759"/>
      <c r="D41" s="776" t="n">
        <f aca="false">Dados!G58</f>
        <v>0.0165</v>
      </c>
      <c r="E41" s="791"/>
      <c r="F41" s="738" t="n">
        <f aca="false">ROUND((F46*$D$41),2)</f>
        <v>111.97</v>
      </c>
      <c r="G41" s="738" t="n">
        <f aca="false">ROUND((G46*$D$41),2)</f>
        <v>90.75</v>
      </c>
      <c r="H41" s="738" t="n">
        <f aca="false">ROUND((H46*$D$41),2)</f>
        <v>8.09</v>
      </c>
      <c r="I41" s="738" t="n">
        <f aca="false">ROUND((I46*$D$41),2)</f>
        <v>3.36</v>
      </c>
      <c r="J41" s="739" t="n">
        <f aca="false">ROUND((J46*$D$41),2)</f>
        <v>22.35</v>
      </c>
    </row>
    <row r="42" customFormat="false" ht="19.5" hidden="false" customHeight="true" outlineLevel="0" collapsed="false">
      <c r="A42" s="759" t="str">
        <f aca="false">Dados!B59</f>
        <v>ISSQN 7.10 - Limpeza</v>
      </c>
      <c r="B42" s="759"/>
      <c r="C42" s="759"/>
      <c r="D42" s="776" t="n">
        <f aca="false">Dados!G59</f>
        <v>0.03</v>
      </c>
      <c r="E42" s="791"/>
      <c r="F42" s="738" t="n">
        <f aca="false">ROUND((F46*$D$42),2)</f>
        <v>203.58</v>
      </c>
      <c r="G42" s="738" t="n">
        <f aca="false">ROUND((G46*$D$42),2)</f>
        <v>165</v>
      </c>
      <c r="H42" s="738" t="n">
        <f aca="false">ROUND((H46*$D$42),2)</f>
        <v>14.71</v>
      </c>
      <c r="I42" s="738" t="n">
        <f aca="false">ROUND((I46*$D$42),2)</f>
        <v>6.1</v>
      </c>
      <c r="J42" s="739" t="n">
        <f aca="false">ROUND((J46*$D$42),2)</f>
        <v>40.63</v>
      </c>
    </row>
    <row r="43" customFormat="false" ht="19.5" hidden="false" customHeight="true" outlineLevel="0" collapsed="false">
      <c r="A43" s="759" t="str">
        <f aca="false">Dados!B60</f>
        <v>ISSQN 17.05 - Fornecimento de mão-de-obra</v>
      </c>
      <c r="B43" s="759"/>
      <c r="C43" s="759"/>
      <c r="D43" s="776" t="n">
        <v>0</v>
      </c>
      <c r="E43" s="791"/>
      <c r="F43" s="738" t="n">
        <f aca="false">ROUND((F46*$D$43),2)</f>
        <v>0</v>
      </c>
      <c r="G43" s="738" t="n">
        <f aca="false">ROUND((G46*$D$43),2)</f>
        <v>0</v>
      </c>
      <c r="H43" s="738" t="n">
        <f aca="false">ROUND((H46*$D$43),2)</f>
        <v>0</v>
      </c>
      <c r="I43" s="738" t="n">
        <f aca="false">ROUND((I46*$D$43),2)</f>
        <v>0</v>
      </c>
      <c r="J43" s="739" t="n">
        <f aca="false">ROUND((J46*$D$43),2)</f>
        <v>0</v>
      </c>
    </row>
    <row r="44" customFormat="false" ht="19.5" hidden="false" customHeight="true" outlineLevel="0" collapsed="false">
      <c r="A44" s="792" t="s">
        <v>739</v>
      </c>
      <c r="B44" s="792"/>
      <c r="C44" s="792"/>
      <c r="D44" s="793" t="n">
        <f aca="false">SUM(D40:D43)</f>
        <v>0.1225</v>
      </c>
      <c r="E44" s="794"/>
      <c r="F44" s="795" t="n">
        <f aca="false">SUM(F40:F43)</f>
        <v>831.28</v>
      </c>
      <c r="G44" s="795" t="n">
        <f aca="false">SUM(G40:G43)</f>
        <v>673.74</v>
      </c>
      <c r="H44" s="795" t="n">
        <f aca="false">SUM(H40:H43)</f>
        <v>60.06</v>
      </c>
      <c r="I44" s="795" t="n">
        <f aca="false">SUM(I40:I43)</f>
        <v>24.92</v>
      </c>
      <c r="J44" s="796" t="n">
        <f aca="false">SUM(J40:J42)</f>
        <v>165.9</v>
      </c>
    </row>
    <row r="45" customFormat="false" ht="19.5" hidden="false" customHeight="true" outlineLevel="0" collapsed="false">
      <c r="A45" s="797" t="str">
        <f aca="false">CONCATENATE("Custo Mensal - ",A7)</f>
        <v>Custo Mensal - Servente de Limpeza insalubridade (40%)</v>
      </c>
      <c r="B45" s="797"/>
      <c r="C45" s="797"/>
      <c r="D45" s="797"/>
      <c r="E45" s="797"/>
      <c r="F45" s="798" t="n">
        <f aca="false">ROUND(F38/(1-D44),2)</f>
        <v>6785.88</v>
      </c>
      <c r="G45" s="798" t="n">
        <f aca="false">ROUND(G38/(1-D44),2)</f>
        <v>5499.86</v>
      </c>
      <c r="H45" s="798" t="n">
        <f aca="false">ROUND(H38/(1-D44),2)</f>
        <v>490.31</v>
      </c>
      <c r="I45" s="798" t="n">
        <f aca="false">ROUND(I38/(1-D44),2)</f>
        <v>203.37</v>
      </c>
      <c r="J45" s="799" t="n">
        <f aca="false">ROUND(J38/(1-D44),2)</f>
        <v>1354.27</v>
      </c>
    </row>
    <row r="46" customFormat="false" ht="19.5" hidden="false" customHeight="true" outlineLevel="0" collapsed="false">
      <c r="A46" s="797" t="str">
        <f aca="false">CONCATENATE("Valor do Custo Mensal - ",A7)</f>
        <v>Valor do Custo Mensal - Servente de Limpeza insalubridade (40%)</v>
      </c>
      <c r="B46" s="797"/>
      <c r="C46" s="797"/>
      <c r="D46" s="797"/>
      <c r="E46" s="797"/>
      <c r="F46" s="798" t="n">
        <f aca="false">F45</f>
        <v>6785.88</v>
      </c>
      <c r="G46" s="798" t="n">
        <f aca="false">G45</f>
        <v>5499.86</v>
      </c>
      <c r="H46" s="798" t="n">
        <f aca="false">H45</f>
        <v>490.31</v>
      </c>
      <c r="I46" s="798" t="n">
        <f aca="false">I45</f>
        <v>203.37</v>
      </c>
      <c r="J46" s="799" t="n">
        <f aca="false">J45</f>
        <v>1354.27</v>
      </c>
      <c r="K46" s="800"/>
      <c r="L46" s="800"/>
    </row>
    <row r="47" customFormat="false" ht="27.75" hidden="false" customHeight="true" outlineLevel="0" collapsed="false">
      <c r="A47" s="801" t="s">
        <v>740</v>
      </c>
      <c r="B47" s="801"/>
      <c r="C47" s="801"/>
      <c r="D47" s="801"/>
      <c r="E47" s="801"/>
      <c r="F47" s="802" t="n">
        <f aca="false">(F46/F14)</f>
        <v>3.22155336118496</v>
      </c>
      <c r="G47" s="802" t="n">
        <f aca="false">(G46/G14)</f>
        <v>2.61102354728447</v>
      </c>
      <c r="H47" s="803" t="s">
        <v>741</v>
      </c>
      <c r="I47" s="803"/>
      <c r="J47" s="804" t="n">
        <f aca="false">ROUND((J46/30),2)</f>
        <v>45.14</v>
      </c>
    </row>
    <row r="48" customFormat="false" ht="19.5" hidden="false" customHeight="true" outlineLevel="0" collapsed="false"/>
  </sheetData>
  <sheetProtection algorithmName="SHA-512" hashValue="9R4FF3sditS5wfNSSCv6Vnm/ko0JoiUCdVsalk6eEkQpC5/Gv7xTStW9nFvfp3sFKwqrqRWoqSjvNmZJfeNfyg==" saltValue="x9JsRbDfbepiK4M0to2ZfA=="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Dados!C12</f>
        <v>Servente de Limpeza</v>
      </c>
      <c r="B7" s="724"/>
      <c r="C7" s="724"/>
      <c r="D7" s="724"/>
      <c r="E7" s="724"/>
      <c r="F7" s="725" t="s">
        <v>707</v>
      </c>
      <c r="G7" s="725" t="s">
        <v>708</v>
      </c>
      <c r="H7" s="725" t="s">
        <v>709</v>
      </c>
      <c r="I7" s="725" t="s">
        <v>710</v>
      </c>
      <c r="J7" s="725" t="s">
        <v>711</v>
      </c>
    </row>
    <row r="8" customFormat="false" ht="19.5" hidden="false" customHeight="true" outlineLevel="0" collapsed="false">
      <c r="A8" s="726" t="s">
        <v>746</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19.5" hidden="false" customHeight="true" outlineLevel="0" collapsed="false">
      <c r="A11" s="734" t="n">
        <v>1</v>
      </c>
      <c r="B11" s="740" t="str">
        <f aca="false">A7</f>
        <v>Servente de Limpeza</v>
      </c>
      <c r="C11" s="740"/>
      <c r="D11" s="736" t="n">
        <f aca="false">Dados!D12</f>
        <v>200</v>
      </c>
      <c r="E11" s="737" t="n">
        <f aca="false">Dados!E12</f>
        <v>1649.12</v>
      </c>
      <c r="F11" s="738" t="n">
        <f aca="false">ROUND(E11/220*D11,2)</f>
        <v>1499.2</v>
      </c>
      <c r="G11" s="738" t="n">
        <f aca="false">F11</f>
        <v>1499.2</v>
      </c>
      <c r="H11" s="738"/>
      <c r="I11" s="738"/>
      <c r="J11" s="739"/>
    </row>
    <row r="12" customFormat="false" ht="19.5" hidden="false" customHeight="true" outlineLevel="0" collapsed="false">
      <c r="A12" s="734"/>
      <c r="B12" s="740" t="s">
        <v>717</v>
      </c>
      <c r="C12" s="740"/>
      <c r="D12" s="741" t="n">
        <f aca="false">Dados!G12</f>
        <v>0</v>
      </c>
      <c r="E12" s="737" t="n">
        <f aca="false">Dados!G33</f>
        <v>1518</v>
      </c>
      <c r="F12" s="738" t="n">
        <f aca="false">D12*E12</f>
        <v>0</v>
      </c>
      <c r="G12" s="738" t="n">
        <f aca="false">F12</f>
        <v>0</v>
      </c>
      <c r="H12" s="738"/>
      <c r="I12" s="738"/>
      <c r="J12" s="739" t="n">
        <f aca="false">F12</f>
        <v>0</v>
      </c>
    </row>
    <row r="13" customFormat="false" ht="21" hidden="false" customHeight="true" outlineLevel="0" collapsed="false">
      <c r="A13" s="734"/>
      <c r="B13" s="742" t="s">
        <v>718</v>
      </c>
      <c r="C13" s="743" t="n">
        <f aca="false">Dados!I12</f>
        <v>0</v>
      </c>
      <c r="D13" s="743" t="n">
        <f aca="false">Dados!J12</f>
        <v>0</v>
      </c>
      <c r="E13" s="744" t="n">
        <f aca="false">Dados!K12</f>
        <v>0</v>
      </c>
      <c r="F13" s="745" t="n">
        <f aca="false">ROUND((E13*D13*C13),2)</f>
        <v>0</v>
      </c>
      <c r="G13" s="745" t="n">
        <f aca="false">F13</f>
        <v>0</v>
      </c>
      <c r="H13" s="745"/>
      <c r="I13" s="745"/>
      <c r="J13" s="746"/>
    </row>
    <row r="14" customFormat="false" ht="19.5" hidden="false" customHeight="true" outlineLevel="0" collapsed="false">
      <c r="A14" s="734"/>
      <c r="B14" s="747" t="s">
        <v>719</v>
      </c>
      <c r="C14" s="747"/>
      <c r="D14" s="747"/>
      <c r="E14" s="747"/>
      <c r="F14" s="748" t="n">
        <f aca="false">SUM(F11:F13)</f>
        <v>1499.2</v>
      </c>
      <c r="G14" s="748" t="n">
        <f aca="false">SUM(G11:G13)</f>
        <v>1499.2</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1145.39</v>
      </c>
      <c r="G15" s="738" t="n">
        <f aca="false">F15</f>
        <v>1145.39</v>
      </c>
      <c r="H15" s="738"/>
      <c r="I15" s="738"/>
      <c r="J15" s="739" t="n">
        <f aca="false">ROUND((E15*J14),2)</f>
        <v>0</v>
      </c>
    </row>
    <row r="16" customFormat="false" ht="19.5" hidden="false" customHeight="true" outlineLevel="0" collapsed="false">
      <c r="A16" s="752" t="s">
        <v>721</v>
      </c>
      <c r="B16" s="752"/>
      <c r="C16" s="752"/>
      <c r="D16" s="752"/>
      <c r="E16" s="752"/>
      <c r="F16" s="753" t="n">
        <f aca="false">SUM(F14:F15)</f>
        <v>2644.59</v>
      </c>
      <c r="G16" s="753" t="n">
        <f aca="false">SUM(G14:G15)</f>
        <v>2644.59</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Dados!N12</f>
        <v>27.83</v>
      </c>
      <c r="G19" s="738" t="n">
        <f aca="false">F19</f>
        <v>27.83</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160.85</v>
      </c>
      <c r="G22" s="738" t="n">
        <f aca="false">F22</f>
        <v>160.85</v>
      </c>
      <c r="H22" s="738"/>
      <c r="I22" s="738" t="n">
        <f aca="false">F22</f>
        <v>160.85</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189</v>
      </c>
      <c r="B26" s="759"/>
      <c r="C26" s="762"/>
      <c r="D26" s="762"/>
      <c r="E26" s="763"/>
      <c r="F26" s="765" t="n">
        <f aca="false">Dados!T12</f>
        <v>4.94083333333333</v>
      </c>
      <c r="G26" s="738" t="n">
        <f aca="false">F26</f>
        <v>4.94083333333333</v>
      </c>
      <c r="H26" s="738"/>
      <c r="I26" s="765"/>
      <c r="J26" s="739"/>
    </row>
    <row r="27" customFormat="false" ht="19.5" hidden="false" customHeight="true" outlineLevel="0" collapsed="false">
      <c r="A27" s="759" t="s">
        <v>727</v>
      </c>
      <c r="B27" s="759"/>
      <c r="C27" s="762"/>
      <c r="D27" s="763"/>
      <c r="E27" s="763"/>
      <c r="F27" s="738" t="n">
        <f aca="false">Dados!O12</f>
        <v>1017.12</v>
      </c>
      <c r="G27" s="738"/>
      <c r="H27" s="738"/>
      <c r="I27" s="738"/>
      <c r="J27" s="739"/>
      <c r="L27" s="766"/>
    </row>
    <row r="28" customFormat="false" ht="19.5" hidden="false" customHeight="true" outlineLevel="0" collapsed="false">
      <c r="A28" s="759" t="s">
        <v>728</v>
      </c>
      <c r="B28" s="767"/>
      <c r="C28" s="762"/>
      <c r="D28" s="763"/>
      <c r="E28" s="763"/>
      <c r="F28" s="738" t="n">
        <f aca="false">Dados!R12</f>
        <v>0</v>
      </c>
      <c r="G28" s="738"/>
      <c r="H28" s="738"/>
      <c r="I28" s="738"/>
      <c r="J28" s="739"/>
    </row>
    <row r="29" customFormat="false" ht="19.5" hidden="false" customHeight="true" outlineLevel="0" collapsed="false">
      <c r="A29" s="768" t="s">
        <v>729</v>
      </c>
      <c r="B29" s="768"/>
      <c r="C29" s="769"/>
      <c r="D29" s="770"/>
      <c r="E29" s="770"/>
      <c r="F29" s="745" t="n">
        <f aca="false">Dados!U12</f>
        <v>4.54473776223776</v>
      </c>
      <c r="G29" s="745" t="n">
        <f aca="false">F29</f>
        <v>4.54473776223776</v>
      </c>
      <c r="H29" s="745"/>
      <c r="I29" s="745"/>
      <c r="J29" s="746"/>
    </row>
    <row r="30" customFormat="false" ht="19.5" hidden="false" customHeight="true" outlineLevel="0" collapsed="false">
      <c r="A30" s="771" t="s">
        <v>730</v>
      </c>
      <c r="B30" s="771"/>
      <c r="C30" s="771"/>
      <c r="D30" s="771"/>
      <c r="E30" s="771"/>
      <c r="F30" s="753" t="n">
        <f aca="false">SUM(F19:F29)</f>
        <v>1651.31557109557</v>
      </c>
      <c r="G30" s="753" t="n">
        <f aca="false">SUM(G19:G29)</f>
        <v>634.195571095571</v>
      </c>
      <c r="H30" s="753" t="n">
        <f aca="false">SUM(H19:H29)</f>
        <v>387.79</v>
      </c>
      <c r="I30" s="753" t="n">
        <f aca="false">SUM(I19:I29)</f>
        <v>160.85</v>
      </c>
      <c r="J30" s="754" t="n">
        <f aca="false">SUM(J19:J29)</f>
        <v>0</v>
      </c>
    </row>
    <row r="31" customFormat="false" ht="19.5" hidden="false" customHeight="true" outlineLevel="0" collapsed="false">
      <c r="A31" s="771" t="s">
        <v>731</v>
      </c>
      <c r="B31" s="771"/>
      <c r="C31" s="771"/>
      <c r="D31" s="771"/>
      <c r="E31" s="771"/>
      <c r="F31" s="753" t="n">
        <f aca="false">F16+F30</f>
        <v>4295.90557109557</v>
      </c>
      <c r="G31" s="753" t="n">
        <f aca="false">G16+G30</f>
        <v>3278.78557109557</v>
      </c>
      <c r="H31" s="753" t="n">
        <f aca="false">H16+H30</f>
        <v>387.79</v>
      </c>
      <c r="I31" s="753" t="n">
        <f aca="false">I16+I30</f>
        <v>160.85</v>
      </c>
      <c r="J31" s="754" t="n">
        <f aca="false">J16+J30</f>
        <v>0</v>
      </c>
    </row>
    <row r="32" customFormat="false" ht="19.5" hidden="false" customHeight="true" outlineLevel="0" collapsed="false">
      <c r="A32" s="728" t="s">
        <v>732</v>
      </c>
      <c r="B32" s="728"/>
      <c r="C32" s="728"/>
      <c r="D32" s="728"/>
      <c r="E32" s="728"/>
      <c r="F32" s="728"/>
      <c r="G32" s="728"/>
      <c r="H32" s="728"/>
      <c r="I32" s="728"/>
      <c r="J32" s="728"/>
    </row>
    <row r="33" customFormat="false" ht="19.5" hidden="false" customHeight="true" outlineLevel="0" collapsed="false">
      <c r="A33" s="756" t="s">
        <v>733</v>
      </c>
      <c r="B33" s="756"/>
      <c r="C33" s="756"/>
      <c r="D33" s="772" t="s">
        <v>671</v>
      </c>
      <c r="E33" s="773" t="s">
        <v>394</v>
      </c>
      <c r="F33" s="773"/>
      <c r="G33" s="773"/>
      <c r="H33" s="773"/>
      <c r="I33" s="773"/>
      <c r="J33" s="773"/>
    </row>
    <row r="34" customFormat="false" ht="19.5" hidden="false" customHeight="true" outlineLevel="0" collapsed="false">
      <c r="A34" s="774" t="s">
        <v>734</v>
      </c>
      <c r="B34" s="775"/>
      <c r="C34" s="775"/>
      <c r="D34" s="776" t="n">
        <f aca="false">Dados!$G$49</f>
        <v>0.07</v>
      </c>
      <c r="E34" s="777"/>
      <c r="F34" s="738" t="n">
        <f aca="false">ROUND((F31*$D$34),2)</f>
        <v>300.71</v>
      </c>
      <c r="G34" s="738" t="n">
        <f aca="false">ROUND((G31*$D$34),2)</f>
        <v>229.51</v>
      </c>
      <c r="H34" s="738" t="n">
        <f aca="false">ROUND((H31*$D$34),2)</f>
        <v>27.15</v>
      </c>
      <c r="I34" s="738" t="n">
        <f aca="false">ROUND((I31*$D$34),2)</f>
        <v>11.26</v>
      </c>
      <c r="J34" s="739" t="n">
        <f aca="false">ROUND((J31*$D$34),2)</f>
        <v>0</v>
      </c>
    </row>
    <row r="35" customFormat="false" ht="19.5" hidden="false" customHeight="true" outlineLevel="0" collapsed="false">
      <c r="A35" s="778" t="s">
        <v>735</v>
      </c>
      <c r="B35" s="778"/>
      <c r="C35" s="778"/>
      <c r="D35" s="776"/>
      <c r="E35" s="777"/>
      <c r="F35" s="738" t="n">
        <f aca="false">F31+F34</f>
        <v>4596.61557109557</v>
      </c>
      <c r="G35" s="738" t="n">
        <f aca="false">G31+G34</f>
        <v>3508.29557109557</v>
      </c>
      <c r="H35" s="738" t="n">
        <f aca="false">H31+H34</f>
        <v>414.94</v>
      </c>
      <c r="I35" s="738" t="n">
        <f aca="false">I31+I34</f>
        <v>172.11</v>
      </c>
      <c r="J35" s="739" t="n">
        <f aca="false">J31+J34</f>
        <v>0</v>
      </c>
    </row>
    <row r="36" customFormat="false" ht="19.5" hidden="false" customHeight="true" outlineLevel="0" collapsed="false">
      <c r="A36" s="779" t="s">
        <v>258</v>
      </c>
      <c r="B36" s="780"/>
      <c r="C36" s="780"/>
      <c r="D36" s="781" t="n">
        <f aca="false">Dados!$G$50</f>
        <v>0.0369</v>
      </c>
      <c r="E36" s="782"/>
      <c r="F36" s="745" t="n">
        <f aca="false">ROUND((F35*$D$36),2)</f>
        <v>169.62</v>
      </c>
      <c r="G36" s="745" t="n">
        <f aca="false">ROUND((G35*$D$36),2)</f>
        <v>129.46</v>
      </c>
      <c r="H36" s="745" t="n">
        <f aca="false">ROUND((H35*$D$36),2)</f>
        <v>15.31</v>
      </c>
      <c r="I36" s="745" t="n">
        <f aca="false">ROUND((I35*$D$36),2)</f>
        <v>6.35</v>
      </c>
      <c r="J36" s="746" t="n">
        <f aca="false">ROUND((J35*$D$36),2)</f>
        <v>0</v>
      </c>
    </row>
    <row r="37" customFormat="false" ht="19.5" hidden="false" customHeight="true" outlineLevel="0" collapsed="false">
      <c r="A37" s="783" t="s">
        <v>736</v>
      </c>
      <c r="B37" s="784"/>
      <c r="C37" s="784"/>
      <c r="D37" s="785" t="n">
        <f aca="false">SUM(D34:D36)</f>
        <v>0.1069</v>
      </c>
      <c r="E37" s="786"/>
      <c r="F37" s="753" t="n">
        <f aca="false">F34+F36</f>
        <v>470.33</v>
      </c>
      <c r="G37" s="753" t="n">
        <f aca="false">G34+G36</f>
        <v>358.97</v>
      </c>
      <c r="H37" s="753" t="n">
        <f aca="false">H34+H36</f>
        <v>42.46</v>
      </c>
      <c r="I37" s="753" t="n">
        <f aca="false">I34+I36</f>
        <v>17.61</v>
      </c>
      <c r="J37" s="754" t="n">
        <f aca="false">J34+J36</f>
        <v>0</v>
      </c>
    </row>
    <row r="38" customFormat="false" ht="19.5" hidden="false" customHeight="true" outlineLevel="0" collapsed="false">
      <c r="A38" s="787" t="s">
        <v>737</v>
      </c>
      <c r="B38" s="787"/>
      <c r="C38" s="787"/>
      <c r="D38" s="787"/>
      <c r="E38" s="787"/>
      <c r="F38" s="788" t="n">
        <f aca="false">F31+F37</f>
        <v>4766.23557109557</v>
      </c>
      <c r="G38" s="788" t="n">
        <f aca="false">G31+G37</f>
        <v>3637.75557109557</v>
      </c>
      <c r="H38" s="788" t="n">
        <f aca="false">H31+H37</f>
        <v>430.25</v>
      </c>
      <c r="I38" s="788" t="n">
        <f aca="false">I31+I37</f>
        <v>178.46</v>
      </c>
      <c r="J38" s="789" t="n">
        <f aca="false">J31+J37</f>
        <v>0</v>
      </c>
    </row>
    <row r="39" customFormat="false" ht="19.5" hidden="false" customHeight="true" outlineLevel="0" collapsed="false">
      <c r="A39" s="790" t="s">
        <v>738</v>
      </c>
      <c r="B39" s="790"/>
      <c r="C39" s="790"/>
      <c r="D39" s="790"/>
      <c r="E39" s="790"/>
      <c r="F39" s="790"/>
      <c r="G39" s="790"/>
      <c r="H39" s="790"/>
      <c r="I39" s="790"/>
      <c r="J39" s="790"/>
    </row>
    <row r="40" customFormat="false" ht="19.5" hidden="false" customHeight="true" outlineLevel="0" collapsed="false">
      <c r="A40" s="759" t="s">
        <v>264</v>
      </c>
      <c r="B40" s="759"/>
      <c r="C40" s="759"/>
      <c r="D40" s="776" t="n">
        <f aca="false">Dados!G57</f>
        <v>0.076</v>
      </c>
      <c r="E40" s="791"/>
      <c r="F40" s="738" t="n">
        <f aca="false">ROUND(($F$46*D40),2)</f>
        <v>412.8</v>
      </c>
      <c r="G40" s="738" t="n">
        <f aca="false">ROUND((G46*$D$40),2)</f>
        <v>315.06</v>
      </c>
      <c r="H40" s="738" t="n">
        <f aca="false">ROUND((H46*$D$40),2)</f>
        <v>37.26</v>
      </c>
      <c r="I40" s="738" t="n">
        <f aca="false">ROUND((I46*$D$40),2)</f>
        <v>15.46</v>
      </c>
      <c r="J40" s="739" t="n">
        <f aca="false">ROUND((J46*$D$40),2)</f>
        <v>0</v>
      </c>
    </row>
    <row r="41" customFormat="false" ht="19.5" hidden="false" customHeight="true" outlineLevel="0" collapsed="false">
      <c r="A41" s="759" t="s">
        <v>266</v>
      </c>
      <c r="B41" s="759"/>
      <c r="C41" s="759"/>
      <c r="D41" s="776" t="n">
        <f aca="false">Dados!G58</f>
        <v>0.0165</v>
      </c>
      <c r="E41" s="791"/>
      <c r="F41" s="738" t="n">
        <f aca="false">ROUND((F46*$D$41),2)</f>
        <v>89.62</v>
      </c>
      <c r="G41" s="738" t="n">
        <f aca="false">ROUND((G46*$D$41),2)</f>
        <v>68.4</v>
      </c>
      <c r="H41" s="738" t="n">
        <f aca="false">ROUND((H46*$D$41),2)</f>
        <v>8.09</v>
      </c>
      <c r="I41" s="738" t="n">
        <f aca="false">ROUND((I46*$D$41),2)</f>
        <v>3.36</v>
      </c>
      <c r="J41" s="739" t="n">
        <f aca="false">ROUND((J46*$D$41),2)</f>
        <v>0</v>
      </c>
    </row>
    <row r="42" customFormat="false" ht="19.5" hidden="false" customHeight="true" outlineLevel="0" collapsed="false">
      <c r="A42" s="759" t="str">
        <f aca="false">Dados!B59</f>
        <v>ISSQN 7.10 - Limpeza</v>
      </c>
      <c r="B42" s="759"/>
      <c r="C42" s="759"/>
      <c r="D42" s="776" t="n">
        <f aca="false">Dados!G59</f>
        <v>0.03</v>
      </c>
      <c r="E42" s="791"/>
      <c r="F42" s="738" t="n">
        <f aca="false">ROUND((F46*$D$42),2)</f>
        <v>162.95</v>
      </c>
      <c r="G42" s="738" t="n">
        <f aca="false">ROUND((G46*$D$42),2)</f>
        <v>124.37</v>
      </c>
      <c r="H42" s="738" t="n">
        <f aca="false">ROUND((H46*$D$42),2)</f>
        <v>14.71</v>
      </c>
      <c r="I42" s="738" t="n">
        <f aca="false">ROUND((I46*$D$42),2)</f>
        <v>6.1</v>
      </c>
      <c r="J42" s="739" t="n">
        <f aca="false">ROUND((J46*$D$42),2)</f>
        <v>0</v>
      </c>
    </row>
    <row r="43" customFormat="false" ht="19.5" hidden="false" customHeight="true" outlineLevel="0" collapsed="false">
      <c r="A43" s="759" t="str">
        <f aca="false">Dados!B60</f>
        <v>ISSQN 17.05 - Fornecimento de mão-de-obra</v>
      </c>
      <c r="B43" s="759"/>
      <c r="C43" s="759"/>
      <c r="D43" s="776" t="n">
        <v>0</v>
      </c>
      <c r="E43" s="791"/>
      <c r="F43" s="738" t="n">
        <f aca="false">ROUND((F46*$D$43),2)</f>
        <v>0</v>
      </c>
      <c r="G43" s="738" t="n">
        <f aca="false">ROUND((G46*$D$43),2)</f>
        <v>0</v>
      </c>
      <c r="H43" s="738" t="n">
        <f aca="false">ROUND((H46*$D$43),2)</f>
        <v>0</v>
      </c>
      <c r="I43" s="738" t="n">
        <f aca="false">ROUND((I46*$D$43),2)</f>
        <v>0</v>
      </c>
      <c r="J43" s="739" t="n">
        <f aca="false">ROUND((J46*$D$43),2)</f>
        <v>0</v>
      </c>
    </row>
    <row r="44" customFormat="false" ht="19.5" hidden="false" customHeight="true" outlineLevel="0" collapsed="false">
      <c r="A44" s="792" t="s">
        <v>739</v>
      </c>
      <c r="B44" s="792"/>
      <c r="C44" s="792"/>
      <c r="D44" s="793" t="n">
        <f aca="false">SUM(D40:D43)</f>
        <v>0.1225</v>
      </c>
      <c r="E44" s="794"/>
      <c r="F44" s="795" t="n">
        <f aca="false">SUM(F40:F43)</f>
        <v>665.37</v>
      </c>
      <c r="G44" s="795" t="n">
        <f aca="false">SUM(G40:G43)</f>
        <v>507.83</v>
      </c>
      <c r="H44" s="795" t="n">
        <f aca="false">SUM(H40:H43)</f>
        <v>60.06</v>
      </c>
      <c r="I44" s="795" t="n">
        <f aca="false">SUM(I40:I43)</f>
        <v>24.92</v>
      </c>
      <c r="J44" s="796" t="n">
        <f aca="false">SUM(J40:J42)</f>
        <v>0</v>
      </c>
    </row>
    <row r="45" customFormat="false" ht="19.5" hidden="false" customHeight="true" outlineLevel="0" collapsed="false">
      <c r="A45" s="797" t="str">
        <f aca="false">CONCATENATE("Custo Mensal - ",A7)</f>
        <v>Custo Mensal - Servente de Limpeza</v>
      </c>
      <c r="B45" s="797"/>
      <c r="C45" s="797"/>
      <c r="D45" s="797"/>
      <c r="E45" s="797"/>
      <c r="F45" s="798" t="n">
        <f aca="false">ROUND(F38/(1-D44),2)</f>
        <v>5431.61</v>
      </c>
      <c r="G45" s="798" t="n">
        <f aca="false">ROUND(G38/(1-D44),2)</f>
        <v>4145.59</v>
      </c>
      <c r="H45" s="798" t="n">
        <f aca="false">ROUND(H38/(1-D44),2)</f>
        <v>490.31</v>
      </c>
      <c r="I45" s="798" t="n">
        <f aca="false">ROUND(I38/(1-D44),2)</f>
        <v>203.37</v>
      </c>
      <c r="J45" s="799" t="n">
        <f aca="false">ROUND(J38/(1-D44),2)</f>
        <v>0</v>
      </c>
    </row>
    <row r="46" customFormat="false" ht="19.5" hidden="false" customHeight="true" outlineLevel="0" collapsed="false">
      <c r="A46" s="797" t="str">
        <f aca="false">CONCATENATE("Valor do Custo Mensal - ",A7)</f>
        <v>Valor do Custo Mensal - Servente de Limpeza</v>
      </c>
      <c r="B46" s="797"/>
      <c r="C46" s="797"/>
      <c r="D46" s="797"/>
      <c r="E46" s="797"/>
      <c r="F46" s="798" t="n">
        <f aca="false">F45</f>
        <v>5431.61</v>
      </c>
      <c r="G46" s="798" t="n">
        <f aca="false">G45</f>
        <v>4145.59</v>
      </c>
      <c r="H46" s="798" t="n">
        <f aca="false">H45</f>
        <v>490.31</v>
      </c>
      <c r="I46" s="798" t="n">
        <f aca="false">I45</f>
        <v>203.37</v>
      </c>
      <c r="J46" s="799" t="n">
        <f aca="false">J45</f>
        <v>0</v>
      </c>
      <c r="K46" s="800"/>
      <c r="L46" s="800"/>
    </row>
    <row r="47" customFormat="false" ht="27.75" hidden="false" customHeight="true" outlineLevel="0" collapsed="false">
      <c r="A47" s="801" t="s">
        <v>740</v>
      </c>
      <c r="B47" s="801"/>
      <c r="C47" s="801"/>
      <c r="D47" s="801"/>
      <c r="E47" s="801"/>
      <c r="F47" s="802" t="n">
        <f aca="false">(F46/F14)</f>
        <v>3.62300560298826</v>
      </c>
      <c r="G47" s="802" t="n">
        <f aca="false">(G46/G14)</f>
        <v>2.76520144076841</v>
      </c>
      <c r="H47" s="803" t="s">
        <v>741</v>
      </c>
      <c r="I47" s="803"/>
      <c r="J47" s="804" t="n">
        <v>0</v>
      </c>
    </row>
    <row r="48" customFormat="false" ht="19.5" hidden="false" customHeight="true" outlineLevel="0" collapsed="false"/>
  </sheetData>
  <sheetProtection algorithmName="SHA-512" hashValue="riGXlWv1KbIlYB6TtlhmowbeqzOXIfievhYWwcyhZhpJ0tB6V34HMx4Wo6jnraT4PyGOLWiqf8l8cfXVQvB3eQ==" saltValue="XSO4kEGJJGNBGOgBvoB+Vg=="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MJ82"/>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1" width="6.29"/>
    <col collapsed="false" customWidth="true" hidden="false" outlineLevel="0" max="2" min="2" style="132" width="8.71"/>
    <col collapsed="false" customWidth="true" hidden="false" outlineLevel="0" max="3" min="3" style="108" width="4"/>
    <col collapsed="false" customWidth="false" hidden="false" outlineLevel="0" max="23" min="4" style="108" width="9.14"/>
    <col collapsed="false" customWidth="true" hidden="false" outlineLevel="0" max="24" min="24" style="108" width="10.71"/>
    <col collapsed="false" customWidth="false" hidden="false" outlineLevel="0" max="256" min="25" style="108" width="9.14"/>
    <col collapsed="false" customWidth="true" hidden="false" outlineLevel="0" max="257" min="257" style="108" width="4.57"/>
    <col collapsed="false" customWidth="true" hidden="false" outlineLevel="0" max="258" min="258" style="108" width="11.14"/>
    <col collapsed="false" customWidth="true" hidden="false" outlineLevel="0" max="259" min="259" style="108" width="4"/>
    <col collapsed="false" customWidth="false" hidden="false" outlineLevel="0" max="512" min="260" style="108" width="9.14"/>
    <col collapsed="false" customWidth="true" hidden="false" outlineLevel="0" max="513" min="513" style="108" width="4.57"/>
    <col collapsed="false" customWidth="true" hidden="false" outlineLevel="0" max="514" min="514" style="108" width="11.14"/>
    <col collapsed="false" customWidth="true" hidden="false" outlineLevel="0" max="515" min="515" style="108" width="4"/>
    <col collapsed="false" customWidth="false" hidden="false" outlineLevel="0" max="768" min="516" style="108" width="9.14"/>
    <col collapsed="false" customWidth="true" hidden="false" outlineLevel="0" max="769" min="769" style="108" width="4.57"/>
    <col collapsed="false" customWidth="true" hidden="false" outlineLevel="0" max="770" min="770" style="108" width="11.14"/>
    <col collapsed="false" customWidth="true" hidden="false" outlineLevel="0" max="771" min="771" style="108" width="4"/>
    <col collapsed="false" customWidth="false" hidden="false" outlineLevel="0" max="1024" min="772" style="108" width="9.14"/>
  </cols>
  <sheetData>
    <row r="1" customFormat="false" ht="15" hidden="false" customHeight="false" outlineLevel="0" collapsed="false">
      <c r="A1" s="133"/>
      <c r="B1" s="134" t="s">
        <v>90</v>
      </c>
    </row>
    <row r="2" customFormat="false" ht="15" hidden="false" customHeight="false" outlineLevel="0" collapsed="false">
      <c r="A2" s="135"/>
      <c r="B2" s="136" t="s">
        <v>91</v>
      </c>
    </row>
    <row r="3" customFormat="false" ht="15" hidden="false" customHeight="false" outlineLevel="0" collapsed="false">
      <c r="A3" s="135"/>
      <c r="B3" s="137" t="s">
        <v>92</v>
      </c>
    </row>
    <row r="4" s="139" customFormat="true" ht="15" hidden="false" customHeight="false" outlineLevel="0" collapsed="false">
      <c r="A4" s="138" t="s">
        <v>93</v>
      </c>
      <c r="B4" s="138"/>
      <c r="C4" s="138"/>
      <c r="D4" s="138"/>
      <c r="E4" s="138"/>
      <c r="F4" s="138"/>
      <c r="G4" s="138"/>
      <c r="H4" s="138"/>
      <c r="I4" s="138"/>
      <c r="J4" s="138"/>
      <c r="K4" s="138"/>
      <c r="L4" s="138"/>
      <c r="M4" s="138"/>
      <c r="N4" s="138"/>
      <c r="O4" s="138"/>
      <c r="P4" s="138"/>
      <c r="Q4" s="138"/>
      <c r="R4" s="138"/>
      <c r="S4" s="138"/>
      <c r="T4" s="138"/>
      <c r="U4" s="138"/>
      <c r="V4" s="138"/>
      <c r="W4" s="138"/>
      <c r="X4" s="138"/>
    </row>
    <row r="5" customFormat="false" ht="12" hidden="false" customHeight="true" outlineLevel="0" collapsed="false"/>
    <row r="6" customFormat="false" ht="15" hidden="false" customHeight="false" outlineLevel="0" collapsed="false">
      <c r="A6" s="140" t="s">
        <v>94</v>
      </c>
      <c r="B6" s="141" t="s">
        <v>95</v>
      </c>
    </row>
    <row r="7" customFormat="false" ht="7.5" hidden="false" customHeight="true" outlineLevel="0" collapsed="false"/>
    <row r="8" customFormat="false" ht="15" hidden="false" customHeight="false" outlineLevel="0" collapsed="false">
      <c r="B8" s="142"/>
      <c r="C8" s="132" t="s">
        <v>96</v>
      </c>
    </row>
    <row r="10" customFormat="false" ht="15" hidden="false" customHeight="false" outlineLevel="0" collapsed="false">
      <c r="A10" s="140" t="s">
        <v>97</v>
      </c>
      <c r="B10" s="132" t="s">
        <v>98</v>
      </c>
    </row>
    <row r="12" customFormat="false" ht="15" hidden="false" customHeight="false" outlineLevel="0" collapsed="false">
      <c r="A12" s="140" t="s">
        <v>99</v>
      </c>
      <c r="B12" s="132" t="s">
        <v>100</v>
      </c>
    </row>
    <row r="13" customFormat="false" ht="15" hidden="false" customHeight="false" outlineLevel="0" collapsed="false">
      <c r="A13" s="140"/>
      <c r="B13" s="132" t="s">
        <v>101</v>
      </c>
    </row>
    <row r="14" customFormat="false" ht="17.25" hidden="false" customHeight="true" outlineLevel="0" collapsed="false">
      <c r="A14" s="140"/>
      <c r="B14" s="143" t="s">
        <v>102</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c r="IC14" s="144"/>
      <c r="ID14" s="144"/>
      <c r="IE14" s="144"/>
      <c r="IF14" s="144"/>
      <c r="IG14" s="144"/>
      <c r="IH14" s="144"/>
      <c r="II14" s="144"/>
      <c r="IJ14" s="144"/>
      <c r="IK14" s="144"/>
      <c r="IL14" s="144"/>
      <c r="IM14" s="144"/>
      <c r="IN14" s="144"/>
      <c r="IO14" s="144"/>
      <c r="IP14" s="144"/>
      <c r="IQ14" s="144"/>
      <c r="IR14" s="144"/>
      <c r="IS14" s="144"/>
      <c r="IT14" s="144"/>
      <c r="IU14" s="144"/>
      <c r="IV14" s="144"/>
      <c r="IW14" s="144"/>
      <c r="IX14" s="144"/>
      <c r="IY14" s="144"/>
      <c r="IZ14" s="144"/>
      <c r="JA14" s="144"/>
      <c r="JB14" s="144"/>
      <c r="JC14" s="144"/>
      <c r="JD14" s="144"/>
      <c r="JE14" s="144"/>
      <c r="JF14" s="144"/>
      <c r="JG14" s="144"/>
      <c r="JH14" s="144"/>
      <c r="JI14" s="144"/>
      <c r="JJ14" s="144"/>
      <c r="JK14" s="144"/>
      <c r="JL14" s="144"/>
      <c r="JM14" s="144"/>
      <c r="JN14" s="144"/>
      <c r="JO14" s="144"/>
      <c r="JP14" s="144"/>
      <c r="JQ14" s="144"/>
      <c r="JR14" s="144"/>
      <c r="JS14" s="144"/>
      <c r="JT14" s="144"/>
      <c r="JU14" s="144"/>
      <c r="JV14" s="144"/>
      <c r="JW14" s="144"/>
      <c r="JX14" s="144"/>
      <c r="JY14" s="144"/>
      <c r="JZ14" s="144"/>
      <c r="KA14" s="144"/>
      <c r="KB14" s="144"/>
      <c r="KC14" s="144"/>
      <c r="KD14" s="144"/>
      <c r="KE14" s="144"/>
      <c r="KF14" s="144"/>
      <c r="KG14" s="144"/>
      <c r="KH14" s="144"/>
      <c r="KI14" s="144"/>
      <c r="KJ14" s="144"/>
      <c r="KK14" s="144"/>
      <c r="KL14" s="144"/>
      <c r="KM14" s="144"/>
      <c r="KN14" s="144"/>
      <c r="KO14" s="144"/>
      <c r="KP14" s="144"/>
      <c r="KQ14" s="144"/>
      <c r="KR14" s="144"/>
      <c r="KS14" s="144"/>
      <c r="KT14" s="144"/>
      <c r="KU14" s="144"/>
      <c r="KV14" s="144"/>
      <c r="KW14" s="144"/>
      <c r="KX14" s="144"/>
      <c r="KY14" s="144"/>
      <c r="KZ14" s="144"/>
      <c r="LA14" s="144"/>
      <c r="LB14" s="144"/>
      <c r="LC14" s="144"/>
      <c r="LD14" s="144"/>
      <c r="LE14" s="144"/>
      <c r="LF14" s="144"/>
      <c r="LG14" s="144"/>
      <c r="LH14" s="144"/>
      <c r="LI14" s="144"/>
      <c r="LJ14" s="144"/>
      <c r="LK14" s="144"/>
      <c r="LL14" s="144"/>
      <c r="LM14" s="144"/>
      <c r="LN14" s="144"/>
      <c r="LO14" s="144"/>
      <c r="LP14" s="144"/>
      <c r="LQ14" s="144"/>
      <c r="LR14" s="144"/>
      <c r="LS14" s="144"/>
      <c r="LT14" s="144"/>
      <c r="LU14" s="144"/>
      <c r="LV14" s="144"/>
      <c r="LW14" s="144"/>
      <c r="LX14" s="144"/>
      <c r="LY14" s="144"/>
      <c r="LZ14" s="144"/>
      <c r="MA14" s="144"/>
      <c r="MB14" s="144"/>
      <c r="MC14" s="144"/>
      <c r="MD14" s="144"/>
      <c r="ME14" s="144"/>
      <c r="MF14" s="144"/>
      <c r="MG14" s="144"/>
      <c r="MH14" s="144"/>
      <c r="MI14" s="144"/>
      <c r="MJ14" s="144"/>
      <c r="MK14" s="144"/>
      <c r="ML14" s="144"/>
      <c r="MM14" s="144"/>
      <c r="MN14" s="144"/>
      <c r="MO14" s="144"/>
      <c r="MP14" s="144"/>
      <c r="MQ14" s="144"/>
      <c r="MR14" s="144"/>
      <c r="MS14" s="144"/>
      <c r="MT14" s="144"/>
      <c r="MU14" s="144"/>
      <c r="MV14" s="144"/>
      <c r="MW14" s="144"/>
      <c r="MX14" s="144"/>
      <c r="MY14" s="144"/>
      <c r="MZ14" s="144"/>
      <c r="NA14" s="144"/>
      <c r="NB14" s="144"/>
      <c r="NC14" s="144"/>
      <c r="ND14" s="144"/>
      <c r="NE14" s="144"/>
      <c r="NF14" s="144"/>
      <c r="NG14" s="144"/>
      <c r="NH14" s="144"/>
      <c r="NI14" s="144"/>
      <c r="NJ14" s="144"/>
      <c r="NK14" s="144"/>
      <c r="NL14" s="144"/>
      <c r="NM14" s="144"/>
      <c r="NN14" s="144"/>
      <c r="NO14" s="144"/>
      <c r="NP14" s="144"/>
      <c r="NQ14" s="144"/>
      <c r="NR14" s="144"/>
      <c r="NS14" s="144"/>
      <c r="NT14" s="144"/>
      <c r="NU14" s="144"/>
      <c r="NV14" s="144"/>
      <c r="NW14" s="144"/>
      <c r="NX14" s="144"/>
      <c r="NY14" s="144"/>
      <c r="NZ14" s="144"/>
      <c r="OA14" s="144"/>
      <c r="OB14" s="144"/>
      <c r="OC14" s="144"/>
      <c r="OD14" s="144"/>
      <c r="OE14" s="144"/>
      <c r="OF14" s="144"/>
      <c r="OG14" s="144"/>
      <c r="OH14" s="144"/>
      <c r="OI14" s="144"/>
      <c r="OJ14" s="144"/>
      <c r="OK14" s="144"/>
      <c r="OL14" s="144"/>
      <c r="OM14" s="144"/>
      <c r="ON14" s="144"/>
      <c r="OO14" s="144"/>
      <c r="OP14" s="144"/>
      <c r="OQ14" s="144"/>
      <c r="OR14" s="144"/>
      <c r="OS14" s="144"/>
      <c r="OT14" s="144"/>
      <c r="OU14" s="144"/>
      <c r="OV14" s="144"/>
      <c r="OW14" s="144"/>
      <c r="OX14" s="144"/>
      <c r="OY14" s="144"/>
      <c r="OZ14" s="144"/>
      <c r="PA14" s="144"/>
      <c r="PB14" s="144"/>
      <c r="PC14" s="144"/>
      <c r="PD14" s="144"/>
      <c r="PE14" s="144"/>
      <c r="PF14" s="144"/>
      <c r="PG14" s="144"/>
      <c r="PH14" s="144"/>
      <c r="PI14" s="144"/>
      <c r="PJ14" s="144"/>
      <c r="PK14" s="144"/>
      <c r="PL14" s="144"/>
      <c r="PM14" s="144"/>
      <c r="PN14" s="144"/>
      <c r="PO14" s="144"/>
      <c r="PP14" s="144"/>
      <c r="PQ14" s="144"/>
      <c r="PR14" s="144"/>
      <c r="PS14" s="144"/>
      <c r="PT14" s="144"/>
      <c r="PU14" s="144"/>
      <c r="PV14" s="144"/>
      <c r="PW14" s="144"/>
      <c r="PX14" s="144"/>
      <c r="PY14" s="144"/>
      <c r="PZ14" s="144"/>
      <c r="QA14" s="144"/>
      <c r="QB14" s="144"/>
      <c r="QC14" s="144"/>
      <c r="QD14" s="144"/>
      <c r="QE14" s="144"/>
      <c r="QF14" s="144"/>
      <c r="QG14" s="144"/>
      <c r="QH14" s="144"/>
      <c r="QI14" s="144"/>
      <c r="QJ14" s="144"/>
      <c r="QK14" s="144"/>
      <c r="QL14" s="144"/>
      <c r="QM14" s="144"/>
      <c r="QN14" s="144"/>
      <c r="QO14" s="144"/>
      <c r="QP14" s="144"/>
      <c r="QQ14" s="144"/>
      <c r="QR14" s="144"/>
      <c r="QS14" s="144"/>
      <c r="QT14" s="144"/>
      <c r="QU14" s="144"/>
      <c r="QV14" s="144"/>
      <c r="QW14" s="144"/>
      <c r="QX14" s="144"/>
      <c r="QY14" s="144"/>
      <c r="QZ14" s="144"/>
      <c r="RA14" s="144"/>
      <c r="RB14" s="144"/>
      <c r="RC14" s="144"/>
      <c r="RD14" s="144"/>
      <c r="RE14" s="144"/>
      <c r="RF14" s="144"/>
      <c r="RG14" s="144"/>
      <c r="RH14" s="144"/>
      <c r="RI14" s="144"/>
      <c r="RJ14" s="144"/>
      <c r="RK14" s="144"/>
      <c r="RL14" s="144"/>
      <c r="RM14" s="144"/>
      <c r="RN14" s="144"/>
      <c r="RO14" s="144"/>
      <c r="RP14" s="144"/>
      <c r="RQ14" s="144"/>
      <c r="RR14" s="144"/>
      <c r="RS14" s="144"/>
      <c r="RT14" s="144"/>
      <c r="RU14" s="144"/>
      <c r="RV14" s="144"/>
      <c r="RW14" s="144"/>
      <c r="RX14" s="144"/>
      <c r="RY14" s="144"/>
      <c r="RZ14" s="144"/>
      <c r="SA14" s="144"/>
      <c r="SB14" s="144"/>
      <c r="SC14" s="144"/>
      <c r="SD14" s="144"/>
      <c r="SE14" s="144"/>
      <c r="SF14" s="144"/>
      <c r="SG14" s="144"/>
      <c r="SH14" s="144"/>
      <c r="SI14" s="144"/>
      <c r="SJ14" s="144"/>
      <c r="SK14" s="144"/>
      <c r="SL14" s="144"/>
      <c r="SM14" s="144"/>
      <c r="SN14" s="144"/>
      <c r="SO14" s="144"/>
      <c r="SP14" s="144"/>
      <c r="SQ14" s="144"/>
      <c r="SR14" s="144"/>
      <c r="SS14" s="144"/>
      <c r="ST14" s="144"/>
      <c r="SU14" s="144"/>
      <c r="SV14" s="144"/>
      <c r="SW14" s="144"/>
      <c r="SX14" s="144"/>
      <c r="SY14" s="144"/>
      <c r="SZ14" s="144"/>
      <c r="TA14" s="144"/>
      <c r="TB14" s="144"/>
      <c r="TC14" s="144"/>
      <c r="TD14" s="144"/>
      <c r="TE14" s="144"/>
      <c r="TF14" s="144"/>
      <c r="TG14" s="144"/>
      <c r="TH14" s="144"/>
      <c r="TI14" s="144"/>
      <c r="TJ14" s="144"/>
      <c r="TK14" s="144"/>
      <c r="TL14" s="144"/>
      <c r="TM14" s="144"/>
      <c r="TN14" s="144"/>
      <c r="TO14" s="144"/>
      <c r="TP14" s="144"/>
      <c r="TQ14" s="144"/>
      <c r="TR14" s="144"/>
      <c r="TS14" s="144"/>
      <c r="TT14" s="144"/>
      <c r="TU14" s="144"/>
      <c r="TV14" s="144"/>
      <c r="TW14" s="144"/>
      <c r="TX14" s="144"/>
      <c r="TY14" s="144"/>
      <c r="TZ14" s="144"/>
      <c r="UA14" s="144"/>
      <c r="UB14" s="144"/>
      <c r="UC14" s="144"/>
      <c r="UD14" s="144"/>
      <c r="UE14" s="144"/>
      <c r="UF14" s="144"/>
      <c r="UG14" s="144"/>
      <c r="UH14" s="144"/>
      <c r="UI14" s="144"/>
      <c r="UJ14" s="144"/>
      <c r="UK14" s="144"/>
      <c r="UL14" s="144"/>
      <c r="UM14" s="144"/>
      <c r="UN14" s="144"/>
      <c r="UO14" s="144"/>
      <c r="UP14" s="144"/>
      <c r="UQ14" s="144"/>
      <c r="UR14" s="144"/>
      <c r="US14" s="144"/>
      <c r="UT14" s="144"/>
      <c r="UU14" s="144"/>
      <c r="UV14" s="144"/>
      <c r="UW14" s="144"/>
      <c r="UX14" s="144"/>
      <c r="UY14" s="144"/>
      <c r="UZ14" s="144"/>
      <c r="VA14" s="144"/>
      <c r="VB14" s="144"/>
      <c r="VC14" s="144"/>
      <c r="VD14" s="144"/>
      <c r="VE14" s="144"/>
      <c r="VF14" s="144"/>
      <c r="VG14" s="144"/>
      <c r="VH14" s="144"/>
      <c r="VI14" s="144"/>
      <c r="VJ14" s="144"/>
      <c r="VK14" s="144"/>
      <c r="VL14" s="144"/>
      <c r="VM14" s="144"/>
      <c r="VN14" s="144"/>
      <c r="VO14" s="144"/>
      <c r="VP14" s="144"/>
      <c r="VQ14" s="144"/>
      <c r="VR14" s="144"/>
      <c r="VS14" s="144"/>
      <c r="VT14" s="144"/>
      <c r="VU14" s="144"/>
      <c r="VV14" s="144"/>
      <c r="VW14" s="144"/>
      <c r="VX14" s="144"/>
      <c r="VY14" s="144"/>
      <c r="VZ14" s="144"/>
      <c r="WA14" s="144"/>
      <c r="WB14" s="144"/>
      <c r="WC14" s="144"/>
      <c r="WD14" s="144"/>
      <c r="WE14" s="144"/>
      <c r="WF14" s="144"/>
      <c r="WG14" s="144"/>
      <c r="WH14" s="144"/>
      <c r="WI14" s="144"/>
      <c r="WJ14" s="144"/>
      <c r="WK14" s="144"/>
      <c r="WL14" s="144"/>
      <c r="WM14" s="144"/>
      <c r="WN14" s="144"/>
      <c r="WO14" s="144"/>
      <c r="WP14" s="144"/>
      <c r="WQ14" s="144"/>
      <c r="WR14" s="144"/>
      <c r="WS14" s="144"/>
      <c r="WT14" s="144"/>
      <c r="WU14" s="144"/>
      <c r="WV14" s="144"/>
      <c r="WW14" s="144"/>
      <c r="WX14" s="144"/>
      <c r="WY14" s="144"/>
      <c r="WZ14" s="144"/>
      <c r="XA14" s="144"/>
      <c r="XB14" s="144"/>
      <c r="XC14" s="144"/>
      <c r="XD14" s="144"/>
      <c r="XE14" s="144"/>
      <c r="XF14" s="144"/>
      <c r="XG14" s="144"/>
      <c r="XH14" s="144"/>
      <c r="XI14" s="144"/>
      <c r="XJ14" s="144"/>
      <c r="XK14" s="144"/>
      <c r="XL14" s="144"/>
      <c r="XM14" s="144"/>
      <c r="XN14" s="144"/>
      <c r="XO14" s="144"/>
      <c r="XP14" s="144"/>
      <c r="XQ14" s="144"/>
      <c r="XR14" s="144"/>
      <c r="XS14" s="144"/>
      <c r="XT14" s="144"/>
      <c r="XU14" s="144"/>
      <c r="XV14" s="144"/>
      <c r="XW14" s="144"/>
      <c r="XX14" s="144"/>
      <c r="XY14" s="144"/>
      <c r="XZ14" s="144"/>
      <c r="YA14" s="144"/>
      <c r="YB14" s="144"/>
      <c r="YC14" s="144"/>
      <c r="YD14" s="144"/>
      <c r="YE14" s="144"/>
      <c r="YF14" s="144"/>
      <c r="YG14" s="144"/>
      <c r="YH14" s="144"/>
      <c r="YI14" s="144"/>
      <c r="YJ14" s="144"/>
      <c r="YK14" s="144"/>
      <c r="YL14" s="144"/>
      <c r="YM14" s="144"/>
      <c r="YN14" s="144"/>
      <c r="YO14" s="144"/>
      <c r="YP14" s="144"/>
      <c r="YQ14" s="144"/>
      <c r="YR14" s="144"/>
      <c r="YS14" s="144"/>
      <c r="YT14" s="144"/>
      <c r="YU14" s="144"/>
      <c r="YV14" s="144"/>
      <c r="YW14" s="144"/>
      <c r="YX14" s="144"/>
      <c r="YY14" s="144"/>
      <c r="YZ14" s="144"/>
      <c r="ZA14" s="144"/>
      <c r="ZB14" s="144"/>
      <c r="ZC14" s="144"/>
      <c r="ZD14" s="144"/>
      <c r="ZE14" s="144"/>
      <c r="ZF14" s="144"/>
      <c r="ZG14" s="144"/>
      <c r="ZH14" s="144"/>
      <c r="ZI14" s="144"/>
      <c r="ZJ14" s="144"/>
      <c r="ZK14" s="144"/>
      <c r="ZL14" s="144"/>
      <c r="ZM14" s="144"/>
      <c r="ZN14" s="144"/>
      <c r="ZO14" s="144"/>
      <c r="ZP14" s="144"/>
      <c r="ZQ14" s="144"/>
      <c r="ZR14" s="144"/>
      <c r="ZS14" s="144"/>
      <c r="ZT14" s="144"/>
      <c r="ZU14" s="144"/>
      <c r="ZV14" s="144"/>
      <c r="ZW14" s="144"/>
      <c r="ZX14" s="144"/>
      <c r="ZY14" s="144"/>
      <c r="ZZ14" s="144"/>
      <c r="AAA14" s="144"/>
      <c r="AAB14" s="144"/>
      <c r="AAC14" s="144"/>
      <c r="AAD14" s="144"/>
      <c r="AAE14" s="144"/>
      <c r="AAF14" s="144"/>
      <c r="AAG14" s="144"/>
      <c r="AAH14" s="144"/>
      <c r="AAI14" s="144"/>
      <c r="AAJ14" s="144"/>
      <c r="AAK14" s="144"/>
      <c r="AAL14" s="144"/>
      <c r="AAM14" s="144"/>
      <c r="AAN14" s="144"/>
      <c r="AAO14" s="144"/>
      <c r="AAP14" s="144"/>
      <c r="AAQ14" s="144"/>
      <c r="AAR14" s="144"/>
      <c r="AAS14" s="144"/>
      <c r="AAT14" s="144"/>
      <c r="AAU14" s="144"/>
      <c r="AAV14" s="144"/>
      <c r="AAW14" s="144"/>
      <c r="AAX14" s="144"/>
      <c r="AAY14" s="144"/>
      <c r="AAZ14" s="144"/>
      <c r="ABA14" s="144"/>
      <c r="ABB14" s="144"/>
      <c r="ABC14" s="144"/>
      <c r="ABD14" s="144"/>
      <c r="ABE14" s="144"/>
      <c r="ABF14" s="144"/>
      <c r="ABG14" s="144"/>
      <c r="ABH14" s="144"/>
      <c r="ABI14" s="144"/>
      <c r="ABJ14" s="144"/>
      <c r="ABK14" s="144"/>
      <c r="ABL14" s="144"/>
      <c r="ABM14" s="144"/>
      <c r="ABN14" s="144"/>
      <c r="ABO14" s="144"/>
      <c r="ABP14" s="144"/>
      <c r="ABQ14" s="144"/>
      <c r="ABR14" s="144"/>
      <c r="ABS14" s="144"/>
      <c r="ABT14" s="144"/>
      <c r="ABU14" s="144"/>
      <c r="ABV14" s="144"/>
      <c r="ABW14" s="144"/>
      <c r="ABX14" s="144"/>
      <c r="ABY14" s="144"/>
      <c r="ABZ14" s="144"/>
      <c r="ACA14" s="144"/>
      <c r="ACB14" s="144"/>
      <c r="ACC14" s="144"/>
      <c r="ACD14" s="144"/>
      <c r="ACE14" s="144"/>
      <c r="ACF14" s="144"/>
      <c r="ACG14" s="144"/>
      <c r="ACH14" s="144"/>
      <c r="ACI14" s="144"/>
      <c r="ACJ14" s="144"/>
      <c r="ACK14" s="144"/>
      <c r="ACL14" s="144"/>
      <c r="ACM14" s="144"/>
      <c r="ACN14" s="144"/>
      <c r="ACO14" s="144"/>
      <c r="ACP14" s="144"/>
      <c r="ACQ14" s="144"/>
      <c r="ACR14" s="144"/>
      <c r="ACS14" s="144"/>
      <c r="ACT14" s="144"/>
      <c r="ACU14" s="144"/>
      <c r="ACV14" s="144"/>
      <c r="ACW14" s="144"/>
      <c r="ACX14" s="144"/>
      <c r="ACY14" s="144"/>
      <c r="ACZ14" s="144"/>
      <c r="ADA14" s="144"/>
      <c r="ADB14" s="144"/>
      <c r="ADC14" s="144"/>
      <c r="ADD14" s="144"/>
      <c r="ADE14" s="144"/>
      <c r="ADF14" s="144"/>
      <c r="ADG14" s="144"/>
      <c r="ADH14" s="144"/>
      <c r="ADI14" s="144"/>
      <c r="ADJ14" s="144"/>
      <c r="ADK14" s="144"/>
      <c r="ADL14" s="144"/>
      <c r="ADM14" s="144"/>
      <c r="ADN14" s="144"/>
      <c r="ADO14" s="144"/>
      <c r="ADP14" s="144"/>
      <c r="ADQ14" s="144"/>
      <c r="ADR14" s="144"/>
      <c r="ADS14" s="144"/>
      <c r="ADT14" s="144"/>
      <c r="ADU14" s="144"/>
      <c r="ADV14" s="144"/>
      <c r="ADW14" s="144"/>
      <c r="ADX14" s="144"/>
      <c r="ADY14" s="144"/>
      <c r="ADZ14" s="144"/>
      <c r="AEA14" s="144"/>
      <c r="AEB14" s="144"/>
      <c r="AEC14" s="144"/>
      <c r="AED14" s="144"/>
      <c r="AEE14" s="144"/>
      <c r="AEF14" s="144"/>
      <c r="AEG14" s="144"/>
      <c r="AEH14" s="144"/>
      <c r="AEI14" s="144"/>
      <c r="AEJ14" s="144"/>
      <c r="AEK14" s="144"/>
      <c r="AEL14" s="144"/>
      <c r="AEM14" s="144"/>
      <c r="AEN14" s="144"/>
      <c r="AEO14" s="144"/>
      <c r="AEP14" s="144"/>
      <c r="AEQ14" s="144"/>
      <c r="AER14" s="144"/>
      <c r="AES14" s="144"/>
      <c r="AET14" s="144"/>
      <c r="AEU14" s="144"/>
      <c r="AEV14" s="144"/>
      <c r="AEW14" s="144"/>
      <c r="AEX14" s="144"/>
      <c r="AEY14" s="144"/>
      <c r="AEZ14" s="144"/>
      <c r="AFA14" s="144"/>
      <c r="AFB14" s="144"/>
      <c r="AFC14" s="144"/>
      <c r="AFD14" s="144"/>
      <c r="AFE14" s="144"/>
      <c r="AFF14" s="144"/>
      <c r="AFG14" s="144"/>
      <c r="AFH14" s="144"/>
      <c r="AFI14" s="144"/>
      <c r="AFJ14" s="144"/>
      <c r="AFK14" s="144"/>
      <c r="AFL14" s="144"/>
      <c r="AFM14" s="144"/>
      <c r="AFN14" s="144"/>
      <c r="AFO14" s="144"/>
      <c r="AFP14" s="144"/>
      <c r="AFQ14" s="144"/>
      <c r="AFR14" s="144"/>
      <c r="AFS14" s="144"/>
      <c r="AFT14" s="144"/>
      <c r="AFU14" s="144"/>
      <c r="AFV14" s="144"/>
      <c r="AFW14" s="144"/>
      <c r="AFX14" s="144"/>
      <c r="AFY14" s="144"/>
      <c r="AFZ14" s="144"/>
      <c r="AGA14" s="144"/>
      <c r="AGB14" s="144"/>
      <c r="AGC14" s="144"/>
      <c r="AGD14" s="144"/>
      <c r="AGE14" s="144"/>
      <c r="AGF14" s="144"/>
      <c r="AGG14" s="144"/>
      <c r="AGH14" s="144"/>
      <c r="AGI14" s="144"/>
      <c r="AGJ14" s="144"/>
      <c r="AGK14" s="144"/>
      <c r="AGL14" s="144"/>
      <c r="AGM14" s="144"/>
      <c r="AGN14" s="144"/>
      <c r="AGO14" s="144"/>
      <c r="AGP14" s="144"/>
      <c r="AGQ14" s="144"/>
      <c r="AGR14" s="144"/>
      <c r="AGS14" s="144"/>
      <c r="AGT14" s="144"/>
      <c r="AGU14" s="144"/>
      <c r="AGV14" s="144"/>
      <c r="AGW14" s="144"/>
      <c r="AGX14" s="144"/>
      <c r="AGY14" s="144"/>
      <c r="AGZ14" s="144"/>
      <c r="AHA14" s="144"/>
      <c r="AHB14" s="144"/>
      <c r="AHC14" s="144"/>
      <c r="AHD14" s="144"/>
      <c r="AHE14" s="144"/>
      <c r="AHF14" s="144"/>
      <c r="AHG14" s="144"/>
      <c r="AHH14" s="144"/>
      <c r="AHI14" s="144"/>
      <c r="AHJ14" s="144"/>
      <c r="AHK14" s="144"/>
      <c r="AHL14" s="144"/>
      <c r="AHM14" s="144"/>
      <c r="AHN14" s="144"/>
      <c r="AHO14" s="144"/>
      <c r="AHP14" s="144"/>
      <c r="AHQ14" s="144"/>
      <c r="AHR14" s="144"/>
      <c r="AHS14" s="144"/>
      <c r="AHT14" s="144"/>
      <c r="AHU14" s="144"/>
      <c r="AHV14" s="144"/>
      <c r="AHW14" s="144"/>
      <c r="AHX14" s="144"/>
      <c r="AHY14" s="144"/>
      <c r="AHZ14" s="144"/>
      <c r="AIA14" s="144"/>
      <c r="AIB14" s="144"/>
      <c r="AIC14" s="144"/>
      <c r="AID14" s="144"/>
      <c r="AIE14" s="144"/>
      <c r="AIF14" s="144"/>
      <c r="AIG14" s="144"/>
      <c r="AIH14" s="144"/>
      <c r="AII14" s="144"/>
      <c r="AIJ14" s="144"/>
      <c r="AIK14" s="144"/>
      <c r="AIL14" s="144"/>
      <c r="AIM14" s="144"/>
      <c r="AIN14" s="144"/>
      <c r="AIO14" s="144"/>
      <c r="AIP14" s="144"/>
      <c r="AIQ14" s="144"/>
      <c r="AIR14" s="144"/>
      <c r="AIS14" s="144"/>
      <c r="AIT14" s="144"/>
      <c r="AIU14" s="144"/>
      <c r="AIV14" s="144"/>
      <c r="AIW14" s="144"/>
      <c r="AIX14" s="144"/>
      <c r="AIY14" s="144"/>
      <c r="AIZ14" s="144"/>
      <c r="AJA14" s="144"/>
      <c r="AJB14" s="144"/>
      <c r="AJC14" s="144"/>
      <c r="AJD14" s="144"/>
      <c r="AJE14" s="144"/>
      <c r="AJF14" s="144"/>
      <c r="AJG14" s="144"/>
      <c r="AJH14" s="144"/>
      <c r="AJI14" s="144"/>
      <c r="AJJ14" s="144"/>
      <c r="AJK14" s="144"/>
      <c r="AJL14" s="144"/>
      <c r="AJM14" s="144"/>
      <c r="AJN14" s="144"/>
      <c r="AJO14" s="144"/>
      <c r="AJP14" s="144"/>
      <c r="AJQ14" s="144"/>
      <c r="AJR14" s="144"/>
      <c r="AJS14" s="144"/>
      <c r="AJT14" s="144"/>
      <c r="AJU14" s="144"/>
      <c r="AJV14" s="144"/>
      <c r="AJW14" s="144"/>
      <c r="AJX14" s="144"/>
      <c r="AJY14" s="144"/>
      <c r="AJZ14" s="144"/>
      <c r="AKA14" s="144"/>
      <c r="AKB14" s="144"/>
      <c r="AKC14" s="144"/>
      <c r="AKD14" s="144"/>
      <c r="AKE14" s="144"/>
      <c r="AKF14" s="144"/>
      <c r="AKG14" s="144"/>
      <c r="AKH14" s="144"/>
      <c r="AKI14" s="144"/>
      <c r="AKJ14" s="144"/>
      <c r="AKK14" s="144"/>
      <c r="AKL14" s="144"/>
      <c r="AKM14" s="144"/>
      <c r="AKN14" s="144"/>
      <c r="AKO14" s="144"/>
      <c r="AKP14" s="144"/>
      <c r="AKQ14" s="144"/>
      <c r="AKR14" s="144"/>
      <c r="AKS14" s="144"/>
      <c r="AKT14" s="144"/>
      <c r="AKU14" s="144"/>
      <c r="AKV14" s="144"/>
      <c r="AKW14" s="144"/>
      <c r="AKX14" s="144"/>
      <c r="AKY14" s="144"/>
      <c r="AKZ14" s="144"/>
      <c r="ALA14" s="144"/>
      <c r="ALB14" s="144"/>
      <c r="ALC14" s="144"/>
      <c r="ALD14" s="144"/>
      <c r="ALE14" s="144"/>
      <c r="ALF14" s="144"/>
      <c r="ALG14" s="144"/>
      <c r="ALH14" s="144"/>
      <c r="ALI14" s="144"/>
      <c r="ALJ14" s="144"/>
      <c r="ALK14" s="144"/>
      <c r="ALL14" s="144"/>
      <c r="ALM14" s="144"/>
      <c r="ALN14" s="144"/>
      <c r="ALO14" s="144"/>
      <c r="ALP14" s="144"/>
      <c r="ALQ14" s="144"/>
      <c r="ALR14" s="144"/>
      <c r="ALS14" s="144"/>
      <c r="ALT14" s="144"/>
      <c r="ALU14" s="144"/>
      <c r="ALV14" s="144"/>
      <c r="ALW14" s="144"/>
      <c r="ALX14" s="144"/>
      <c r="ALY14" s="144"/>
      <c r="ALZ14" s="144"/>
      <c r="AMA14" s="144"/>
      <c r="AMB14" s="144"/>
      <c r="AMC14" s="144"/>
      <c r="AMD14" s="144"/>
      <c r="AME14" s="144"/>
      <c r="AMF14" s="144"/>
      <c r="AMG14" s="144"/>
      <c r="AMH14" s="144"/>
      <c r="AMI14" s="144"/>
      <c r="AMJ14" s="144"/>
    </row>
    <row r="15" customFormat="false" ht="7.5" hidden="false" customHeight="true" outlineLevel="0" collapsed="false"/>
    <row r="16" customFormat="false" ht="15" hidden="false" customHeight="false" outlineLevel="0" collapsed="false">
      <c r="B16" s="145" t="s">
        <v>103</v>
      </c>
      <c r="C16" s="146" t="s">
        <v>104</v>
      </c>
      <c r="D16" s="146"/>
      <c r="E16" s="146"/>
      <c r="F16" s="146"/>
      <c r="G16" s="146"/>
    </row>
    <row r="18" customFormat="false" ht="15" hidden="false" customHeight="false" outlineLevel="0" collapsed="false">
      <c r="C18" s="147" t="s">
        <v>105</v>
      </c>
      <c r="D18" s="147" t="s">
        <v>106</v>
      </c>
    </row>
    <row r="19" customFormat="false" ht="15" hidden="false" customHeight="false" outlineLevel="0" collapsed="false">
      <c r="D19" s="108" t="s">
        <v>107</v>
      </c>
    </row>
    <row r="20" customFormat="false" ht="15" hidden="false" customHeight="false" outlineLevel="0" collapsed="false">
      <c r="D20" s="108" t="s">
        <v>108</v>
      </c>
    </row>
    <row r="21" customFormat="false" ht="15" hidden="false" customHeight="false" outlineLevel="0" collapsed="false">
      <c r="C21" s="147"/>
      <c r="D21" s="108" t="s">
        <v>109</v>
      </c>
    </row>
    <row r="22" customFormat="false" ht="15" hidden="false" customHeight="false" outlineLevel="0" collapsed="false">
      <c r="D22" s="108" t="s">
        <v>110</v>
      </c>
    </row>
    <row r="23" customFormat="false" ht="15" hidden="false" customHeight="false" outlineLevel="0" collapsed="false">
      <c r="D23" s="108" t="s">
        <v>111</v>
      </c>
    </row>
    <row r="24" customFormat="false" ht="15" hidden="false" customHeight="false" outlineLevel="0" collapsed="false">
      <c r="D24" s="108" t="s">
        <v>112</v>
      </c>
    </row>
    <row r="25" customFormat="false" ht="15" hidden="false" customHeight="false" outlineLevel="0" collapsed="false">
      <c r="D25" s="108" t="s">
        <v>113</v>
      </c>
    </row>
    <row r="26" customFormat="false" ht="15" hidden="false" customHeight="false" outlineLevel="0" collapsed="false">
      <c r="D26" s="108" t="s">
        <v>114</v>
      </c>
    </row>
    <row r="27" customFormat="false" ht="15" hidden="false" customHeight="false" outlineLevel="0" collapsed="false">
      <c r="D27" s="108" t="s">
        <v>115</v>
      </c>
    </row>
    <row r="28" customFormat="false" ht="15" hidden="false" customHeight="false" outlineLevel="0" collapsed="false">
      <c r="D28" s="108" t="s">
        <v>116</v>
      </c>
    </row>
    <row r="29" customFormat="false" ht="15" hidden="false" customHeight="false" outlineLevel="0" collapsed="false">
      <c r="D29" s="108" t="s">
        <v>117</v>
      </c>
    </row>
    <row r="30" customFormat="false" ht="15" hidden="false" customHeight="false" outlineLevel="0" collapsed="false">
      <c r="D30" s="108" t="s">
        <v>118</v>
      </c>
    </row>
    <row r="31" customFormat="false" ht="15" hidden="false" customHeight="false" outlineLevel="0" collapsed="false">
      <c r="D31" s="108" t="s">
        <v>119</v>
      </c>
    </row>
    <row r="32" customFormat="false" ht="15" hidden="false" customHeight="false" outlineLevel="0" collapsed="false">
      <c r="D32" s="108" t="s">
        <v>120</v>
      </c>
    </row>
    <row r="33" customFormat="false" ht="15" hidden="false" customHeight="false" outlineLevel="0" collapsed="false">
      <c r="D33" s="108" t="s">
        <v>121</v>
      </c>
    </row>
    <row r="34" customFormat="false" ht="15" hidden="false" customHeight="false" outlineLevel="0" collapsed="false">
      <c r="D34" s="108" t="s">
        <v>122</v>
      </c>
    </row>
    <row r="35" customFormat="false" ht="15" hidden="false" customHeight="false" outlineLevel="0" collapsed="false">
      <c r="D35" s="108" t="s">
        <v>123</v>
      </c>
    </row>
    <row r="36" customFormat="false" ht="15" hidden="false" customHeight="false" outlineLevel="0" collapsed="false">
      <c r="D36" s="108" t="s">
        <v>124</v>
      </c>
    </row>
    <row r="37" customFormat="false" ht="15" hidden="false" customHeight="false" outlineLevel="0" collapsed="false">
      <c r="D37" s="108" t="s">
        <v>125</v>
      </c>
    </row>
    <row r="38" customFormat="false" ht="15" hidden="false" customHeight="false" outlineLevel="0" collapsed="false">
      <c r="D38" s="108" t="s">
        <v>126</v>
      </c>
    </row>
    <row r="39" customFormat="false" ht="15" hidden="false" customHeight="false" outlineLevel="0" collapsed="false">
      <c r="D39" s="108" t="s">
        <v>127</v>
      </c>
    </row>
    <row r="40" customFormat="false" ht="15" hidden="false" customHeight="false" outlineLevel="0" collapsed="false">
      <c r="D40" s="108" t="s">
        <v>128</v>
      </c>
    </row>
    <row r="41" customFormat="false" ht="15" hidden="false" customHeight="false" outlineLevel="0" collapsed="false">
      <c r="D41" s="108" t="s">
        <v>129</v>
      </c>
    </row>
    <row r="42" customFormat="false" ht="15" hidden="false" customHeight="false" outlineLevel="0" collapsed="false">
      <c r="D42" s="108" t="s">
        <v>130</v>
      </c>
    </row>
    <row r="43" customFormat="false" ht="15" hidden="false" customHeight="false" outlineLevel="0" collapsed="false">
      <c r="D43" s="146" t="s">
        <v>131</v>
      </c>
      <c r="E43" s="146"/>
      <c r="F43" s="146"/>
      <c r="G43" s="146"/>
      <c r="H43" s="146"/>
    </row>
    <row r="45" customFormat="false" ht="15" hidden="false" customHeight="false" outlineLevel="0" collapsed="false">
      <c r="C45" s="147" t="s">
        <v>132</v>
      </c>
      <c r="D45" s="147" t="s">
        <v>133</v>
      </c>
    </row>
    <row r="46" customFormat="false" ht="15" hidden="false" customHeight="false" outlineLevel="0" collapsed="false">
      <c r="D46" s="108" t="s">
        <v>134</v>
      </c>
    </row>
    <row r="47" customFormat="false" ht="15" hidden="false" customHeight="false" outlineLevel="0" collapsed="false">
      <c r="D47" s="108" t="s">
        <v>135</v>
      </c>
    </row>
    <row r="48" customFormat="false" ht="15" hidden="false" customHeight="false" outlineLevel="0" collapsed="false">
      <c r="D48" s="146" t="s">
        <v>131</v>
      </c>
      <c r="E48" s="146"/>
      <c r="F48" s="146"/>
      <c r="G48" s="146"/>
      <c r="H48" s="146"/>
    </row>
    <row r="50" customFormat="false" ht="15" hidden="false" customHeight="false" outlineLevel="0" collapsed="false">
      <c r="C50" s="147" t="s">
        <v>136</v>
      </c>
      <c r="D50" s="147" t="s">
        <v>137</v>
      </c>
    </row>
    <row r="51" customFormat="false" ht="15" hidden="false" customHeight="false" outlineLevel="0" collapsed="false">
      <c r="D51" s="108" t="s">
        <v>138</v>
      </c>
    </row>
    <row r="52" customFormat="false" ht="15" hidden="false" customHeight="false" outlineLevel="0" collapsed="false">
      <c r="D52" s="108" t="s">
        <v>139</v>
      </c>
    </row>
    <row r="53" customFormat="false" ht="15" hidden="false" customHeight="false" outlineLevel="0" collapsed="false">
      <c r="E53" s="108" t="s">
        <v>140</v>
      </c>
    </row>
    <row r="54" customFormat="false" ht="15" hidden="false" customHeight="false" outlineLevel="0" collapsed="false">
      <c r="E54" s="148" t="s">
        <v>141</v>
      </c>
    </row>
    <row r="55" customFormat="false" ht="15" hidden="false" customHeight="false" outlineLevel="0" collapsed="false">
      <c r="E55" s="148" t="s">
        <v>142</v>
      </c>
    </row>
    <row r="56" customFormat="false" ht="15" hidden="false" customHeight="false" outlineLevel="0" collapsed="false">
      <c r="E56" s="148" t="s">
        <v>143</v>
      </c>
    </row>
    <row r="57" customFormat="false" ht="15" hidden="false" customHeight="false" outlineLevel="0" collapsed="false">
      <c r="D57" s="108" t="s">
        <v>144</v>
      </c>
    </row>
    <row r="58" customFormat="false" ht="15" hidden="false" customHeight="false" outlineLevel="0" collapsed="false">
      <c r="D58" s="146" t="s">
        <v>131</v>
      </c>
      <c r="E58" s="146"/>
      <c r="F58" s="146"/>
      <c r="G58" s="146"/>
      <c r="H58" s="146"/>
    </row>
    <row r="60" customFormat="false" ht="15" hidden="false" customHeight="false" outlineLevel="0" collapsed="false">
      <c r="C60" s="147" t="s">
        <v>145</v>
      </c>
      <c r="D60" s="147" t="s">
        <v>146</v>
      </c>
    </row>
    <row r="61" customFormat="false" ht="15" hidden="false" customHeight="false" outlineLevel="0" collapsed="false">
      <c r="D61" s="108" t="s">
        <v>147</v>
      </c>
    </row>
    <row r="62" customFormat="false" ht="15" hidden="false" customHeight="false" outlineLevel="0" collapsed="false">
      <c r="D62" s="146" t="s">
        <v>131</v>
      </c>
      <c r="E62" s="146"/>
      <c r="F62" s="146"/>
      <c r="G62" s="146"/>
      <c r="H62" s="146"/>
    </row>
    <row r="64" customFormat="false" ht="15" hidden="false" customHeight="false" outlineLevel="0" collapsed="false">
      <c r="C64" s="147" t="s">
        <v>148</v>
      </c>
      <c r="D64" s="147" t="s">
        <v>149</v>
      </c>
    </row>
    <row r="65" customFormat="false" ht="15" hidden="false" customHeight="false" outlineLevel="0" collapsed="false">
      <c r="D65" s="108" t="s">
        <v>150</v>
      </c>
    </row>
    <row r="66" s="144" customFormat="true" ht="15" hidden="false" customHeight="false" outlineLevel="0" collapsed="false">
      <c r="A66" s="131"/>
      <c r="B66" s="132"/>
      <c r="C66" s="108"/>
      <c r="D66" s="108" t="s">
        <v>151</v>
      </c>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F66" s="108"/>
      <c r="EG66" s="108"/>
      <c r="EH66" s="108"/>
      <c r="EI66" s="108"/>
      <c r="EJ66" s="108"/>
      <c r="EK66" s="108"/>
      <c r="EL66" s="10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IW66" s="108"/>
      <c r="IX66" s="108"/>
      <c r="IY66" s="108"/>
      <c r="IZ66" s="108"/>
      <c r="JA66" s="108"/>
      <c r="JB66" s="108"/>
      <c r="JC66" s="108"/>
      <c r="JD66" s="108"/>
      <c r="JE66" s="108"/>
      <c r="JF66" s="108"/>
      <c r="JG66" s="108"/>
      <c r="JH66" s="108"/>
      <c r="JI66" s="108"/>
      <c r="JJ66" s="108"/>
      <c r="JK66" s="108"/>
      <c r="JL66" s="108"/>
      <c r="JM66" s="108"/>
      <c r="JN66" s="108"/>
      <c r="JO66" s="108"/>
      <c r="JP66" s="108"/>
      <c r="JQ66" s="108"/>
      <c r="JR66" s="108"/>
      <c r="JS66" s="108"/>
      <c r="JT66" s="108"/>
      <c r="JU66" s="108"/>
      <c r="JV66" s="108"/>
      <c r="JW66" s="108"/>
      <c r="JX66" s="108"/>
      <c r="JY66" s="108"/>
      <c r="JZ66" s="108"/>
      <c r="KA66" s="108"/>
      <c r="KB66" s="108"/>
      <c r="KC66" s="108"/>
      <c r="KD66" s="108"/>
      <c r="KE66" s="108"/>
      <c r="KF66" s="108"/>
      <c r="KG66" s="108"/>
      <c r="KH66" s="108"/>
      <c r="KI66" s="108"/>
      <c r="KJ66" s="108"/>
      <c r="KK66" s="108"/>
      <c r="KL66" s="108"/>
      <c r="KM66" s="108"/>
      <c r="KN66" s="108"/>
      <c r="KO66" s="108"/>
      <c r="KP66" s="108"/>
      <c r="KQ66" s="108"/>
      <c r="KR66" s="108"/>
      <c r="KS66" s="108"/>
      <c r="KT66" s="108"/>
      <c r="KU66" s="108"/>
      <c r="KV66" s="108"/>
      <c r="KW66" s="108"/>
      <c r="KX66" s="108"/>
      <c r="KY66" s="108"/>
      <c r="KZ66" s="108"/>
      <c r="LA66" s="108"/>
      <c r="LB66" s="108"/>
      <c r="LC66" s="108"/>
      <c r="LD66" s="108"/>
      <c r="LE66" s="108"/>
      <c r="LF66" s="108"/>
      <c r="LG66" s="108"/>
      <c r="LH66" s="108"/>
      <c r="LI66" s="108"/>
      <c r="LJ66" s="108"/>
      <c r="LK66" s="108"/>
      <c r="LL66" s="108"/>
      <c r="LM66" s="108"/>
      <c r="LN66" s="108"/>
      <c r="LO66" s="108"/>
      <c r="LP66" s="108"/>
      <c r="LQ66" s="108"/>
      <c r="LR66" s="108"/>
      <c r="LS66" s="108"/>
      <c r="LT66" s="108"/>
      <c r="LU66" s="108"/>
      <c r="LV66" s="108"/>
      <c r="LW66" s="108"/>
      <c r="LX66" s="108"/>
      <c r="LY66" s="108"/>
      <c r="LZ66" s="108"/>
      <c r="MA66" s="108"/>
      <c r="MB66" s="108"/>
      <c r="MC66" s="108"/>
      <c r="MD66" s="108"/>
      <c r="ME66" s="108"/>
      <c r="MF66" s="108"/>
      <c r="MG66" s="108"/>
      <c r="MH66" s="108"/>
      <c r="MI66" s="108"/>
      <c r="MJ66" s="108"/>
      <c r="MK66" s="108"/>
      <c r="ML66" s="108"/>
      <c r="MM66" s="108"/>
      <c r="MN66" s="108"/>
      <c r="MO66" s="108"/>
      <c r="MP66" s="108"/>
      <c r="MQ66" s="108"/>
      <c r="MR66" s="108"/>
      <c r="MS66" s="108"/>
      <c r="MT66" s="108"/>
      <c r="MU66" s="108"/>
      <c r="MV66" s="108"/>
      <c r="MW66" s="108"/>
      <c r="MX66" s="108"/>
      <c r="MY66" s="108"/>
      <c r="MZ66" s="108"/>
      <c r="NA66" s="108"/>
      <c r="NB66" s="108"/>
      <c r="NC66" s="108"/>
      <c r="ND66" s="108"/>
      <c r="NE66" s="108"/>
      <c r="NF66" s="108"/>
      <c r="NG66" s="108"/>
      <c r="NH66" s="108"/>
      <c r="NI66" s="108"/>
      <c r="NJ66" s="108"/>
      <c r="NK66" s="108"/>
      <c r="NL66" s="108"/>
      <c r="NM66" s="108"/>
      <c r="NN66" s="108"/>
      <c r="NO66" s="108"/>
      <c r="NP66" s="108"/>
      <c r="NQ66" s="108"/>
      <c r="NR66" s="108"/>
      <c r="NS66" s="108"/>
      <c r="NT66" s="108"/>
      <c r="NU66" s="108"/>
      <c r="NV66" s="108"/>
      <c r="NW66" s="108"/>
      <c r="NX66" s="108"/>
      <c r="NY66" s="108"/>
      <c r="NZ66" s="108"/>
      <c r="OA66" s="108"/>
      <c r="OB66" s="108"/>
      <c r="OC66" s="108"/>
      <c r="OD66" s="108"/>
      <c r="OE66" s="108"/>
      <c r="OF66" s="108"/>
      <c r="OG66" s="108"/>
      <c r="OH66" s="108"/>
      <c r="OI66" s="108"/>
      <c r="OJ66" s="108"/>
      <c r="OK66" s="108"/>
      <c r="OL66" s="108"/>
      <c r="OM66" s="108"/>
      <c r="ON66" s="108"/>
      <c r="OO66" s="108"/>
      <c r="OP66" s="108"/>
      <c r="OQ66" s="108"/>
      <c r="OR66" s="108"/>
      <c r="OS66" s="108"/>
      <c r="OT66" s="108"/>
      <c r="OU66" s="108"/>
      <c r="OV66" s="108"/>
      <c r="OW66" s="108"/>
      <c r="OX66" s="108"/>
      <c r="OY66" s="108"/>
      <c r="OZ66" s="108"/>
      <c r="PA66" s="108"/>
      <c r="PB66" s="108"/>
      <c r="PC66" s="108"/>
      <c r="PD66" s="108"/>
      <c r="PE66" s="108"/>
      <c r="PF66" s="108"/>
      <c r="PG66" s="108"/>
      <c r="PH66" s="108"/>
      <c r="PI66" s="108"/>
      <c r="PJ66" s="108"/>
      <c r="PK66" s="108"/>
      <c r="PL66" s="108"/>
      <c r="PM66" s="108"/>
      <c r="PN66" s="108"/>
      <c r="PO66" s="108"/>
      <c r="PP66" s="108"/>
      <c r="PQ66" s="108"/>
      <c r="PR66" s="108"/>
      <c r="PS66" s="108"/>
      <c r="PT66" s="108"/>
      <c r="PU66" s="108"/>
      <c r="PV66" s="108"/>
      <c r="PW66" s="108"/>
      <c r="PX66" s="108"/>
      <c r="PY66" s="108"/>
      <c r="PZ66" s="108"/>
      <c r="QA66" s="108"/>
      <c r="QB66" s="108"/>
      <c r="QC66" s="108"/>
      <c r="QD66" s="108"/>
      <c r="QE66" s="108"/>
      <c r="QF66" s="108"/>
      <c r="QG66" s="108"/>
      <c r="QH66" s="108"/>
      <c r="QI66" s="108"/>
      <c r="QJ66" s="108"/>
      <c r="QK66" s="108"/>
      <c r="QL66" s="108"/>
      <c r="QM66" s="108"/>
      <c r="QN66" s="108"/>
      <c r="QO66" s="108"/>
      <c r="QP66" s="108"/>
      <c r="QQ66" s="108"/>
      <c r="QR66" s="108"/>
      <c r="QS66" s="108"/>
      <c r="QT66" s="108"/>
      <c r="QU66" s="108"/>
      <c r="QV66" s="108"/>
      <c r="QW66" s="108"/>
      <c r="QX66" s="108"/>
      <c r="QY66" s="108"/>
      <c r="QZ66" s="108"/>
      <c r="RA66" s="108"/>
      <c r="RB66" s="108"/>
      <c r="RC66" s="108"/>
      <c r="RD66" s="108"/>
      <c r="RE66" s="108"/>
      <c r="RF66" s="108"/>
      <c r="RG66" s="108"/>
      <c r="RH66" s="108"/>
      <c r="RI66" s="108"/>
      <c r="RJ66" s="108"/>
      <c r="RK66" s="108"/>
      <c r="RL66" s="108"/>
      <c r="RM66" s="108"/>
      <c r="RN66" s="108"/>
      <c r="RO66" s="108"/>
      <c r="RP66" s="108"/>
      <c r="RQ66" s="108"/>
      <c r="RR66" s="108"/>
      <c r="RS66" s="108"/>
      <c r="RT66" s="108"/>
      <c r="RU66" s="108"/>
      <c r="RV66" s="108"/>
      <c r="RW66" s="108"/>
      <c r="RX66" s="108"/>
      <c r="RY66" s="108"/>
      <c r="RZ66" s="108"/>
      <c r="SA66" s="108"/>
      <c r="SB66" s="108"/>
      <c r="SC66" s="108"/>
      <c r="SD66" s="108"/>
      <c r="SE66" s="108"/>
      <c r="SF66" s="108"/>
      <c r="SG66" s="108"/>
      <c r="SH66" s="108"/>
      <c r="SI66" s="108"/>
      <c r="SJ66" s="108"/>
      <c r="SK66" s="108"/>
      <c r="SL66" s="108"/>
      <c r="SM66" s="108"/>
      <c r="SN66" s="108"/>
      <c r="SO66" s="108"/>
      <c r="SP66" s="108"/>
      <c r="SQ66" s="108"/>
      <c r="SR66" s="108"/>
      <c r="SS66" s="108"/>
      <c r="ST66" s="108"/>
      <c r="SU66" s="108"/>
      <c r="SV66" s="108"/>
      <c r="SW66" s="108"/>
      <c r="SX66" s="108"/>
      <c r="SY66" s="108"/>
      <c r="SZ66" s="108"/>
      <c r="TA66" s="108"/>
      <c r="TB66" s="108"/>
      <c r="TC66" s="108"/>
      <c r="TD66" s="108"/>
      <c r="TE66" s="108"/>
      <c r="TF66" s="108"/>
      <c r="TG66" s="108"/>
      <c r="TH66" s="108"/>
      <c r="TI66" s="108"/>
      <c r="TJ66" s="108"/>
      <c r="TK66" s="108"/>
      <c r="TL66" s="108"/>
      <c r="TM66" s="108"/>
      <c r="TN66" s="108"/>
      <c r="TO66" s="108"/>
      <c r="TP66" s="108"/>
      <c r="TQ66" s="108"/>
      <c r="TR66" s="108"/>
      <c r="TS66" s="108"/>
      <c r="TT66" s="108"/>
      <c r="TU66" s="108"/>
      <c r="TV66" s="108"/>
      <c r="TW66" s="108"/>
      <c r="TX66" s="108"/>
      <c r="TY66" s="108"/>
      <c r="TZ66" s="108"/>
      <c r="UA66" s="108"/>
      <c r="UB66" s="108"/>
      <c r="UC66" s="108"/>
      <c r="UD66" s="108"/>
      <c r="UE66" s="108"/>
      <c r="UF66" s="108"/>
      <c r="UG66" s="108"/>
      <c r="UH66" s="108"/>
      <c r="UI66" s="108"/>
      <c r="UJ66" s="108"/>
      <c r="UK66" s="108"/>
      <c r="UL66" s="108"/>
      <c r="UM66" s="108"/>
      <c r="UN66" s="108"/>
      <c r="UO66" s="108"/>
      <c r="UP66" s="108"/>
      <c r="UQ66" s="108"/>
      <c r="UR66" s="108"/>
      <c r="US66" s="108"/>
      <c r="UT66" s="108"/>
      <c r="UU66" s="108"/>
      <c r="UV66" s="108"/>
      <c r="UW66" s="108"/>
      <c r="UX66" s="108"/>
      <c r="UY66" s="108"/>
      <c r="UZ66" s="108"/>
      <c r="VA66" s="108"/>
      <c r="VB66" s="108"/>
      <c r="VC66" s="108"/>
      <c r="VD66" s="108"/>
      <c r="VE66" s="108"/>
      <c r="VF66" s="108"/>
      <c r="VG66" s="108"/>
      <c r="VH66" s="108"/>
      <c r="VI66" s="108"/>
      <c r="VJ66" s="108"/>
      <c r="VK66" s="108"/>
      <c r="VL66" s="108"/>
      <c r="VM66" s="108"/>
      <c r="VN66" s="108"/>
      <c r="VO66" s="108"/>
      <c r="VP66" s="108"/>
      <c r="VQ66" s="108"/>
      <c r="VR66" s="108"/>
      <c r="VS66" s="108"/>
      <c r="VT66" s="108"/>
      <c r="VU66" s="108"/>
      <c r="VV66" s="108"/>
      <c r="VW66" s="108"/>
      <c r="VX66" s="108"/>
      <c r="VY66" s="108"/>
      <c r="VZ66" s="108"/>
      <c r="WA66" s="108"/>
      <c r="WB66" s="108"/>
      <c r="WC66" s="108"/>
      <c r="WD66" s="108"/>
      <c r="WE66" s="108"/>
      <c r="WF66" s="108"/>
      <c r="WG66" s="108"/>
      <c r="WH66" s="108"/>
      <c r="WI66" s="108"/>
      <c r="WJ66" s="108"/>
      <c r="WK66" s="108"/>
      <c r="WL66" s="108"/>
      <c r="WM66" s="108"/>
      <c r="WN66" s="108"/>
      <c r="WO66" s="108"/>
      <c r="WP66" s="108"/>
      <c r="WQ66" s="108"/>
      <c r="WR66" s="108"/>
      <c r="WS66" s="108"/>
      <c r="WT66" s="108"/>
      <c r="WU66" s="108"/>
      <c r="WV66" s="108"/>
      <c r="WW66" s="108"/>
      <c r="WX66" s="108"/>
      <c r="WY66" s="108"/>
      <c r="WZ66" s="108"/>
      <c r="XA66" s="108"/>
      <c r="XB66" s="108"/>
      <c r="XC66" s="108"/>
      <c r="XD66" s="108"/>
      <c r="XE66" s="108"/>
      <c r="XF66" s="108"/>
      <c r="XG66" s="108"/>
      <c r="XH66" s="108"/>
      <c r="XI66" s="108"/>
      <c r="XJ66" s="108"/>
      <c r="XK66" s="108"/>
      <c r="XL66" s="108"/>
      <c r="XM66" s="108"/>
      <c r="XN66" s="108"/>
      <c r="XO66" s="108"/>
      <c r="XP66" s="108"/>
      <c r="XQ66" s="108"/>
      <c r="XR66" s="108"/>
      <c r="XS66" s="108"/>
      <c r="XT66" s="108"/>
      <c r="XU66" s="108"/>
      <c r="XV66" s="108"/>
      <c r="XW66" s="108"/>
      <c r="XX66" s="108"/>
      <c r="XY66" s="108"/>
      <c r="XZ66" s="108"/>
      <c r="YA66" s="108"/>
      <c r="YB66" s="108"/>
      <c r="YC66" s="108"/>
      <c r="YD66" s="108"/>
      <c r="YE66" s="108"/>
      <c r="YF66" s="108"/>
      <c r="YG66" s="108"/>
      <c r="YH66" s="108"/>
      <c r="YI66" s="108"/>
      <c r="YJ66" s="108"/>
      <c r="YK66" s="108"/>
      <c r="YL66" s="108"/>
      <c r="YM66" s="108"/>
      <c r="YN66" s="108"/>
      <c r="YO66" s="108"/>
      <c r="YP66" s="108"/>
      <c r="YQ66" s="108"/>
      <c r="YR66" s="108"/>
      <c r="YS66" s="108"/>
      <c r="YT66" s="108"/>
      <c r="YU66" s="108"/>
      <c r="YV66" s="108"/>
      <c r="YW66" s="108"/>
      <c r="YX66" s="108"/>
      <c r="YY66" s="108"/>
      <c r="YZ66" s="108"/>
      <c r="ZA66" s="108"/>
      <c r="ZB66" s="108"/>
      <c r="ZC66" s="108"/>
      <c r="ZD66" s="108"/>
      <c r="ZE66" s="108"/>
      <c r="ZF66" s="108"/>
      <c r="ZG66" s="108"/>
      <c r="ZH66" s="108"/>
      <c r="ZI66" s="108"/>
      <c r="ZJ66" s="108"/>
      <c r="ZK66" s="108"/>
      <c r="ZL66" s="108"/>
      <c r="ZM66" s="108"/>
      <c r="ZN66" s="108"/>
      <c r="ZO66" s="108"/>
      <c r="ZP66" s="108"/>
      <c r="ZQ66" s="108"/>
      <c r="ZR66" s="108"/>
      <c r="ZS66" s="108"/>
      <c r="ZT66" s="108"/>
      <c r="ZU66" s="108"/>
      <c r="ZV66" s="108"/>
      <c r="ZW66" s="108"/>
      <c r="ZX66" s="108"/>
      <c r="ZY66" s="108"/>
      <c r="ZZ66" s="108"/>
      <c r="AAA66" s="108"/>
      <c r="AAB66" s="108"/>
      <c r="AAC66" s="108"/>
      <c r="AAD66" s="108"/>
      <c r="AAE66" s="108"/>
      <c r="AAF66" s="108"/>
      <c r="AAG66" s="108"/>
      <c r="AAH66" s="108"/>
      <c r="AAI66" s="108"/>
      <c r="AAJ66" s="108"/>
      <c r="AAK66" s="108"/>
      <c r="AAL66" s="108"/>
      <c r="AAM66" s="108"/>
      <c r="AAN66" s="108"/>
      <c r="AAO66" s="108"/>
      <c r="AAP66" s="108"/>
      <c r="AAQ66" s="108"/>
      <c r="AAR66" s="108"/>
      <c r="AAS66" s="108"/>
      <c r="AAT66" s="108"/>
      <c r="AAU66" s="108"/>
      <c r="AAV66" s="108"/>
      <c r="AAW66" s="108"/>
      <c r="AAX66" s="108"/>
      <c r="AAY66" s="108"/>
      <c r="AAZ66" s="108"/>
      <c r="ABA66" s="108"/>
      <c r="ABB66" s="108"/>
      <c r="ABC66" s="108"/>
      <c r="ABD66" s="108"/>
      <c r="ABE66" s="108"/>
      <c r="ABF66" s="108"/>
      <c r="ABG66" s="108"/>
      <c r="ABH66" s="108"/>
      <c r="ABI66" s="108"/>
      <c r="ABJ66" s="108"/>
      <c r="ABK66" s="108"/>
      <c r="ABL66" s="108"/>
      <c r="ABM66" s="108"/>
      <c r="ABN66" s="108"/>
      <c r="ABO66" s="108"/>
      <c r="ABP66" s="108"/>
      <c r="ABQ66" s="108"/>
      <c r="ABR66" s="108"/>
      <c r="ABS66" s="108"/>
      <c r="ABT66" s="108"/>
      <c r="ABU66" s="108"/>
      <c r="ABV66" s="108"/>
      <c r="ABW66" s="108"/>
      <c r="ABX66" s="108"/>
      <c r="ABY66" s="108"/>
      <c r="ABZ66" s="108"/>
      <c r="ACA66" s="108"/>
      <c r="ACB66" s="108"/>
      <c r="ACC66" s="108"/>
      <c r="ACD66" s="108"/>
      <c r="ACE66" s="108"/>
      <c r="ACF66" s="108"/>
      <c r="ACG66" s="108"/>
      <c r="ACH66" s="108"/>
      <c r="ACI66" s="108"/>
      <c r="ACJ66" s="108"/>
      <c r="ACK66" s="108"/>
      <c r="ACL66" s="108"/>
      <c r="ACM66" s="108"/>
      <c r="ACN66" s="108"/>
      <c r="ACO66" s="108"/>
      <c r="ACP66" s="108"/>
      <c r="ACQ66" s="108"/>
      <c r="ACR66" s="108"/>
      <c r="ACS66" s="108"/>
      <c r="ACT66" s="108"/>
      <c r="ACU66" s="108"/>
      <c r="ACV66" s="108"/>
      <c r="ACW66" s="108"/>
      <c r="ACX66" s="108"/>
      <c r="ACY66" s="108"/>
      <c r="ACZ66" s="108"/>
      <c r="ADA66" s="108"/>
      <c r="ADB66" s="108"/>
      <c r="ADC66" s="108"/>
      <c r="ADD66" s="108"/>
      <c r="ADE66" s="108"/>
      <c r="ADF66" s="108"/>
      <c r="ADG66" s="108"/>
      <c r="ADH66" s="108"/>
      <c r="ADI66" s="108"/>
      <c r="ADJ66" s="108"/>
      <c r="ADK66" s="108"/>
      <c r="ADL66" s="108"/>
      <c r="ADM66" s="108"/>
      <c r="ADN66" s="108"/>
      <c r="ADO66" s="108"/>
      <c r="ADP66" s="108"/>
      <c r="ADQ66" s="108"/>
      <c r="ADR66" s="108"/>
      <c r="ADS66" s="108"/>
      <c r="ADT66" s="108"/>
      <c r="ADU66" s="108"/>
      <c r="ADV66" s="108"/>
      <c r="ADW66" s="108"/>
      <c r="ADX66" s="108"/>
      <c r="ADY66" s="108"/>
      <c r="ADZ66" s="108"/>
      <c r="AEA66" s="108"/>
      <c r="AEB66" s="108"/>
      <c r="AEC66" s="108"/>
      <c r="AED66" s="108"/>
      <c r="AEE66" s="108"/>
      <c r="AEF66" s="108"/>
      <c r="AEG66" s="108"/>
      <c r="AEH66" s="108"/>
      <c r="AEI66" s="108"/>
      <c r="AEJ66" s="108"/>
      <c r="AEK66" s="108"/>
      <c r="AEL66" s="108"/>
      <c r="AEM66" s="108"/>
      <c r="AEN66" s="108"/>
      <c r="AEO66" s="108"/>
      <c r="AEP66" s="108"/>
      <c r="AEQ66" s="108"/>
      <c r="AER66" s="108"/>
      <c r="AES66" s="108"/>
      <c r="AET66" s="108"/>
      <c r="AEU66" s="108"/>
      <c r="AEV66" s="108"/>
      <c r="AEW66" s="108"/>
      <c r="AEX66" s="108"/>
      <c r="AEY66" s="108"/>
      <c r="AEZ66" s="108"/>
      <c r="AFA66" s="108"/>
      <c r="AFB66" s="108"/>
      <c r="AFC66" s="108"/>
      <c r="AFD66" s="108"/>
      <c r="AFE66" s="108"/>
      <c r="AFF66" s="108"/>
      <c r="AFG66" s="108"/>
      <c r="AFH66" s="108"/>
      <c r="AFI66" s="108"/>
      <c r="AFJ66" s="108"/>
      <c r="AFK66" s="108"/>
      <c r="AFL66" s="108"/>
      <c r="AFM66" s="108"/>
      <c r="AFN66" s="108"/>
      <c r="AFO66" s="108"/>
      <c r="AFP66" s="108"/>
      <c r="AFQ66" s="108"/>
      <c r="AFR66" s="108"/>
      <c r="AFS66" s="108"/>
      <c r="AFT66" s="108"/>
      <c r="AFU66" s="108"/>
      <c r="AFV66" s="108"/>
      <c r="AFW66" s="108"/>
      <c r="AFX66" s="108"/>
      <c r="AFY66" s="108"/>
      <c r="AFZ66" s="108"/>
      <c r="AGA66" s="108"/>
      <c r="AGB66" s="108"/>
      <c r="AGC66" s="108"/>
      <c r="AGD66" s="108"/>
      <c r="AGE66" s="108"/>
      <c r="AGF66" s="108"/>
      <c r="AGG66" s="108"/>
      <c r="AGH66" s="108"/>
      <c r="AGI66" s="108"/>
      <c r="AGJ66" s="108"/>
      <c r="AGK66" s="108"/>
      <c r="AGL66" s="108"/>
      <c r="AGM66" s="108"/>
      <c r="AGN66" s="108"/>
      <c r="AGO66" s="108"/>
      <c r="AGP66" s="108"/>
      <c r="AGQ66" s="108"/>
      <c r="AGR66" s="108"/>
      <c r="AGS66" s="108"/>
      <c r="AGT66" s="108"/>
      <c r="AGU66" s="108"/>
      <c r="AGV66" s="108"/>
      <c r="AGW66" s="108"/>
      <c r="AGX66" s="108"/>
      <c r="AGY66" s="108"/>
      <c r="AGZ66" s="108"/>
      <c r="AHA66" s="108"/>
      <c r="AHB66" s="108"/>
      <c r="AHC66" s="108"/>
      <c r="AHD66" s="108"/>
      <c r="AHE66" s="108"/>
      <c r="AHF66" s="108"/>
      <c r="AHG66" s="108"/>
      <c r="AHH66" s="108"/>
      <c r="AHI66" s="108"/>
      <c r="AHJ66" s="108"/>
      <c r="AHK66" s="108"/>
      <c r="AHL66" s="108"/>
      <c r="AHM66" s="108"/>
      <c r="AHN66" s="108"/>
      <c r="AHO66" s="108"/>
      <c r="AHP66" s="108"/>
      <c r="AHQ66" s="108"/>
      <c r="AHR66" s="108"/>
      <c r="AHS66" s="108"/>
      <c r="AHT66" s="108"/>
      <c r="AHU66" s="108"/>
      <c r="AHV66" s="108"/>
      <c r="AHW66" s="108"/>
      <c r="AHX66" s="108"/>
      <c r="AHY66" s="108"/>
      <c r="AHZ66" s="108"/>
      <c r="AIA66" s="108"/>
      <c r="AIB66" s="108"/>
      <c r="AIC66" s="108"/>
      <c r="AID66" s="108"/>
      <c r="AIE66" s="108"/>
      <c r="AIF66" s="108"/>
      <c r="AIG66" s="108"/>
      <c r="AIH66" s="108"/>
      <c r="AII66" s="108"/>
      <c r="AIJ66" s="108"/>
      <c r="AIK66" s="108"/>
      <c r="AIL66" s="108"/>
      <c r="AIM66" s="108"/>
      <c r="AIN66" s="108"/>
      <c r="AIO66" s="108"/>
      <c r="AIP66" s="108"/>
      <c r="AIQ66" s="108"/>
      <c r="AIR66" s="108"/>
      <c r="AIS66" s="108"/>
      <c r="AIT66" s="108"/>
      <c r="AIU66" s="108"/>
      <c r="AIV66" s="108"/>
      <c r="AIW66" s="108"/>
      <c r="AIX66" s="108"/>
      <c r="AIY66" s="108"/>
      <c r="AIZ66" s="108"/>
      <c r="AJA66" s="108"/>
      <c r="AJB66" s="108"/>
      <c r="AJC66" s="108"/>
      <c r="AJD66" s="108"/>
      <c r="AJE66" s="108"/>
      <c r="AJF66" s="108"/>
      <c r="AJG66" s="108"/>
      <c r="AJH66" s="108"/>
      <c r="AJI66" s="108"/>
      <c r="AJJ66" s="108"/>
      <c r="AJK66" s="108"/>
      <c r="AJL66" s="108"/>
      <c r="AJM66" s="108"/>
      <c r="AJN66" s="108"/>
      <c r="AJO66" s="108"/>
      <c r="AJP66" s="108"/>
      <c r="AJQ66" s="108"/>
      <c r="AJR66" s="108"/>
      <c r="AJS66" s="108"/>
      <c r="AJT66" s="108"/>
      <c r="AJU66" s="108"/>
      <c r="AJV66" s="108"/>
      <c r="AJW66" s="108"/>
      <c r="AJX66" s="108"/>
      <c r="AJY66" s="108"/>
      <c r="AJZ66" s="108"/>
      <c r="AKA66" s="108"/>
      <c r="AKB66" s="108"/>
      <c r="AKC66" s="108"/>
      <c r="AKD66" s="108"/>
      <c r="AKE66" s="108"/>
      <c r="AKF66" s="108"/>
      <c r="AKG66" s="108"/>
      <c r="AKH66" s="108"/>
      <c r="AKI66" s="108"/>
      <c r="AKJ66" s="108"/>
      <c r="AKK66" s="108"/>
      <c r="AKL66" s="108"/>
      <c r="AKM66" s="108"/>
      <c r="AKN66" s="108"/>
      <c r="AKO66" s="108"/>
      <c r="AKP66" s="108"/>
      <c r="AKQ66" s="108"/>
      <c r="AKR66" s="108"/>
      <c r="AKS66" s="108"/>
      <c r="AKT66" s="108"/>
      <c r="AKU66" s="108"/>
      <c r="AKV66" s="108"/>
      <c r="AKW66" s="108"/>
      <c r="AKX66" s="108"/>
      <c r="AKY66" s="108"/>
      <c r="AKZ66" s="108"/>
      <c r="ALA66" s="108"/>
      <c r="ALB66" s="108"/>
      <c r="ALC66" s="108"/>
      <c r="ALD66" s="108"/>
      <c r="ALE66" s="108"/>
      <c r="ALF66" s="108"/>
      <c r="ALG66" s="108"/>
      <c r="ALH66" s="108"/>
      <c r="ALI66" s="108"/>
      <c r="ALJ66" s="108"/>
      <c r="ALK66" s="108"/>
      <c r="ALL66" s="108"/>
      <c r="ALM66" s="108"/>
      <c r="ALN66" s="108"/>
      <c r="ALO66" s="108"/>
      <c r="ALP66" s="108"/>
      <c r="ALQ66" s="108"/>
      <c r="ALR66" s="108"/>
      <c r="ALS66" s="108"/>
      <c r="ALT66" s="108"/>
      <c r="ALU66" s="108"/>
      <c r="ALV66" s="108"/>
      <c r="ALW66" s="108"/>
      <c r="ALX66" s="108"/>
      <c r="ALY66" s="108"/>
      <c r="ALZ66" s="108"/>
      <c r="AMA66" s="108"/>
      <c r="AMB66" s="108"/>
      <c r="AMC66" s="108"/>
      <c r="AMD66" s="108"/>
      <c r="AME66" s="108"/>
      <c r="AMF66" s="108"/>
      <c r="AMG66" s="108"/>
      <c r="AMH66" s="108"/>
      <c r="AMI66" s="108"/>
      <c r="AMJ66" s="108"/>
    </row>
    <row r="67" customFormat="false" ht="15" hidden="false" customHeight="false" outlineLevel="0" collapsed="false">
      <c r="D67" s="108" t="s">
        <v>152</v>
      </c>
    </row>
    <row r="68" customFormat="false" ht="15" hidden="false" customHeight="false" outlineLevel="0" collapsed="false">
      <c r="D68" s="146" t="s">
        <v>131</v>
      </c>
      <c r="E68" s="146"/>
      <c r="F68" s="146"/>
      <c r="G68" s="146"/>
      <c r="H68" s="146"/>
    </row>
    <row r="69" s="144" customFormat="true" ht="19.5" hidden="false" customHeight="true" outlineLevel="0" collapsed="false">
      <c r="A69" s="131"/>
      <c r="B69" s="132"/>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c r="CG69" s="108"/>
      <c r="CH69" s="108"/>
      <c r="CI69" s="108"/>
      <c r="CJ69" s="108"/>
      <c r="CK69" s="108"/>
      <c r="CL69" s="108"/>
      <c r="CM69" s="108"/>
      <c r="CN69" s="108"/>
      <c r="CO69" s="108"/>
      <c r="CP69" s="108"/>
      <c r="CQ69" s="108"/>
      <c r="CR69" s="108"/>
      <c r="CS69" s="108"/>
      <c r="CT69" s="108"/>
      <c r="CU69" s="108"/>
      <c r="CV69" s="108"/>
      <c r="CW69" s="108"/>
      <c r="CX69" s="108"/>
      <c r="CY69" s="108"/>
      <c r="CZ69" s="108"/>
      <c r="DA69" s="108"/>
      <c r="DB69" s="108"/>
      <c r="DC69" s="108"/>
      <c r="DD69" s="108"/>
      <c r="DE69" s="108"/>
      <c r="DF69" s="108"/>
      <c r="DG69" s="108"/>
      <c r="DH69" s="108"/>
      <c r="DI69" s="108"/>
      <c r="DJ69" s="108"/>
      <c r="DK69" s="108"/>
      <c r="DL69" s="108"/>
      <c r="DM69" s="108"/>
      <c r="DN69" s="108"/>
      <c r="DO69" s="108"/>
      <c r="DP69" s="108"/>
      <c r="DQ69" s="108"/>
      <c r="DR69" s="108"/>
      <c r="DS69" s="108"/>
      <c r="DT69" s="108"/>
      <c r="DU69" s="108"/>
      <c r="DV69" s="108"/>
      <c r="DW69" s="108"/>
      <c r="DX69" s="108"/>
      <c r="DY69" s="108"/>
      <c r="DZ69" s="108"/>
      <c r="EA69" s="108"/>
      <c r="EB69" s="108"/>
      <c r="EC69" s="108"/>
      <c r="ED69" s="108"/>
      <c r="EE69" s="108"/>
      <c r="EF69" s="108"/>
      <c r="EG69" s="108"/>
      <c r="EH69" s="108"/>
      <c r="EI69" s="108"/>
      <c r="EJ69" s="108"/>
      <c r="EK69" s="108"/>
      <c r="EL69" s="108"/>
      <c r="EM69" s="108"/>
      <c r="EN69" s="108"/>
      <c r="EO69" s="108"/>
      <c r="EP69" s="108"/>
      <c r="EQ69" s="108"/>
      <c r="ER69" s="108"/>
      <c r="ES69" s="108"/>
      <c r="ET69" s="108"/>
      <c r="EU69" s="108"/>
      <c r="EV69" s="108"/>
      <c r="EW69" s="108"/>
      <c r="EX69" s="108"/>
      <c r="EY69" s="108"/>
      <c r="EZ69" s="108"/>
      <c r="FA69" s="108"/>
      <c r="FB69" s="108"/>
      <c r="FC69" s="108"/>
      <c r="FD69" s="108"/>
      <c r="FE69" s="108"/>
      <c r="FF69" s="108"/>
      <c r="FG69" s="108"/>
      <c r="FH69" s="108"/>
      <c r="FI69" s="108"/>
      <c r="FJ69" s="108"/>
      <c r="FK69" s="108"/>
      <c r="FL69" s="108"/>
      <c r="FM69" s="108"/>
      <c r="FN69" s="108"/>
      <c r="FO69" s="108"/>
      <c r="FP69" s="108"/>
      <c r="FQ69" s="108"/>
      <c r="FR69" s="108"/>
      <c r="FS69" s="108"/>
      <c r="FT69" s="108"/>
      <c r="FU69" s="108"/>
      <c r="FV69" s="108"/>
      <c r="FW69" s="108"/>
      <c r="FX69" s="108"/>
      <c r="FY69" s="108"/>
      <c r="FZ69" s="108"/>
      <c r="GA69" s="108"/>
      <c r="GB69" s="108"/>
      <c r="GC69" s="108"/>
      <c r="GD69" s="108"/>
      <c r="GE69" s="108"/>
      <c r="GF69" s="108"/>
      <c r="GG69" s="108"/>
      <c r="GH69" s="108"/>
      <c r="GI69" s="108"/>
      <c r="GJ69" s="108"/>
      <c r="GK69" s="108"/>
      <c r="GL69" s="108"/>
      <c r="GM69" s="108"/>
      <c r="GN69" s="108"/>
      <c r="GO69" s="108"/>
      <c r="GP69" s="108"/>
      <c r="GQ69" s="108"/>
      <c r="GR69" s="108"/>
      <c r="GS69" s="108"/>
      <c r="GT69" s="108"/>
      <c r="GU69" s="108"/>
      <c r="GV69" s="108"/>
      <c r="GW69" s="108"/>
      <c r="GX69" s="108"/>
      <c r="GY69" s="108"/>
      <c r="GZ69" s="108"/>
      <c r="HA69" s="108"/>
      <c r="HB69" s="108"/>
      <c r="HC69" s="108"/>
      <c r="HD69" s="108"/>
      <c r="HE69" s="108"/>
      <c r="HF69" s="108"/>
      <c r="HG69" s="108"/>
      <c r="HH69" s="108"/>
      <c r="HI69" s="108"/>
      <c r="HJ69" s="108"/>
      <c r="HK69" s="108"/>
      <c r="HL69" s="108"/>
      <c r="HM69" s="108"/>
      <c r="HN69" s="108"/>
      <c r="HO69" s="108"/>
      <c r="HP69" s="108"/>
      <c r="HQ69" s="108"/>
      <c r="HR69" s="108"/>
      <c r="HS69" s="108"/>
      <c r="HT69" s="108"/>
      <c r="HU69" s="108"/>
      <c r="HV69" s="108"/>
      <c r="HW69" s="108"/>
      <c r="HX69" s="108"/>
      <c r="HY69" s="108"/>
      <c r="HZ69" s="108"/>
      <c r="IA69" s="108"/>
      <c r="IB69" s="108"/>
      <c r="IC69" s="108"/>
      <c r="ID69" s="108"/>
      <c r="IE69" s="108"/>
      <c r="IF69" s="108"/>
      <c r="IG69" s="108"/>
      <c r="IH69" s="108"/>
      <c r="II69" s="108"/>
      <c r="IJ69" s="108"/>
      <c r="IK69" s="108"/>
      <c r="IL69" s="108"/>
      <c r="IM69" s="108"/>
      <c r="IN69" s="108"/>
      <c r="IO69" s="108"/>
      <c r="IP69" s="108"/>
      <c r="IQ69" s="108"/>
      <c r="IR69" s="108"/>
      <c r="IS69" s="108"/>
      <c r="IT69" s="108"/>
      <c r="IU69" s="108"/>
      <c r="IV69" s="108"/>
      <c r="IW69" s="108"/>
      <c r="IX69" s="108"/>
      <c r="IY69" s="108"/>
      <c r="IZ69" s="108"/>
      <c r="JA69" s="108"/>
      <c r="JB69" s="108"/>
      <c r="JC69" s="108"/>
      <c r="JD69" s="108"/>
      <c r="JE69" s="108"/>
      <c r="JF69" s="108"/>
      <c r="JG69" s="108"/>
      <c r="JH69" s="108"/>
      <c r="JI69" s="108"/>
      <c r="JJ69" s="108"/>
      <c r="JK69" s="108"/>
      <c r="JL69" s="108"/>
      <c r="JM69" s="108"/>
      <c r="JN69" s="108"/>
      <c r="JO69" s="108"/>
      <c r="JP69" s="108"/>
      <c r="JQ69" s="108"/>
      <c r="JR69" s="108"/>
      <c r="JS69" s="108"/>
      <c r="JT69" s="108"/>
      <c r="JU69" s="108"/>
      <c r="JV69" s="108"/>
      <c r="JW69" s="108"/>
      <c r="JX69" s="108"/>
      <c r="JY69" s="108"/>
      <c r="JZ69" s="108"/>
      <c r="KA69" s="108"/>
      <c r="KB69" s="108"/>
      <c r="KC69" s="108"/>
      <c r="KD69" s="108"/>
      <c r="KE69" s="108"/>
      <c r="KF69" s="108"/>
      <c r="KG69" s="108"/>
      <c r="KH69" s="108"/>
      <c r="KI69" s="108"/>
      <c r="KJ69" s="108"/>
      <c r="KK69" s="108"/>
      <c r="KL69" s="108"/>
      <c r="KM69" s="108"/>
      <c r="KN69" s="108"/>
      <c r="KO69" s="108"/>
      <c r="KP69" s="108"/>
      <c r="KQ69" s="108"/>
      <c r="KR69" s="108"/>
      <c r="KS69" s="108"/>
      <c r="KT69" s="108"/>
      <c r="KU69" s="108"/>
      <c r="KV69" s="108"/>
      <c r="KW69" s="108"/>
      <c r="KX69" s="108"/>
      <c r="KY69" s="108"/>
      <c r="KZ69" s="108"/>
      <c r="LA69" s="108"/>
      <c r="LB69" s="108"/>
      <c r="LC69" s="108"/>
      <c r="LD69" s="108"/>
      <c r="LE69" s="108"/>
      <c r="LF69" s="108"/>
      <c r="LG69" s="108"/>
      <c r="LH69" s="108"/>
      <c r="LI69" s="108"/>
      <c r="LJ69" s="108"/>
      <c r="LK69" s="108"/>
      <c r="LL69" s="108"/>
      <c r="LM69" s="108"/>
      <c r="LN69" s="108"/>
      <c r="LO69" s="108"/>
      <c r="LP69" s="108"/>
      <c r="LQ69" s="108"/>
      <c r="LR69" s="108"/>
      <c r="LS69" s="108"/>
      <c r="LT69" s="108"/>
      <c r="LU69" s="108"/>
      <c r="LV69" s="108"/>
      <c r="LW69" s="108"/>
      <c r="LX69" s="108"/>
      <c r="LY69" s="108"/>
      <c r="LZ69" s="108"/>
      <c r="MA69" s="108"/>
      <c r="MB69" s="108"/>
      <c r="MC69" s="108"/>
      <c r="MD69" s="108"/>
      <c r="ME69" s="108"/>
      <c r="MF69" s="108"/>
      <c r="MG69" s="108"/>
      <c r="MH69" s="108"/>
      <c r="MI69" s="108"/>
      <c r="MJ69" s="108"/>
      <c r="MK69" s="108"/>
      <c r="ML69" s="108"/>
      <c r="MM69" s="108"/>
      <c r="MN69" s="108"/>
      <c r="MO69" s="108"/>
      <c r="MP69" s="108"/>
      <c r="MQ69" s="108"/>
      <c r="MR69" s="108"/>
      <c r="MS69" s="108"/>
      <c r="MT69" s="108"/>
      <c r="MU69" s="108"/>
      <c r="MV69" s="108"/>
      <c r="MW69" s="108"/>
      <c r="MX69" s="108"/>
      <c r="MY69" s="108"/>
      <c r="MZ69" s="108"/>
      <c r="NA69" s="108"/>
      <c r="NB69" s="108"/>
      <c r="NC69" s="108"/>
      <c r="ND69" s="108"/>
      <c r="NE69" s="108"/>
      <c r="NF69" s="108"/>
      <c r="NG69" s="108"/>
      <c r="NH69" s="108"/>
      <c r="NI69" s="108"/>
      <c r="NJ69" s="108"/>
      <c r="NK69" s="108"/>
      <c r="NL69" s="108"/>
      <c r="NM69" s="108"/>
      <c r="NN69" s="108"/>
      <c r="NO69" s="108"/>
      <c r="NP69" s="108"/>
      <c r="NQ69" s="108"/>
      <c r="NR69" s="108"/>
      <c r="NS69" s="108"/>
      <c r="NT69" s="108"/>
      <c r="NU69" s="108"/>
      <c r="NV69" s="108"/>
      <c r="NW69" s="108"/>
      <c r="NX69" s="108"/>
      <c r="NY69" s="108"/>
      <c r="NZ69" s="108"/>
      <c r="OA69" s="108"/>
      <c r="OB69" s="108"/>
      <c r="OC69" s="108"/>
      <c r="OD69" s="108"/>
      <c r="OE69" s="108"/>
      <c r="OF69" s="108"/>
      <c r="OG69" s="108"/>
      <c r="OH69" s="108"/>
      <c r="OI69" s="108"/>
      <c r="OJ69" s="108"/>
      <c r="OK69" s="108"/>
      <c r="OL69" s="108"/>
      <c r="OM69" s="108"/>
      <c r="ON69" s="108"/>
      <c r="OO69" s="108"/>
      <c r="OP69" s="108"/>
      <c r="OQ69" s="108"/>
      <c r="OR69" s="108"/>
      <c r="OS69" s="108"/>
      <c r="OT69" s="108"/>
      <c r="OU69" s="108"/>
      <c r="OV69" s="108"/>
      <c r="OW69" s="108"/>
      <c r="OX69" s="108"/>
      <c r="OY69" s="108"/>
      <c r="OZ69" s="108"/>
      <c r="PA69" s="108"/>
      <c r="PB69" s="108"/>
      <c r="PC69" s="108"/>
      <c r="PD69" s="108"/>
      <c r="PE69" s="108"/>
      <c r="PF69" s="108"/>
      <c r="PG69" s="108"/>
      <c r="PH69" s="108"/>
      <c r="PI69" s="108"/>
      <c r="PJ69" s="108"/>
      <c r="PK69" s="108"/>
      <c r="PL69" s="108"/>
      <c r="PM69" s="108"/>
      <c r="PN69" s="108"/>
      <c r="PO69" s="108"/>
      <c r="PP69" s="108"/>
      <c r="PQ69" s="108"/>
      <c r="PR69" s="108"/>
      <c r="PS69" s="108"/>
      <c r="PT69" s="108"/>
      <c r="PU69" s="108"/>
      <c r="PV69" s="108"/>
      <c r="PW69" s="108"/>
      <c r="PX69" s="108"/>
      <c r="PY69" s="108"/>
      <c r="PZ69" s="108"/>
      <c r="QA69" s="108"/>
      <c r="QB69" s="108"/>
      <c r="QC69" s="108"/>
      <c r="QD69" s="108"/>
      <c r="QE69" s="108"/>
      <c r="QF69" s="108"/>
      <c r="QG69" s="108"/>
      <c r="QH69" s="108"/>
      <c r="QI69" s="108"/>
      <c r="QJ69" s="108"/>
      <c r="QK69" s="108"/>
      <c r="QL69" s="108"/>
      <c r="QM69" s="108"/>
      <c r="QN69" s="108"/>
      <c r="QO69" s="108"/>
      <c r="QP69" s="108"/>
      <c r="QQ69" s="108"/>
      <c r="QR69" s="108"/>
      <c r="QS69" s="108"/>
      <c r="QT69" s="108"/>
      <c r="QU69" s="108"/>
      <c r="QV69" s="108"/>
      <c r="QW69" s="108"/>
      <c r="QX69" s="108"/>
      <c r="QY69" s="108"/>
      <c r="QZ69" s="108"/>
      <c r="RA69" s="108"/>
      <c r="RB69" s="108"/>
      <c r="RC69" s="108"/>
      <c r="RD69" s="108"/>
      <c r="RE69" s="108"/>
      <c r="RF69" s="108"/>
      <c r="RG69" s="108"/>
      <c r="RH69" s="108"/>
      <c r="RI69" s="108"/>
      <c r="RJ69" s="108"/>
      <c r="RK69" s="108"/>
      <c r="RL69" s="108"/>
      <c r="RM69" s="108"/>
      <c r="RN69" s="108"/>
      <c r="RO69" s="108"/>
      <c r="RP69" s="108"/>
      <c r="RQ69" s="108"/>
      <c r="RR69" s="108"/>
      <c r="RS69" s="108"/>
      <c r="RT69" s="108"/>
      <c r="RU69" s="108"/>
      <c r="RV69" s="108"/>
      <c r="RW69" s="108"/>
      <c r="RX69" s="108"/>
      <c r="RY69" s="108"/>
      <c r="RZ69" s="108"/>
      <c r="SA69" s="108"/>
      <c r="SB69" s="108"/>
      <c r="SC69" s="108"/>
      <c r="SD69" s="108"/>
      <c r="SE69" s="108"/>
      <c r="SF69" s="108"/>
      <c r="SG69" s="108"/>
      <c r="SH69" s="108"/>
      <c r="SI69" s="108"/>
      <c r="SJ69" s="108"/>
      <c r="SK69" s="108"/>
      <c r="SL69" s="108"/>
      <c r="SM69" s="108"/>
      <c r="SN69" s="108"/>
      <c r="SO69" s="108"/>
      <c r="SP69" s="108"/>
      <c r="SQ69" s="108"/>
      <c r="SR69" s="108"/>
      <c r="SS69" s="108"/>
      <c r="ST69" s="108"/>
      <c r="SU69" s="108"/>
      <c r="SV69" s="108"/>
      <c r="SW69" s="108"/>
      <c r="SX69" s="108"/>
      <c r="SY69" s="108"/>
      <c r="SZ69" s="108"/>
      <c r="TA69" s="108"/>
      <c r="TB69" s="108"/>
      <c r="TC69" s="108"/>
      <c r="TD69" s="108"/>
      <c r="TE69" s="108"/>
      <c r="TF69" s="108"/>
      <c r="TG69" s="108"/>
      <c r="TH69" s="108"/>
      <c r="TI69" s="108"/>
      <c r="TJ69" s="108"/>
      <c r="TK69" s="108"/>
      <c r="TL69" s="108"/>
      <c r="TM69" s="108"/>
      <c r="TN69" s="108"/>
      <c r="TO69" s="108"/>
      <c r="TP69" s="108"/>
      <c r="TQ69" s="108"/>
      <c r="TR69" s="108"/>
      <c r="TS69" s="108"/>
      <c r="TT69" s="108"/>
      <c r="TU69" s="108"/>
      <c r="TV69" s="108"/>
      <c r="TW69" s="108"/>
      <c r="TX69" s="108"/>
      <c r="TY69" s="108"/>
      <c r="TZ69" s="108"/>
      <c r="UA69" s="108"/>
      <c r="UB69" s="108"/>
      <c r="UC69" s="108"/>
      <c r="UD69" s="108"/>
      <c r="UE69" s="108"/>
      <c r="UF69" s="108"/>
      <c r="UG69" s="108"/>
      <c r="UH69" s="108"/>
      <c r="UI69" s="108"/>
      <c r="UJ69" s="108"/>
      <c r="UK69" s="108"/>
      <c r="UL69" s="108"/>
      <c r="UM69" s="108"/>
      <c r="UN69" s="108"/>
      <c r="UO69" s="108"/>
      <c r="UP69" s="108"/>
      <c r="UQ69" s="108"/>
      <c r="UR69" s="108"/>
      <c r="US69" s="108"/>
      <c r="UT69" s="108"/>
      <c r="UU69" s="108"/>
      <c r="UV69" s="108"/>
      <c r="UW69" s="108"/>
      <c r="UX69" s="108"/>
      <c r="UY69" s="108"/>
      <c r="UZ69" s="108"/>
      <c r="VA69" s="108"/>
      <c r="VB69" s="108"/>
      <c r="VC69" s="108"/>
      <c r="VD69" s="108"/>
      <c r="VE69" s="108"/>
      <c r="VF69" s="108"/>
      <c r="VG69" s="108"/>
      <c r="VH69" s="108"/>
      <c r="VI69" s="108"/>
      <c r="VJ69" s="108"/>
      <c r="VK69" s="108"/>
      <c r="VL69" s="108"/>
      <c r="VM69" s="108"/>
      <c r="VN69" s="108"/>
      <c r="VO69" s="108"/>
      <c r="VP69" s="108"/>
      <c r="VQ69" s="108"/>
      <c r="VR69" s="108"/>
      <c r="VS69" s="108"/>
      <c r="VT69" s="108"/>
      <c r="VU69" s="108"/>
      <c r="VV69" s="108"/>
      <c r="VW69" s="108"/>
      <c r="VX69" s="108"/>
      <c r="VY69" s="108"/>
      <c r="VZ69" s="108"/>
      <c r="WA69" s="108"/>
      <c r="WB69" s="108"/>
      <c r="WC69" s="108"/>
      <c r="WD69" s="108"/>
      <c r="WE69" s="108"/>
      <c r="WF69" s="108"/>
      <c r="WG69" s="108"/>
      <c r="WH69" s="108"/>
      <c r="WI69" s="108"/>
      <c r="WJ69" s="108"/>
      <c r="WK69" s="108"/>
      <c r="WL69" s="108"/>
      <c r="WM69" s="108"/>
      <c r="WN69" s="108"/>
      <c r="WO69" s="108"/>
      <c r="WP69" s="108"/>
      <c r="WQ69" s="108"/>
      <c r="WR69" s="108"/>
      <c r="WS69" s="108"/>
      <c r="WT69" s="108"/>
      <c r="WU69" s="108"/>
      <c r="WV69" s="108"/>
      <c r="WW69" s="108"/>
      <c r="WX69" s="108"/>
      <c r="WY69" s="108"/>
      <c r="WZ69" s="108"/>
      <c r="XA69" s="108"/>
      <c r="XB69" s="108"/>
      <c r="XC69" s="108"/>
      <c r="XD69" s="108"/>
      <c r="XE69" s="108"/>
      <c r="XF69" s="108"/>
      <c r="XG69" s="108"/>
      <c r="XH69" s="108"/>
      <c r="XI69" s="108"/>
      <c r="XJ69" s="108"/>
      <c r="XK69" s="108"/>
      <c r="XL69" s="108"/>
      <c r="XM69" s="108"/>
      <c r="XN69" s="108"/>
      <c r="XO69" s="108"/>
      <c r="XP69" s="108"/>
      <c r="XQ69" s="108"/>
      <c r="XR69" s="108"/>
      <c r="XS69" s="108"/>
      <c r="XT69" s="108"/>
      <c r="XU69" s="108"/>
      <c r="XV69" s="108"/>
      <c r="XW69" s="108"/>
      <c r="XX69" s="108"/>
      <c r="XY69" s="108"/>
      <c r="XZ69" s="108"/>
      <c r="YA69" s="108"/>
      <c r="YB69" s="108"/>
      <c r="YC69" s="108"/>
      <c r="YD69" s="108"/>
      <c r="YE69" s="108"/>
      <c r="YF69" s="108"/>
      <c r="YG69" s="108"/>
      <c r="YH69" s="108"/>
      <c r="YI69" s="108"/>
      <c r="YJ69" s="108"/>
      <c r="YK69" s="108"/>
      <c r="YL69" s="108"/>
      <c r="YM69" s="108"/>
      <c r="YN69" s="108"/>
      <c r="YO69" s="108"/>
      <c r="YP69" s="108"/>
      <c r="YQ69" s="108"/>
      <c r="YR69" s="108"/>
      <c r="YS69" s="108"/>
      <c r="YT69" s="108"/>
      <c r="YU69" s="108"/>
      <c r="YV69" s="108"/>
      <c r="YW69" s="108"/>
      <c r="YX69" s="108"/>
      <c r="YY69" s="108"/>
      <c r="YZ69" s="108"/>
      <c r="ZA69" s="108"/>
      <c r="ZB69" s="108"/>
      <c r="ZC69" s="108"/>
      <c r="ZD69" s="108"/>
      <c r="ZE69" s="108"/>
      <c r="ZF69" s="108"/>
      <c r="ZG69" s="108"/>
      <c r="ZH69" s="108"/>
      <c r="ZI69" s="108"/>
      <c r="ZJ69" s="108"/>
      <c r="ZK69" s="108"/>
      <c r="ZL69" s="108"/>
      <c r="ZM69" s="108"/>
      <c r="ZN69" s="108"/>
      <c r="ZO69" s="108"/>
      <c r="ZP69" s="108"/>
      <c r="ZQ69" s="108"/>
      <c r="ZR69" s="108"/>
      <c r="ZS69" s="108"/>
      <c r="ZT69" s="108"/>
      <c r="ZU69" s="108"/>
      <c r="ZV69" s="108"/>
      <c r="ZW69" s="108"/>
      <c r="ZX69" s="108"/>
      <c r="ZY69" s="108"/>
      <c r="ZZ69" s="108"/>
      <c r="AAA69" s="108"/>
      <c r="AAB69" s="108"/>
      <c r="AAC69" s="108"/>
      <c r="AAD69" s="108"/>
      <c r="AAE69" s="108"/>
      <c r="AAF69" s="108"/>
      <c r="AAG69" s="108"/>
      <c r="AAH69" s="108"/>
      <c r="AAI69" s="108"/>
      <c r="AAJ69" s="108"/>
      <c r="AAK69" s="108"/>
      <c r="AAL69" s="108"/>
      <c r="AAM69" s="108"/>
      <c r="AAN69" s="108"/>
      <c r="AAO69" s="108"/>
      <c r="AAP69" s="108"/>
      <c r="AAQ69" s="108"/>
      <c r="AAR69" s="108"/>
      <c r="AAS69" s="108"/>
      <c r="AAT69" s="108"/>
      <c r="AAU69" s="108"/>
      <c r="AAV69" s="108"/>
      <c r="AAW69" s="108"/>
      <c r="AAX69" s="108"/>
      <c r="AAY69" s="108"/>
      <c r="AAZ69" s="108"/>
      <c r="ABA69" s="108"/>
      <c r="ABB69" s="108"/>
      <c r="ABC69" s="108"/>
      <c r="ABD69" s="108"/>
      <c r="ABE69" s="108"/>
      <c r="ABF69" s="108"/>
      <c r="ABG69" s="108"/>
      <c r="ABH69" s="108"/>
      <c r="ABI69" s="108"/>
      <c r="ABJ69" s="108"/>
      <c r="ABK69" s="108"/>
      <c r="ABL69" s="108"/>
      <c r="ABM69" s="108"/>
      <c r="ABN69" s="108"/>
      <c r="ABO69" s="108"/>
      <c r="ABP69" s="108"/>
      <c r="ABQ69" s="108"/>
      <c r="ABR69" s="108"/>
      <c r="ABS69" s="108"/>
      <c r="ABT69" s="108"/>
      <c r="ABU69" s="108"/>
      <c r="ABV69" s="108"/>
      <c r="ABW69" s="108"/>
      <c r="ABX69" s="108"/>
      <c r="ABY69" s="108"/>
      <c r="ABZ69" s="108"/>
      <c r="ACA69" s="108"/>
      <c r="ACB69" s="108"/>
      <c r="ACC69" s="108"/>
      <c r="ACD69" s="108"/>
      <c r="ACE69" s="108"/>
      <c r="ACF69" s="108"/>
      <c r="ACG69" s="108"/>
      <c r="ACH69" s="108"/>
      <c r="ACI69" s="108"/>
      <c r="ACJ69" s="108"/>
      <c r="ACK69" s="108"/>
      <c r="ACL69" s="108"/>
      <c r="ACM69" s="108"/>
      <c r="ACN69" s="108"/>
      <c r="ACO69" s="108"/>
      <c r="ACP69" s="108"/>
      <c r="ACQ69" s="108"/>
      <c r="ACR69" s="108"/>
      <c r="ACS69" s="108"/>
      <c r="ACT69" s="108"/>
      <c r="ACU69" s="108"/>
      <c r="ACV69" s="108"/>
      <c r="ACW69" s="108"/>
      <c r="ACX69" s="108"/>
      <c r="ACY69" s="108"/>
      <c r="ACZ69" s="108"/>
      <c r="ADA69" s="108"/>
      <c r="ADB69" s="108"/>
      <c r="ADC69" s="108"/>
      <c r="ADD69" s="108"/>
      <c r="ADE69" s="108"/>
      <c r="ADF69" s="108"/>
      <c r="ADG69" s="108"/>
      <c r="ADH69" s="108"/>
      <c r="ADI69" s="108"/>
      <c r="ADJ69" s="108"/>
      <c r="ADK69" s="108"/>
      <c r="ADL69" s="108"/>
      <c r="ADM69" s="108"/>
      <c r="ADN69" s="108"/>
      <c r="ADO69" s="108"/>
      <c r="ADP69" s="108"/>
      <c r="ADQ69" s="108"/>
      <c r="ADR69" s="108"/>
      <c r="ADS69" s="108"/>
      <c r="ADT69" s="108"/>
      <c r="ADU69" s="108"/>
      <c r="ADV69" s="108"/>
      <c r="ADW69" s="108"/>
      <c r="ADX69" s="108"/>
      <c r="ADY69" s="108"/>
      <c r="ADZ69" s="108"/>
      <c r="AEA69" s="108"/>
      <c r="AEB69" s="108"/>
      <c r="AEC69" s="108"/>
      <c r="AED69" s="108"/>
      <c r="AEE69" s="108"/>
      <c r="AEF69" s="108"/>
      <c r="AEG69" s="108"/>
      <c r="AEH69" s="108"/>
      <c r="AEI69" s="108"/>
      <c r="AEJ69" s="108"/>
      <c r="AEK69" s="108"/>
      <c r="AEL69" s="108"/>
      <c r="AEM69" s="108"/>
      <c r="AEN69" s="108"/>
      <c r="AEO69" s="108"/>
      <c r="AEP69" s="108"/>
      <c r="AEQ69" s="108"/>
      <c r="AER69" s="108"/>
      <c r="AES69" s="108"/>
      <c r="AET69" s="108"/>
      <c r="AEU69" s="108"/>
      <c r="AEV69" s="108"/>
      <c r="AEW69" s="108"/>
      <c r="AEX69" s="108"/>
      <c r="AEY69" s="108"/>
      <c r="AEZ69" s="108"/>
      <c r="AFA69" s="108"/>
      <c r="AFB69" s="108"/>
      <c r="AFC69" s="108"/>
      <c r="AFD69" s="108"/>
      <c r="AFE69" s="108"/>
      <c r="AFF69" s="108"/>
      <c r="AFG69" s="108"/>
      <c r="AFH69" s="108"/>
      <c r="AFI69" s="108"/>
      <c r="AFJ69" s="108"/>
      <c r="AFK69" s="108"/>
      <c r="AFL69" s="108"/>
      <c r="AFM69" s="108"/>
      <c r="AFN69" s="108"/>
      <c r="AFO69" s="108"/>
      <c r="AFP69" s="108"/>
      <c r="AFQ69" s="108"/>
      <c r="AFR69" s="108"/>
      <c r="AFS69" s="108"/>
      <c r="AFT69" s="108"/>
      <c r="AFU69" s="108"/>
      <c r="AFV69" s="108"/>
      <c r="AFW69" s="108"/>
      <c r="AFX69" s="108"/>
      <c r="AFY69" s="108"/>
      <c r="AFZ69" s="108"/>
      <c r="AGA69" s="108"/>
      <c r="AGB69" s="108"/>
      <c r="AGC69" s="108"/>
      <c r="AGD69" s="108"/>
      <c r="AGE69" s="108"/>
      <c r="AGF69" s="108"/>
      <c r="AGG69" s="108"/>
      <c r="AGH69" s="108"/>
      <c r="AGI69" s="108"/>
      <c r="AGJ69" s="108"/>
      <c r="AGK69" s="108"/>
      <c r="AGL69" s="108"/>
      <c r="AGM69" s="108"/>
      <c r="AGN69" s="108"/>
      <c r="AGO69" s="108"/>
      <c r="AGP69" s="108"/>
      <c r="AGQ69" s="108"/>
      <c r="AGR69" s="108"/>
      <c r="AGS69" s="108"/>
      <c r="AGT69" s="108"/>
      <c r="AGU69" s="108"/>
      <c r="AGV69" s="108"/>
      <c r="AGW69" s="108"/>
      <c r="AGX69" s="108"/>
      <c r="AGY69" s="108"/>
      <c r="AGZ69" s="108"/>
      <c r="AHA69" s="108"/>
      <c r="AHB69" s="108"/>
      <c r="AHC69" s="108"/>
      <c r="AHD69" s="108"/>
      <c r="AHE69" s="108"/>
      <c r="AHF69" s="108"/>
      <c r="AHG69" s="108"/>
      <c r="AHH69" s="108"/>
      <c r="AHI69" s="108"/>
      <c r="AHJ69" s="108"/>
      <c r="AHK69" s="108"/>
      <c r="AHL69" s="108"/>
      <c r="AHM69" s="108"/>
      <c r="AHN69" s="108"/>
      <c r="AHO69" s="108"/>
      <c r="AHP69" s="108"/>
      <c r="AHQ69" s="108"/>
      <c r="AHR69" s="108"/>
      <c r="AHS69" s="108"/>
      <c r="AHT69" s="108"/>
      <c r="AHU69" s="108"/>
      <c r="AHV69" s="108"/>
      <c r="AHW69" s="108"/>
      <c r="AHX69" s="108"/>
      <c r="AHY69" s="108"/>
      <c r="AHZ69" s="108"/>
      <c r="AIA69" s="108"/>
      <c r="AIB69" s="108"/>
      <c r="AIC69" s="108"/>
      <c r="AID69" s="108"/>
      <c r="AIE69" s="108"/>
      <c r="AIF69" s="108"/>
      <c r="AIG69" s="108"/>
      <c r="AIH69" s="108"/>
      <c r="AII69" s="108"/>
      <c r="AIJ69" s="108"/>
      <c r="AIK69" s="108"/>
      <c r="AIL69" s="108"/>
      <c r="AIM69" s="108"/>
      <c r="AIN69" s="108"/>
      <c r="AIO69" s="108"/>
      <c r="AIP69" s="108"/>
      <c r="AIQ69" s="108"/>
      <c r="AIR69" s="108"/>
      <c r="AIS69" s="108"/>
      <c r="AIT69" s="108"/>
      <c r="AIU69" s="108"/>
      <c r="AIV69" s="108"/>
      <c r="AIW69" s="108"/>
      <c r="AIX69" s="108"/>
      <c r="AIY69" s="108"/>
      <c r="AIZ69" s="108"/>
      <c r="AJA69" s="108"/>
      <c r="AJB69" s="108"/>
      <c r="AJC69" s="108"/>
      <c r="AJD69" s="108"/>
      <c r="AJE69" s="108"/>
      <c r="AJF69" s="108"/>
      <c r="AJG69" s="108"/>
      <c r="AJH69" s="108"/>
      <c r="AJI69" s="108"/>
      <c r="AJJ69" s="108"/>
      <c r="AJK69" s="108"/>
      <c r="AJL69" s="108"/>
      <c r="AJM69" s="108"/>
      <c r="AJN69" s="108"/>
      <c r="AJO69" s="108"/>
      <c r="AJP69" s="108"/>
      <c r="AJQ69" s="108"/>
      <c r="AJR69" s="108"/>
      <c r="AJS69" s="108"/>
      <c r="AJT69" s="108"/>
      <c r="AJU69" s="108"/>
      <c r="AJV69" s="108"/>
      <c r="AJW69" s="108"/>
      <c r="AJX69" s="108"/>
      <c r="AJY69" s="108"/>
      <c r="AJZ69" s="108"/>
      <c r="AKA69" s="108"/>
      <c r="AKB69" s="108"/>
      <c r="AKC69" s="108"/>
      <c r="AKD69" s="108"/>
      <c r="AKE69" s="108"/>
      <c r="AKF69" s="108"/>
      <c r="AKG69" s="108"/>
      <c r="AKH69" s="108"/>
      <c r="AKI69" s="108"/>
      <c r="AKJ69" s="108"/>
      <c r="AKK69" s="108"/>
      <c r="AKL69" s="108"/>
      <c r="AKM69" s="108"/>
      <c r="AKN69" s="108"/>
      <c r="AKO69" s="108"/>
      <c r="AKP69" s="108"/>
      <c r="AKQ69" s="108"/>
      <c r="AKR69" s="108"/>
      <c r="AKS69" s="108"/>
      <c r="AKT69" s="108"/>
      <c r="AKU69" s="108"/>
      <c r="AKV69" s="108"/>
      <c r="AKW69" s="108"/>
      <c r="AKX69" s="108"/>
      <c r="AKY69" s="108"/>
      <c r="AKZ69" s="108"/>
      <c r="ALA69" s="108"/>
      <c r="ALB69" s="108"/>
      <c r="ALC69" s="108"/>
      <c r="ALD69" s="108"/>
      <c r="ALE69" s="108"/>
      <c r="ALF69" s="108"/>
      <c r="ALG69" s="108"/>
      <c r="ALH69" s="108"/>
      <c r="ALI69" s="108"/>
      <c r="ALJ69" s="108"/>
      <c r="ALK69" s="108"/>
      <c r="ALL69" s="108"/>
      <c r="ALM69" s="108"/>
      <c r="ALN69" s="108"/>
      <c r="ALO69" s="108"/>
      <c r="ALP69" s="108"/>
      <c r="ALQ69" s="108"/>
      <c r="ALR69" s="108"/>
      <c r="ALS69" s="108"/>
      <c r="ALT69" s="108"/>
      <c r="ALU69" s="108"/>
      <c r="ALV69" s="108"/>
      <c r="ALW69" s="108"/>
      <c r="ALX69" s="108"/>
      <c r="ALY69" s="108"/>
      <c r="ALZ69" s="108"/>
      <c r="AMA69" s="108"/>
      <c r="AMB69" s="108"/>
      <c r="AMC69" s="108"/>
      <c r="AMD69" s="108"/>
      <c r="AME69" s="108"/>
      <c r="AMF69" s="108"/>
      <c r="AMG69" s="108"/>
      <c r="AMH69" s="108"/>
      <c r="AMI69" s="108"/>
      <c r="AMJ69" s="108"/>
    </row>
    <row r="70" s="144" customFormat="true" ht="15" hidden="false" customHeight="false" outlineLevel="0" collapsed="false">
      <c r="A70" s="140" t="s">
        <v>153</v>
      </c>
      <c r="B70" s="132" t="s">
        <v>154</v>
      </c>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c r="CG70" s="108"/>
      <c r="CH70" s="108"/>
      <c r="CI70" s="108"/>
      <c r="CJ70" s="108"/>
      <c r="CK70" s="108"/>
      <c r="CL70" s="108"/>
      <c r="CM70" s="108"/>
      <c r="CN70" s="108"/>
      <c r="CO70" s="108"/>
      <c r="CP70" s="108"/>
      <c r="CQ70" s="108"/>
      <c r="CR70" s="108"/>
      <c r="CS70" s="108"/>
      <c r="CT70" s="108"/>
      <c r="CU70" s="108"/>
      <c r="CV70" s="108"/>
      <c r="CW70" s="108"/>
      <c r="CX70" s="108"/>
      <c r="CY70" s="108"/>
      <c r="CZ70" s="108"/>
      <c r="DA70" s="108"/>
      <c r="DB70" s="108"/>
      <c r="DC70" s="108"/>
      <c r="DD70" s="108"/>
      <c r="DE70" s="108"/>
      <c r="DF70" s="108"/>
      <c r="DG70" s="108"/>
      <c r="DH70" s="108"/>
      <c r="DI70" s="108"/>
      <c r="DJ70" s="108"/>
      <c r="DK70" s="108"/>
      <c r="DL70" s="108"/>
      <c r="DM70" s="108"/>
      <c r="DN70" s="108"/>
      <c r="DO70" s="108"/>
      <c r="DP70" s="108"/>
      <c r="DQ70" s="108"/>
      <c r="DR70" s="108"/>
      <c r="DS70" s="108"/>
      <c r="DT70" s="108"/>
      <c r="DU70" s="108"/>
      <c r="DV70" s="108"/>
      <c r="DW70" s="108"/>
      <c r="DX70" s="108"/>
      <c r="DY70" s="108"/>
      <c r="DZ70" s="108"/>
      <c r="EA70" s="108"/>
      <c r="EB70" s="108"/>
      <c r="EC70" s="108"/>
      <c r="ED70" s="108"/>
      <c r="EE70" s="108"/>
      <c r="EF70" s="108"/>
      <c r="EG70" s="108"/>
      <c r="EH70" s="108"/>
      <c r="EI70" s="108"/>
      <c r="EJ70" s="108"/>
      <c r="EK70" s="108"/>
      <c r="EL70" s="108"/>
      <c r="EM70" s="108"/>
      <c r="EN70" s="108"/>
      <c r="EO70" s="108"/>
      <c r="EP70" s="108"/>
      <c r="EQ70" s="108"/>
      <c r="ER70" s="108"/>
      <c r="ES70" s="108"/>
      <c r="ET70" s="108"/>
      <c r="EU70" s="108"/>
      <c r="EV70" s="108"/>
      <c r="EW70" s="108"/>
      <c r="EX70" s="108"/>
      <c r="EY70" s="108"/>
      <c r="EZ70" s="108"/>
      <c r="FA70" s="108"/>
      <c r="FB70" s="108"/>
      <c r="FC70" s="108"/>
      <c r="FD70" s="108"/>
      <c r="FE70" s="108"/>
      <c r="FF70" s="108"/>
      <c r="FG70" s="108"/>
      <c r="FH70" s="108"/>
      <c r="FI70" s="108"/>
      <c r="FJ70" s="108"/>
      <c r="FK70" s="108"/>
      <c r="FL70" s="108"/>
      <c r="FM70" s="108"/>
      <c r="FN70" s="108"/>
      <c r="FO70" s="108"/>
      <c r="FP70" s="108"/>
      <c r="FQ70" s="108"/>
      <c r="FR70" s="108"/>
      <c r="FS70" s="108"/>
      <c r="FT70" s="108"/>
      <c r="FU70" s="108"/>
      <c r="FV70" s="108"/>
      <c r="FW70" s="108"/>
      <c r="FX70" s="108"/>
      <c r="FY70" s="108"/>
      <c r="FZ70" s="108"/>
      <c r="GA70" s="108"/>
      <c r="GB70" s="108"/>
      <c r="GC70" s="108"/>
      <c r="GD70" s="108"/>
      <c r="GE70" s="108"/>
      <c r="GF70" s="108"/>
      <c r="GG70" s="108"/>
      <c r="GH70" s="108"/>
      <c r="GI70" s="108"/>
      <c r="GJ70" s="108"/>
      <c r="GK70" s="108"/>
      <c r="GL70" s="108"/>
      <c r="GM70" s="108"/>
      <c r="GN70" s="108"/>
      <c r="GO70" s="108"/>
      <c r="GP70" s="108"/>
      <c r="GQ70" s="108"/>
      <c r="GR70" s="108"/>
      <c r="GS70" s="108"/>
      <c r="GT70" s="108"/>
      <c r="GU70" s="108"/>
      <c r="GV70" s="108"/>
      <c r="GW70" s="108"/>
      <c r="GX70" s="108"/>
      <c r="GY70" s="108"/>
      <c r="GZ70" s="108"/>
      <c r="HA70" s="108"/>
      <c r="HB70" s="108"/>
      <c r="HC70" s="108"/>
      <c r="HD70" s="108"/>
      <c r="HE70" s="108"/>
      <c r="HF70" s="108"/>
      <c r="HG70" s="108"/>
      <c r="HH70" s="108"/>
      <c r="HI70" s="108"/>
      <c r="HJ70" s="108"/>
      <c r="HK70" s="108"/>
      <c r="HL70" s="108"/>
      <c r="HM70" s="108"/>
      <c r="HN70" s="108"/>
      <c r="HO70" s="108"/>
      <c r="HP70" s="108"/>
      <c r="HQ70" s="108"/>
      <c r="HR70" s="108"/>
      <c r="HS70" s="108"/>
      <c r="HT70" s="108"/>
      <c r="HU70" s="108"/>
      <c r="HV70" s="108"/>
      <c r="HW70" s="108"/>
      <c r="HX70" s="108"/>
      <c r="HY70" s="108"/>
      <c r="HZ70" s="108"/>
      <c r="IA70" s="108"/>
      <c r="IB70" s="108"/>
      <c r="IC70" s="108"/>
      <c r="ID70" s="108"/>
      <c r="IE70" s="108"/>
      <c r="IF70" s="108"/>
      <c r="IG70" s="108"/>
      <c r="IH70" s="108"/>
      <c r="II70" s="108"/>
      <c r="IJ70" s="108"/>
      <c r="IK70" s="108"/>
      <c r="IL70" s="108"/>
      <c r="IM70" s="108"/>
      <c r="IN70" s="108"/>
      <c r="IO70" s="108"/>
      <c r="IP70" s="108"/>
      <c r="IQ70" s="108"/>
      <c r="IR70" s="108"/>
      <c r="IS70" s="108"/>
      <c r="IT70" s="108"/>
      <c r="IU70" s="108"/>
      <c r="IV70" s="108"/>
      <c r="IW70" s="108"/>
      <c r="IX70" s="108"/>
      <c r="IY70" s="108"/>
      <c r="IZ70" s="108"/>
      <c r="JA70" s="108"/>
      <c r="JB70" s="108"/>
      <c r="JC70" s="108"/>
      <c r="JD70" s="108"/>
      <c r="JE70" s="108"/>
      <c r="JF70" s="108"/>
      <c r="JG70" s="108"/>
      <c r="JH70" s="108"/>
      <c r="JI70" s="108"/>
      <c r="JJ70" s="108"/>
      <c r="JK70" s="108"/>
      <c r="JL70" s="108"/>
      <c r="JM70" s="108"/>
      <c r="JN70" s="108"/>
      <c r="JO70" s="108"/>
      <c r="JP70" s="108"/>
      <c r="JQ70" s="108"/>
      <c r="JR70" s="108"/>
      <c r="JS70" s="108"/>
      <c r="JT70" s="108"/>
      <c r="JU70" s="108"/>
      <c r="JV70" s="108"/>
      <c r="JW70" s="108"/>
      <c r="JX70" s="108"/>
      <c r="JY70" s="108"/>
      <c r="JZ70" s="108"/>
      <c r="KA70" s="108"/>
      <c r="KB70" s="108"/>
      <c r="KC70" s="108"/>
      <c r="KD70" s="108"/>
      <c r="KE70" s="108"/>
      <c r="KF70" s="108"/>
      <c r="KG70" s="108"/>
      <c r="KH70" s="108"/>
      <c r="KI70" s="108"/>
      <c r="KJ70" s="108"/>
      <c r="KK70" s="108"/>
      <c r="KL70" s="108"/>
      <c r="KM70" s="108"/>
      <c r="KN70" s="108"/>
      <c r="KO70" s="108"/>
      <c r="KP70" s="108"/>
      <c r="KQ70" s="108"/>
      <c r="KR70" s="108"/>
      <c r="KS70" s="108"/>
      <c r="KT70" s="108"/>
      <c r="KU70" s="108"/>
      <c r="KV70" s="108"/>
      <c r="KW70" s="108"/>
      <c r="KX70" s="108"/>
      <c r="KY70" s="108"/>
      <c r="KZ70" s="108"/>
      <c r="LA70" s="108"/>
      <c r="LB70" s="108"/>
      <c r="LC70" s="108"/>
      <c r="LD70" s="108"/>
      <c r="LE70" s="108"/>
      <c r="LF70" s="108"/>
      <c r="LG70" s="108"/>
      <c r="LH70" s="108"/>
      <c r="LI70" s="108"/>
      <c r="LJ70" s="108"/>
      <c r="LK70" s="108"/>
      <c r="LL70" s="108"/>
      <c r="LM70" s="108"/>
      <c r="LN70" s="108"/>
      <c r="LO70" s="108"/>
      <c r="LP70" s="108"/>
      <c r="LQ70" s="108"/>
      <c r="LR70" s="108"/>
      <c r="LS70" s="108"/>
      <c r="LT70" s="108"/>
      <c r="LU70" s="108"/>
      <c r="LV70" s="108"/>
      <c r="LW70" s="108"/>
      <c r="LX70" s="108"/>
      <c r="LY70" s="108"/>
      <c r="LZ70" s="108"/>
      <c r="MA70" s="108"/>
      <c r="MB70" s="108"/>
      <c r="MC70" s="108"/>
      <c r="MD70" s="108"/>
      <c r="ME70" s="108"/>
      <c r="MF70" s="108"/>
      <c r="MG70" s="108"/>
      <c r="MH70" s="108"/>
      <c r="MI70" s="108"/>
      <c r="MJ70" s="108"/>
      <c r="MK70" s="108"/>
      <c r="ML70" s="108"/>
      <c r="MM70" s="108"/>
      <c r="MN70" s="108"/>
      <c r="MO70" s="108"/>
      <c r="MP70" s="108"/>
      <c r="MQ70" s="108"/>
      <c r="MR70" s="108"/>
      <c r="MS70" s="108"/>
      <c r="MT70" s="108"/>
      <c r="MU70" s="108"/>
      <c r="MV70" s="108"/>
      <c r="MW70" s="108"/>
      <c r="MX70" s="108"/>
      <c r="MY70" s="108"/>
      <c r="MZ70" s="108"/>
      <c r="NA70" s="108"/>
      <c r="NB70" s="108"/>
      <c r="NC70" s="108"/>
      <c r="ND70" s="108"/>
      <c r="NE70" s="108"/>
      <c r="NF70" s="108"/>
      <c r="NG70" s="108"/>
      <c r="NH70" s="108"/>
      <c r="NI70" s="108"/>
      <c r="NJ70" s="108"/>
      <c r="NK70" s="108"/>
      <c r="NL70" s="108"/>
      <c r="NM70" s="108"/>
      <c r="NN70" s="108"/>
      <c r="NO70" s="108"/>
      <c r="NP70" s="108"/>
      <c r="NQ70" s="108"/>
      <c r="NR70" s="108"/>
      <c r="NS70" s="108"/>
      <c r="NT70" s="108"/>
      <c r="NU70" s="108"/>
      <c r="NV70" s="108"/>
      <c r="NW70" s="108"/>
      <c r="NX70" s="108"/>
      <c r="NY70" s="108"/>
      <c r="NZ70" s="108"/>
      <c r="OA70" s="108"/>
      <c r="OB70" s="108"/>
      <c r="OC70" s="108"/>
      <c r="OD70" s="108"/>
      <c r="OE70" s="108"/>
      <c r="OF70" s="108"/>
      <c r="OG70" s="108"/>
      <c r="OH70" s="108"/>
      <c r="OI70" s="108"/>
      <c r="OJ70" s="108"/>
      <c r="OK70" s="108"/>
      <c r="OL70" s="108"/>
      <c r="OM70" s="108"/>
      <c r="ON70" s="108"/>
      <c r="OO70" s="108"/>
      <c r="OP70" s="108"/>
      <c r="OQ70" s="108"/>
      <c r="OR70" s="108"/>
      <c r="OS70" s="108"/>
      <c r="OT70" s="108"/>
      <c r="OU70" s="108"/>
      <c r="OV70" s="108"/>
      <c r="OW70" s="108"/>
      <c r="OX70" s="108"/>
      <c r="OY70" s="108"/>
      <c r="OZ70" s="108"/>
      <c r="PA70" s="108"/>
      <c r="PB70" s="108"/>
      <c r="PC70" s="108"/>
      <c r="PD70" s="108"/>
      <c r="PE70" s="108"/>
      <c r="PF70" s="108"/>
      <c r="PG70" s="108"/>
      <c r="PH70" s="108"/>
      <c r="PI70" s="108"/>
      <c r="PJ70" s="108"/>
      <c r="PK70" s="108"/>
      <c r="PL70" s="108"/>
      <c r="PM70" s="108"/>
      <c r="PN70" s="108"/>
      <c r="PO70" s="108"/>
      <c r="PP70" s="108"/>
      <c r="PQ70" s="108"/>
      <c r="PR70" s="108"/>
      <c r="PS70" s="108"/>
      <c r="PT70" s="108"/>
      <c r="PU70" s="108"/>
      <c r="PV70" s="108"/>
      <c r="PW70" s="108"/>
      <c r="PX70" s="108"/>
      <c r="PY70" s="108"/>
      <c r="PZ70" s="108"/>
      <c r="QA70" s="108"/>
      <c r="QB70" s="108"/>
      <c r="QC70" s="108"/>
      <c r="QD70" s="108"/>
      <c r="QE70" s="108"/>
      <c r="QF70" s="108"/>
      <c r="QG70" s="108"/>
      <c r="QH70" s="108"/>
      <c r="QI70" s="108"/>
      <c r="QJ70" s="108"/>
      <c r="QK70" s="108"/>
      <c r="QL70" s="108"/>
      <c r="QM70" s="108"/>
      <c r="QN70" s="108"/>
      <c r="QO70" s="108"/>
      <c r="QP70" s="108"/>
      <c r="QQ70" s="108"/>
      <c r="QR70" s="108"/>
      <c r="QS70" s="108"/>
      <c r="QT70" s="108"/>
      <c r="QU70" s="108"/>
      <c r="QV70" s="108"/>
      <c r="QW70" s="108"/>
      <c r="QX70" s="108"/>
      <c r="QY70" s="108"/>
      <c r="QZ70" s="108"/>
      <c r="RA70" s="108"/>
      <c r="RB70" s="108"/>
      <c r="RC70" s="108"/>
      <c r="RD70" s="108"/>
      <c r="RE70" s="108"/>
      <c r="RF70" s="108"/>
      <c r="RG70" s="108"/>
      <c r="RH70" s="108"/>
      <c r="RI70" s="108"/>
      <c r="RJ70" s="108"/>
      <c r="RK70" s="108"/>
      <c r="RL70" s="108"/>
      <c r="RM70" s="108"/>
      <c r="RN70" s="108"/>
      <c r="RO70" s="108"/>
      <c r="RP70" s="108"/>
      <c r="RQ70" s="108"/>
      <c r="RR70" s="108"/>
      <c r="RS70" s="108"/>
      <c r="RT70" s="108"/>
      <c r="RU70" s="108"/>
      <c r="RV70" s="108"/>
      <c r="RW70" s="108"/>
      <c r="RX70" s="108"/>
      <c r="RY70" s="108"/>
      <c r="RZ70" s="108"/>
      <c r="SA70" s="108"/>
      <c r="SB70" s="108"/>
      <c r="SC70" s="108"/>
      <c r="SD70" s="108"/>
      <c r="SE70" s="108"/>
      <c r="SF70" s="108"/>
      <c r="SG70" s="108"/>
      <c r="SH70" s="108"/>
      <c r="SI70" s="108"/>
      <c r="SJ70" s="108"/>
      <c r="SK70" s="108"/>
      <c r="SL70" s="108"/>
      <c r="SM70" s="108"/>
      <c r="SN70" s="108"/>
      <c r="SO70" s="108"/>
      <c r="SP70" s="108"/>
      <c r="SQ70" s="108"/>
      <c r="SR70" s="108"/>
      <c r="SS70" s="108"/>
      <c r="ST70" s="108"/>
      <c r="SU70" s="108"/>
      <c r="SV70" s="108"/>
      <c r="SW70" s="108"/>
      <c r="SX70" s="108"/>
      <c r="SY70" s="108"/>
      <c r="SZ70" s="108"/>
      <c r="TA70" s="108"/>
      <c r="TB70" s="108"/>
      <c r="TC70" s="108"/>
      <c r="TD70" s="108"/>
      <c r="TE70" s="108"/>
      <c r="TF70" s="108"/>
      <c r="TG70" s="108"/>
      <c r="TH70" s="108"/>
      <c r="TI70" s="108"/>
      <c r="TJ70" s="108"/>
      <c r="TK70" s="108"/>
      <c r="TL70" s="108"/>
      <c r="TM70" s="108"/>
      <c r="TN70" s="108"/>
      <c r="TO70" s="108"/>
      <c r="TP70" s="108"/>
      <c r="TQ70" s="108"/>
      <c r="TR70" s="108"/>
      <c r="TS70" s="108"/>
      <c r="TT70" s="108"/>
      <c r="TU70" s="108"/>
      <c r="TV70" s="108"/>
      <c r="TW70" s="108"/>
      <c r="TX70" s="108"/>
      <c r="TY70" s="108"/>
      <c r="TZ70" s="108"/>
      <c r="UA70" s="108"/>
      <c r="UB70" s="108"/>
      <c r="UC70" s="108"/>
      <c r="UD70" s="108"/>
      <c r="UE70" s="108"/>
      <c r="UF70" s="108"/>
      <c r="UG70" s="108"/>
      <c r="UH70" s="108"/>
      <c r="UI70" s="108"/>
      <c r="UJ70" s="108"/>
      <c r="UK70" s="108"/>
      <c r="UL70" s="108"/>
      <c r="UM70" s="108"/>
      <c r="UN70" s="108"/>
      <c r="UO70" s="108"/>
      <c r="UP70" s="108"/>
      <c r="UQ70" s="108"/>
      <c r="UR70" s="108"/>
      <c r="US70" s="108"/>
      <c r="UT70" s="108"/>
      <c r="UU70" s="108"/>
      <c r="UV70" s="108"/>
      <c r="UW70" s="108"/>
      <c r="UX70" s="108"/>
      <c r="UY70" s="108"/>
      <c r="UZ70" s="108"/>
      <c r="VA70" s="108"/>
      <c r="VB70" s="108"/>
      <c r="VC70" s="108"/>
      <c r="VD70" s="108"/>
      <c r="VE70" s="108"/>
      <c r="VF70" s="108"/>
      <c r="VG70" s="108"/>
      <c r="VH70" s="108"/>
      <c r="VI70" s="108"/>
      <c r="VJ70" s="108"/>
      <c r="VK70" s="108"/>
      <c r="VL70" s="108"/>
      <c r="VM70" s="108"/>
      <c r="VN70" s="108"/>
      <c r="VO70" s="108"/>
      <c r="VP70" s="108"/>
      <c r="VQ70" s="108"/>
      <c r="VR70" s="108"/>
      <c r="VS70" s="108"/>
      <c r="VT70" s="108"/>
      <c r="VU70" s="108"/>
      <c r="VV70" s="108"/>
      <c r="VW70" s="108"/>
      <c r="VX70" s="108"/>
      <c r="VY70" s="108"/>
      <c r="VZ70" s="108"/>
      <c r="WA70" s="108"/>
      <c r="WB70" s="108"/>
      <c r="WC70" s="108"/>
      <c r="WD70" s="108"/>
      <c r="WE70" s="108"/>
      <c r="WF70" s="108"/>
      <c r="WG70" s="108"/>
      <c r="WH70" s="108"/>
      <c r="WI70" s="108"/>
      <c r="WJ70" s="108"/>
      <c r="WK70" s="108"/>
      <c r="WL70" s="108"/>
      <c r="WM70" s="108"/>
      <c r="WN70" s="108"/>
      <c r="WO70" s="108"/>
      <c r="WP70" s="108"/>
      <c r="WQ70" s="108"/>
      <c r="WR70" s="108"/>
      <c r="WS70" s="108"/>
      <c r="WT70" s="108"/>
      <c r="WU70" s="108"/>
      <c r="WV70" s="108"/>
      <c r="WW70" s="108"/>
      <c r="WX70" s="108"/>
      <c r="WY70" s="108"/>
      <c r="WZ70" s="108"/>
      <c r="XA70" s="108"/>
      <c r="XB70" s="108"/>
      <c r="XC70" s="108"/>
      <c r="XD70" s="108"/>
      <c r="XE70" s="108"/>
      <c r="XF70" s="108"/>
      <c r="XG70" s="108"/>
      <c r="XH70" s="108"/>
      <c r="XI70" s="108"/>
      <c r="XJ70" s="108"/>
      <c r="XK70" s="108"/>
      <c r="XL70" s="108"/>
      <c r="XM70" s="108"/>
      <c r="XN70" s="108"/>
      <c r="XO70" s="108"/>
      <c r="XP70" s="108"/>
      <c r="XQ70" s="108"/>
      <c r="XR70" s="108"/>
      <c r="XS70" s="108"/>
      <c r="XT70" s="108"/>
      <c r="XU70" s="108"/>
      <c r="XV70" s="108"/>
      <c r="XW70" s="108"/>
      <c r="XX70" s="108"/>
      <c r="XY70" s="108"/>
      <c r="XZ70" s="108"/>
      <c r="YA70" s="108"/>
      <c r="YB70" s="108"/>
      <c r="YC70" s="108"/>
      <c r="YD70" s="108"/>
      <c r="YE70" s="108"/>
      <c r="YF70" s="108"/>
      <c r="YG70" s="108"/>
      <c r="YH70" s="108"/>
      <c r="YI70" s="108"/>
      <c r="YJ70" s="108"/>
      <c r="YK70" s="108"/>
      <c r="YL70" s="108"/>
      <c r="YM70" s="108"/>
      <c r="YN70" s="108"/>
      <c r="YO70" s="108"/>
      <c r="YP70" s="108"/>
      <c r="YQ70" s="108"/>
      <c r="YR70" s="108"/>
      <c r="YS70" s="108"/>
      <c r="YT70" s="108"/>
      <c r="YU70" s="108"/>
      <c r="YV70" s="108"/>
      <c r="YW70" s="108"/>
      <c r="YX70" s="108"/>
      <c r="YY70" s="108"/>
      <c r="YZ70" s="108"/>
      <c r="ZA70" s="108"/>
      <c r="ZB70" s="108"/>
      <c r="ZC70" s="108"/>
      <c r="ZD70" s="108"/>
      <c r="ZE70" s="108"/>
      <c r="ZF70" s="108"/>
      <c r="ZG70" s="108"/>
      <c r="ZH70" s="108"/>
      <c r="ZI70" s="108"/>
      <c r="ZJ70" s="108"/>
      <c r="ZK70" s="108"/>
      <c r="ZL70" s="108"/>
      <c r="ZM70" s="108"/>
      <c r="ZN70" s="108"/>
      <c r="ZO70" s="108"/>
      <c r="ZP70" s="108"/>
      <c r="ZQ70" s="108"/>
      <c r="ZR70" s="108"/>
      <c r="ZS70" s="108"/>
      <c r="ZT70" s="108"/>
      <c r="ZU70" s="108"/>
      <c r="ZV70" s="108"/>
      <c r="ZW70" s="108"/>
      <c r="ZX70" s="108"/>
      <c r="ZY70" s="108"/>
      <c r="ZZ70" s="108"/>
      <c r="AAA70" s="108"/>
      <c r="AAB70" s="108"/>
      <c r="AAC70" s="108"/>
      <c r="AAD70" s="108"/>
      <c r="AAE70" s="108"/>
      <c r="AAF70" s="108"/>
      <c r="AAG70" s="108"/>
      <c r="AAH70" s="108"/>
      <c r="AAI70" s="108"/>
      <c r="AAJ70" s="108"/>
      <c r="AAK70" s="108"/>
      <c r="AAL70" s="108"/>
      <c r="AAM70" s="108"/>
      <c r="AAN70" s="108"/>
      <c r="AAO70" s="108"/>
      <c r="AAP70" s="108"/>
      <c r="AAQ70" s="108"/>
      <c r="AAR70" s="108"/>
      <c r="AAS70" s="108"/>
      <c r="AAT70" s="108"/>
      <c r="AAU70" s="108"/>
      <c r="AAV70" s="108"/>
      <c r="AAW70" s="108"/>
      <c r="AAX70" s="108"/>
      <c r="AAY70" s="108"/>
      <c r="AAZ70" s="108"/>
      <c r="ABA70" s="108"/>
      <c r="ABB70" s="108"/>
      <c r="ABC70" s="108"/>
      <c r="ABD70" s="108"/>
      <c r="ABE70" s="108"/>
      <c r="ABF70" s="108"/>
      <c r="ABG70" s="108"/>
      <c r="ABH70" s="108"/>
      <c r="ABI70" s="108"/>
      <c r="ABJ70" s="108"/>
      <c r="ABK70" s="108"/>
      <c r="ABL70" s="108"/>
      <c r="ABM70" s="108"/>
      <c r="ABN70" s="108"/>
      <c r="ABO70" s="108"/>
      <c r="ABP70" s="108"/>
      <c r="ABQ70" s="108"/>
      <c r="ABR70" s="108"/>
      <c r="ABS70" s="108"/>
      <c r="ABT70" s="108"/>
      <c r="ABU70" s="108"/>
      <c r="ABV70" s="108"/>
      <c r="ABW70" s="108"/>
      <c r="ABX70" s="108"/>
      <c r="ABY70" s="108"/>
      <c r="ABZ70" s="108"/>
      <c r="ACA70" s="108"/>
      <c r="ACB70" s="108"/>
      <c r="ACC70" s="108"/>
      <c r="ACD70" s="108"/>
      <c r="ACE70" s="108"/>
      <c r="ACF70" s="108"/>
      <c r="ACG70" s="108"/>
      <c r="ACH70" s="108"/>
      <c r="ACI70" s="108"/>
      <c r="ACJ70" s="108"/>
      <c r="ACK70" s="108"/>
      <c r="ACL70" s="108"/>
      <c r="ACM70" s="108"/>
      <c r="ACN70" s="108"/>
      <c r="ACO70" s="108"/>
      <c r="ACP70" s="108"/>
      <c r="ACQ70" s="108"/>
      <c r="ACR70" s="108"/>
      <c r="ACS70" s="108"/>
      <c r="ACT70" s="108"/>
      <c r="ACU70" s="108"/>
      <c r="ACV70" s="108"/>
      <c r="ACW70" s="108"/>
      <c r="ACX70" s="108"/>
      <c r="ACY70" s="108"/>
      <c r="ACZ70" s="108"/>
      <c r="ADA70" s="108"/>
      <c r="ADB70" s="108"/>
      <c r="ADC70" s="108"/>
      <c r="ADD70" s="108"/>
      <c r="ADE70" s="108"/>
      <c r="ADF70" s="108"/>
      <c r="ADG70" s="108"/>
      <c r="ADH70" s="108"/>
      <c r="ADI70" s="108"/>
      <c r="ADJ70" s="108"/>
      <c r="ADK70" s="108"/>
      <c r="ADL70" s="108"/>
      <c r="ADM70" s="108"/>
      <c r="ADN70" s="108"/>
      <c r="ADO70" s="108"/>
      <c r="ADP70" s="108"/>
      <c r="ADQ70" s="108"/>
      <c r="ADR70" s="108"/>
      <c r="ADS70" s="108"/>
      <c r="ADT70" s="108"/>
      <c r="ADU70" s="108"/>
      <c r="ADV70" s="108"/>
      <c r="ADW70" s="108"/>
      <c r="ADX70" s="108"/>
      <c r="ADY70" s="108"/>
      <c r="ADZ70" s="108"/>
      <c r="AEA70" s="108"/>
      <c r="AEB70" s="108"/>
      <c r="AEC70" s="108"/>
      <c r="AED70" s="108"/>
      <c r="AEE70" s="108"/>
      <c r="AEF70" s="108"/>
      <c r="AEG70" s="108"/>
      <c r="AEH70" s="108"/>
      <c r="AEI70" s="108"/>
      <c r="AEJ70" s="108"/>
      <c r="AEK70" s="108"/>
      <c r="AEL70" s="108"/>
      <c r="AEM70" s="108"/>
      <c r="AEN70" s="108"/>
      <c r="AEO70" s="108"/>
      <c r="AEP70" s="108"/>
      <c r="AEQ70" s="108"/>
      <c r="AER70" s="108"/>
      <c r="AES70" s="108"/>
      <c r="AET70" s="108"/>
      <c r="AEU70" s="108"/>
      <c r="AEV70" s="108"/>
      <c r="AEW70" s="108"/>
      <c r="AEX70" s="108"/>
      <c r="AEY70" s="108"/>
      <c r="AEZ70" s="108"/>
      <c r="AFA70" s="108"/>
      <c r="AFB70" s="108"/>
      <c r="AFC70" s="108"/>
      <c r="AFD70" s="108"/>
      <c r="AFE70" s="108"/>
      <c r="AFF70" s="108"/>
      <c r="AFG70" s="108"/>
      <c r="AFH70" s="108"/>
      <c r="AFI70" s="108"/>
      <c r="AFJ70" s="108"/>
      <c r="AFK70" s="108"/>
      <c r="AFL70" s="108"/>
      <c r="AFM70" s="108"/>
      <c r="AFN70" s="108"/>
      <c r="AFO70" s="108"/>
      <c r="AFP70" s="108"/>
      <c r="AFQ70" s="108"/>
      <c r="AFR70" s="108"/>
      <c r="AFS70" s="108"/>
      <c r="AFT70" s="108"/>
      <c r="AFU70" s="108"/>
      <c r="AFV70" s="108"/>
      <c r="AFW70" s="108"/>
      <c r="AFX70" s="108"/>
      <c r="AFY70" s="108"/>
      <c r="AFZ70" s="108"/>
      <c r="AGA70" s="108"/>
      <c r="AGB70" s="108"/>
      <c r="AGC70" s="108"/>
      <c r="AGD70" s="108"/>
      <c r="AGE70" s="108"/>
      <c r="AGF70" s="108"/>
      <c r="AGG70" s="108"/>
      <c r="AGH70" s="108"/>
      <c r="AGI70" s="108"/>
      <c r="AGJ70" s="108"/>
      <c r="AGK70" s="108"/>
      <c r="AGL70" s="108"/>
      <c r="AGM70" s="108"/>
      <c r="AGN70" s="108"/>
      <c r="AGO70" s="108"/>
      <c r="AGP70" s="108"/>
      <c r="AGQ70" s="108"/>
      <c r="AGR70" s="108"/>
      <c r="AGS70" s="108"/>
      <c r="AGT70" s="108"/>
      <c r="AGU70" s="108"/>
      <c r="AGV70" s="108"/>
      <c r="AGW70" s="108"/>
      <c r="AGX70" s="108"/>
      <c r="AGY70" s="108"/>
      <c r="AGZ70" s="108"/>
      <c r="AHA70" s="108"/>
      <c r="AHB70" s="108"/>
      <c r="AHC70" s="108"/>
      <c r="AHD70" s="108"/>
      <c r="AHE70" s="108"/>
      <c r="AHF70" s="108"/>
      <c r="AHG70" s="108"/>
      <c r="AHH70" s="108"/>
      <c r="AHI70" s="108"/>
      <c r="AHJ70" s="108"/>
      <c r="AHK70" s="108"/>
      <c r="AHL70" s="108"/>
      <c r="AHM70" s="108"/>
      <c r="AHN70" s="108"/>
      <c r="AHO70" s="108"/>
      <c r="AHP70" s="108"/>
      <c r="AHQ70" s="108"/>
      <c r="AHR70" s="108"/>
      <c r="AHS70" s="108"/>
      <c r="AHT70" s="108"/>
      <c r="AHU70" s="108"/>
      <c r="AHV70" s="108"/>
      <c r="AHW70" s="108"/>
      <c r="AHX70" s="108"/>
      <c r="AHY70" s="108"/>
      <c r="AHZ70" s="108"/>
      <c r="AIA70" s="108"/>
      <c r="AIB70" s="108"/>
      <c r="AIC70" s="108"/>
      <c r="AID70" s="108"/>
      <c r="AIE70" s="108"/>
      <c r="AIF70" s="108"/>
      <c r="AIG70" s="108"/>
      <c r="AIH70" s="108"/>
      <c r="AII70" s="108"/>
      <c r="AIJ70" s="108"/>
      <c r="AIK70" s="108"/>
      <c r="AIL70" s="108"/>
      <c r="AIM70" s="108"/>
      <c r="AIN70" s="108"/>
      <c r="AIO70" s="108"/>
      <c r="AIP70" s="108"/>
      <c r="AIQ70" s="108"/>
      <c r="AIR70" s="108"/>
      <c r="AIS70" s="108"/>
      <c r="AIT70" s="108"/>
      <c r="AIU70" s="108"/>
      <c r="AIV70" s="108"/>
      <c r="AIW70" s="108"/>
      <c r="AIX70" s="108"/>
      <c r="AIY70" s="108"/>
      <c r="AIZ70" s="108"/>
      <c r="AJA70" s="108"/>
      <c r="AJB70" s="108"/>
      <c r="AJC70" s="108"/>
      <c r="AJD70" s="108"/>
      <c r="AJE70" s="108"/>
      <c r="AJF70" s="108"/>
      <c r="AJG70" s="108"/>
      <c r="AJH70" s="108"/>
      <c r="AJI70" s="108"/>
      <c r="AJJ70" s="108"/>
      <c r="AJK70" s="108"/>
      <c r="AJL70" s="108"/>
      <c r="AJM70" s="108"/>
      <c r="AJN70" s="108"/>
      <c r="AJO70" s="108"/>
      <c r="AJP70" s="108"/>
      <c r="AJQ70" s="108"/>
      <c r="AJR70" s="108"/>
      <c r="AJS70" s="108"/>
      <c r="AJT70" s="108"/>
      <c r="AJU70" s="108"/>
      <c r="AJV70" s="108"/>
      <c r="AJW70" s="108"/>
      <c r="AJX70" s="108"/>
      <c r="AJY70" s="108"/>
      <c r="AJZ70" s="108"/>
      <c r="AKA70" s="108"/>
      <c r="AKB70" s="108"/>
      <c r="AKC70" s="108"/>
      <c r="AKD70" s="108"/>
      <c r="AKE70" s="108"/>
      <c r="AKF70" s="108"/>
      <c r="AKG70" s="108"/>
      <c r="AKH70" s="108"/>
      <c r="AKI70" s="108"/>
      <c r="AKJ70" s="108"/>
      <c r="AKK70" s="108"/>
      <c r="AKL70" s="108"/>
      <c r="AKM70" s="108"/>
      <c r="AKN70" s="108"/>
      <c r="AKO70" s="108"/>
      <c r="AKP70" s="108"/>
      <c r="AKQ70" s="108"/>
      <c r="AKR70" s="108"/>
      <c r="AKS70" s="108"/>
      <c r="AKT70" s="108"/>
      <c r="AKU70" s="108"/>
      <c r="AKV70" s="108"/>
      <c r="AKW70" s="108"/>
      <c r="AKX70" s="108"/>
      <c r="AKY70" s="108"/>
      <c r="AKZ70" s="108"/>
      <c r="ALA70" s="108"/>
      <c r="ALB70" s="108"/>
      <c r="ALC70" s="108"/>
      <c r="ALD70" s="108"/>
      <c r="ALE70" s="108"/>
      <c r="ALF70" s="108"/>
      <c r="ALG70" s="108"/>
      <c r="ALH70" s="108"/>
      <c r="ALI70" s="108"/>
      <c r="ALJ70" s="108"/>
      <c r="ALK70" s="108"/>
      <c r="ALL70" s="108"/>
      <c r="ALM70" s="108"/>
      <c r="ALN70" s="108"/>
      <c r="ALO70" s="108"/>
      <c r="ALP70" s="108"/>
      <c r="ALQ70" s="108"/>
      <c r="ALR70" s="108"/>
      <c r="ALS70" s="108"/>
      <c r="ALT70" s="108"/>
      <c r="ALU70" s="108"/>
      <c r="ALV70" s="108"/>
      <c r="ALW70" s="108"/>
      <c r="ALX70" s="108"/>
      <c r="ALY70" s="108"/>
      <c r="ALZ70" s="108"/>
      <c r="AMA70" s="108"/>
      <c r="AMB70" s="108"/>
      <c r="AMC70" s="108"/>
      <c r="AMD70" s="108"/>
      <c r="AME70" s="108"/>
      <c r="AMF70" s="108"/>
      <c r="AMG70" s="108"/>
      <c r="AMH70" s="108"/>
      <c r="AMI70" s="108"/>
      <c r="AMJ70" s="108"/>
    </row>
    <row r="71" customFormat="false" ht="15" hidden="false" customHeight="false" outlineLevel="0" collapsed="false">
      <c r="A71" s="140"/>
      <c r="B71" s="132" t="s">
        <v>101</v>
      </c>
    </row>
    <row r="72" customFormat="false" ht="18" hidden="false" customHeight="true" outlineLevel="0" collapsed="false">
      <c r="B72" s="140" t="s">
        <v>155</v>
      </c>
      <c r="C72" s="144" t="s">
        <v>156</v>
      </c>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c r="DL72" s="144"/>
      <c r="DM72" s="144"/>
      <c r="DN72" s="144"/>
      <c r="DO72" s="144"/>
      <c r="DP72" s="144"/>
      <c r="DQ72" s="144"/>
      <c r="DR72" s="144"/>
      <c r="DS72" s="144"/>
      <c r="DT72" s="144"/>
      <c r="DU72" s="144"/>
      <c r="DV72" s="144"/>
      <c r="DW72" s="144"/>
      <c r="DX72" s="144"/>
      <c r="DY72" s="144"/>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c r="GT72" s="144"/>
      <c r="GU72" s="144"/>
      <c r="GV72" s="144"/>
      <c r="GW72" s="144"/>
      <c r="GX72" s="144"/>
      <c r="GY72" s="144"/>
      <c r="GZ72" s="144"/>
      <c r="HA72" s="144"/>
      <c r="HB72" s="144"/>
      <c r="HC72" s="144"/>
      <c r="HD72" s="144"/>
      <c r="HE72" s="144"/>
      <c r="HF72" s="144"/>
      <c r="HG72" s="144"/>
      <c r="HH72" s="144"/>
      <c r="HI72" s="144"/>
      <c r="HJ72" s="144"/>
      <c r="HK72" s="144"/>
      <c r="HL72" s="144"/>
      <c r="HM72" s="144"/>
      <c r="HN72" s="144"/>
      <c r="HO72" s="144"/>
      <c r="HP72" s="144"/>
      <c r="HQ72" s="144"/>
      <c r="HR72" s="144"/>
      <c r="HS72" s="144"/>
      <c r="HT72" s="144"/>
      <c r="HU72" s="144"/>
      <c r="HV72" s="144"/>
      <c r="HW72" s="144"/>
      <c r="HX72" s="144"/>
      <c r="HY72" s="144"/>
      <c r="HZ72" s="144"/>
      <c r="IA72" s="144"/>
      <c r="IB72" s="144"/>
      <c r="IC72" s="144"/>
      <c r="ID72" s="144"/>
      <c r="IE72" s="144"/>
      <c r="IF72" s="144"/>
      <c r="IG72" s="144"/>
      <c r="IH72" s="144"/>
      <c r="II72" s="144"/>
      <c r="IJ72" s="144"/>
      <c r="IK72" s="144"/>
      <c r="IL72" s="144"/>
      <c r="IM72" s="144"/>
      <c r="IN72" s="144"/>
      <c r="IO72" s="144"/>
      <c r="IP72" s="144"/>
      <c r="IQ72" s="144"/>
      <c r="IR72" s="144"/>
      <c r="IS72" s="144"/>
      <c r="IT72" s="144"/>
      <c r="IU72" s="144"/>
      <c r="IV72" s="144"/>
      <c r="IW72" s="144"/>
      <c r="IX72" s="144"/>
      <c r="IY72" s="144"/>
      <c r="IZ72" s="144"/>
      <c r="JA72" s="144"/>
      <c r="JB72" s="144"/>
      <c r="JC72" s="144"/>
      <c r="JD72" s="144"/>
      <c r="JE72" s="144"/>
      <c r="JF72" s="144"/>
      <c r="JG72" s="144"/>
      <c r="JH72" s="144"/>
      <c r="JI72" s="144"/>
      <c r="JJ72" s="144"/>
      <c r="JK72" s="144"/>
      <c r="JL72" s="144"/>
      <c r="JM72" s="144"/>
      <c r="JN72" s="144"/>
      <c r="JO72" s="144"/>
      <c r="JP72" s="144"/>
      <c r="JQ72" s="144"/>
      <c r="JR72" s="144"/>
      <c r="JS72" s="144"/>
      <c r="JT72" s="144"/>
      <c r="JU72" s="144"/>
      <c r="JV72" s="144"/>
      <c r="JW72" s="144"/>
      <c r="JX72" s="144"/>
      <c r="JY72" s="144"/>
      <c r="JZ72" s="144"/>
      <c r="KA72" s="144"/>
      <c r="KB72" s="144"/>
      <c r="KC72" s="144"/>
      <c r="KD72" s="144"/>
      <c r="KE72" s="144"/>
      <c r="KF72" s="144"/>
      <c r="KG72" s="144"/>
      <c r="KH72" s="144"/>
      <c r="KI72" s="144"/>
      <c r="KJ72" s="144"/>
      <c r="KK72" s="144"/>
      <c r="KL72" s="144"/>
      <c r="KM72" s="144"/>
      <c r="KN72" s="144"/>
      <c r="KO72" s="144"/>
      <c r="KP72" s="144"/>
      <c r="KQ72" s="144"/>
      <c r="KR72" s="144"/>
      <c r="KS72" s="144"/>
      <c r="KT72" s="144"/>
      <c r="KU72" s="144"/>
      <c r="KV72" s="144"/>
      <c r="KW72" s="144"/>
      <c r="KX72" s="144"/>
      <c r="KY72" s="144"/>
      <c r="KZ72" s="144"/>
      <c r="LA72" s="144"/>
      <c r="LB72" s="144"/>
      <c r="LC72" s="144"/>
      <c r="LD72" s="144"/>
      <c r="LE72" s="144"/>
      <c r="LF72" s="144"/>
      <c r="LG72" s="144"/>
      <c r="LH72" s="144"/>
      <c r="LI72" s="144"/>
      <c r="LJ72" s="144"/>
      <c r="LK72" s="144"/>
      <c r="LL72" s="144"/>
      <c r="LM72" s="144"/>
      <c r="LN72" s="144"/>
      <c r="LO72" s="144"/>
      <c r="LP72" s="144"/>
      <c r="LQ72" s="144"/>
      <c r="LR72" s="144"/>
      <c r="LS72" s="144"/>
      <c r="LT72" s="144"/>
      <c r="LU72" s="144"/>
      <c r="LV72" s="144"/>
      <c r="LW72" s="144"/>
      <c r="LX72" s="144"/>
      <c r="LY72" s="144"/>
      <c r="LZ72" s="144"/>
      <c r="MA72" s="144"/>
      <c r="MB72" s="144"/>
      <c r="MC72" s="144"/>
      <c r="MD72" s="144"/>
      <c r="ME72" s="144"/>
      <c r="MF72" s="144"/>
      <c r="MG72" s="144"/>
      <c r="MH72" s="144"/>
      <c r="MI72" s="144"/>
      <c r="MJ72" s="144"/>
      <c r="MK72" s="144"/>
      <c r="ML72" s="144"/>
      <c r="MM72" s="144"/>
      <c r="MN72" s="144"/>
      <c r="MO72" s="144"/>
      <c r="MP72" s="144"/>
      <c r="MQ72" s="144"/>
      <c r="MR72" s="144"/>
      <c r="MS72" s="144"/>
      <c r="MT72" s="144"/>
      <c r="MU72" s="144"/>
      <c r="MV72" s="144"/>
      <c r="MW72" s="144"/>
      <c r="MX72" s="144"/>
      <c r="MY72" s="144"/>
      <c r="MZ72" s="144"/>
      <c r="NA72" s="144"/>
      <c r="NB72" s="144"/>
      <c r="NC72" s="144"/>
      <c r="ND72" s="144"/>
      <c r="NE72" s="144"/>
      <c r="NF72" s="144"/>
      <c r="NG72" s="144"/>
      <c r="NH72" s="144"/>
      <c r="NI72" s="144"/>
      <c r="NJ72" s="144"/>
      <c r="NK72" s="144"/>
      <c r="NL72" s="144"/>
      <c r="NM72" s="144"/>
      <c r="NN72" s="144"/>
      <c r="NO72" s="144"/>
      <c r="NP72" s="144"/>
      <c r="NQ72" s="144"/>
      <c r="NR72" s="144"/>
      <c r="NS72" s="144"/>
      <c r="NT72" s="144"/>
      <c r="NU72" s="144"/>
      <c r="NV72" s="144"/>
      <c r="NW72" s="144"/>
      <c r="NX72" s="144"/>
      <c r="NY72" s="144"/>
      <c r="NZ72" s="144"/>
      <c r="OA72" s="144"/>
      <c r="OB72" s="144"/>
      <c r="OC72" s="144"/>
      <c r="OD72" s="144"/>
      <c r="OE72" s="144"/>
      <c r="OF72" s="144"/>
      <c r="OG72" s="144"/>
      <c r="OH72" s="144"/>
      <c r="OI72" s="144"/>
      <c r="OJ72" s="144"/>
      <c r="OK72" s="144"/>
      <c r="OL72" s="144"/>
      <c r="OM72" s="144"/>
      <c r="ON72" s="144"/>
      <c r="OO72" s="144"/>
      <c r="OP72" s="144"/>
      <c r="OQ72" s="144"/>
      <c r="OR72" s="144"/>
      <c r="OS72" s="144"/>
      <c r="OT72" s="144"/>
      <c r="OU72" s="144"/>
      <c r="OV72" s="144"/>
      <c r="OW72" s="144"/>
      <c r="OX72" s="144"/>
      <c r="OY72" s="144"/>
      <c r="OZ72" s="144"/>
      <c r="PA72" s="144"/>
      <c r="PB72" s="144"/>
      <c r="PC72" s="144"/>
      <c r="PD72" s="144"/>
      <c r="PE72" s="144"/>
      <c r="PF72" s="144"/>
      <c r="PG72" s="144"/>
      <c r="PH72" s="144"/>
      <c r="PI72" s="144"/>
      <c r="PJ72" s="144"/>
      <c r="PK72" s="144"/>
      <c r="PL72" s="144"/>
      <c r="PM72" s="144"/>
      <c r="PN72" s="144"/>
      <c r="PO72" s="144"/>
      <c r="PP72" s="144"/>
      <c r="PQ72" s="144"/>
      <c r="PR72" s="144"/>
      <c r="PS72" s="144"/>
      <c r="PT72" s="144"/>
      <c r="PU72" s="144"/>
      <c r="PV72" s="144"/>
      <c r="PW72" s="144"/>
      <c r="PX72" s="144"/>
      <c r="PY72" s="144"/>
      <c r="PZ72" s="144"/>
      <c r="QA72" s="144"/>
      <c r="QB72" s="144"/>
      <c r="QC72" s="144"/>
      <c r="QD72" s="144"/>
      <c r="QE72" s="144"/>
      <c r="QF72" s="144"/>
      <c r="QG72" s="144"/>
      <c r="QH72" s="144"/>
      <c r="QI72" s="144"/>
      <c r="QJ72" s="144"/>
      <c r="QK72" s="144"/>
      <c r="QL72" s="144"/>
      <c r="QM72" s="144"/>
      <c r="QN72" s="144"/>
      <c r="QO72" s="144"/>
      <c r="QP72" s="144"/>
      <c r="QQ72" s="144"/>
      <c r="QR72" s="144"/>
      <c r="QS72" s="144"/>
      <c r="QT72" s="144"/>
      <c r="QU72" s="144"/>
      <c r="QV72" s="144"/>
      <c r="QW72" s="144"/>
      <c r="QX72" s="144"/>
      <c r="QY72" s="144"/>
      <c r="QZ72" s="144"/>
      <c r="RA72" s="144"/>
      <c r="RB72" s="144"/>
      <c r="RC72" s="144"/>
      <c r="RD72" s="144"/>
      <c r="RE72" s="144"/>
      <c r="RF72" s="144"/>
      <c r="RG72" s="144"/>
      <c r="RH72" s="144"/>
      <c r="RI72" s="144"/>
      <c r="RJ72" s="144"/>
      <c r="RK72" s="144"/>
      <c r="RL72" s="144"/>
      <c r="RM72" s="144"/>
      <c r="RN72" s="144"/>
      <c r="RO72" s="144"/>
      <c r="RP72" s="144"/>
      <c r="RQ72" s="144"/>
      <c r="RR72" s="144"/>
      <c r="RS72" s="144"/>
      <c r="RT72" s="144"/>
      <c r="RU72" s="144"/>
      <c r="RV72" s="144"/>
      <c r="RW72" s="144"/>
      <c r="RX72" s="144"/>
      <c r="RY72" s="144"/>
      <c r="RZ72" s="144"/>
      <c r="SA72" s="144"/>
      <c r="SB72" s="144"/>
      <c r="SC72" s="144"/>
      <c r="SD72" s="144"/>
      <c r="SE72" s="144"/>
      <c r="SF72" s="144"/>
      <c r="SG72" s="144"/>
      <c r="SH72" s="144"/>
      <c r="SI72" s="144"/>
      <c r="SJ72" s="144"/>
      <c r="SK72" s="144"/>
      <c r="SL72" s="144"/>
      <c r="SM72" s="144"/>
      <c r="SN72" s="144"/>
      <c r="SO72" s="144"/>
      <c r="SP72" s="144"/>
      <c r="SQ72" s="144"/>
      <c r="SR72" s="144"/>
      <c r="SS72" s="144"/>
      <c r="ST72" s="144"/>
      <c r="SU72" s="144"/>
      <c r="SV72" s="144"/>
      <c r="SW72" s="144"/>
      <c r="SX72" s="144"/>
      <c r="SY72" s="144"/>
      <c r="SZ72" s="144"/>
      <c r="TA72" s="144"/>
      <c r="TB72" s="144"/>
      <c r="TC72" s="144"/>
      <c r="TD72" s="144"/>
      <c r="TE72" s="144"/>
      <c r="TF72" s="144"/>
      <c r="TG72" s="144"/>
      <c r="TH72" s="144"/>
      <c r="TI72" s="144"/>
      <c r="TJ72" s="144"/>
      <c r="TK72" s="144"/>
      <c r="TL72" s="144"/>
      <c r="TM72" s="144"/>
      <c r="TN72" s="144"/>
      <c r="TO72" s="144"/>
      <c r="TP72" s="144"/>
      <c r="TQ72" s="144"/>
      <c r="TR72" s="144"/>
      <c r="TS72" s="144"/>
      <c r="TT72" s="144"/>
      <c r="TU72" s="144"/>
      <c r="TV72" s="144"/>
      <c r="TW72" s="144"/>
      <c r="TX72" s="144"/>
      <c r="TY72" s="144"/>
      <c r="TZ72" s="144"/>
      <c r="UA72" s="144"/>
      <c r="UB72" s="144"/>
      <c r="UC72" s="144"/>
      <c r="UD72" s="144"/>
      <c r="UE72" s="144"/>
      <c r="UF72" s="144"/>
      <c r="UG72" s="144"/>
      <c r="UH72" s="144"/>
      <c r="UI72" s="144"/>
      <c r="UJ72" s="144"/>
      <c r="UK72" s="144"/>
      <c r="UL72" s="144"/>
      <c r="UM72" s="144"/>
      <c r="UN72" s="144"/>
      <c r="UO72" s="144"/>
      <c r="UP72" s="144"/>
      <c r="UQ72" s="144"/>
      <c r="UR72" s="144"/>
      <c r="US72" s="144"/>
      <c r="UT72" s="144"/>
      <c r="UU72" s="144"/>
      <c r="UV72" s="144"/>
      <c r="UW72" s="144"/>
      <c r="UX72" s="144"/>
      <c r="UY72" s="144"/>
      <c r="UZ72" s="144"/>
      <c r="VA72" s="144"/>
      <c r="VB72" s="144"/>
      <c r="VC72" s="144"/>
      <c r="VD72" s="144"/>
      <c r="VE72" s="144"/>
      <c r="VF72" s="144"/>
      <c r="VG72" s="144"/>
      <c r="VH72" s="144"/>
      <c r="VI72" s="144"/>
      <c r="VJ72" s="144"/>
      <c r="VK72" s="144"/>
      <c r="VL72" s="144"/>
      <c r="VM72" s="144"/>
      <c r="VN72" s="144"/>
      <c r="VO72" s="144"/>
      <c r="VP72" s="144"/>
      <c r="VQ72" s="144"/>
      <c r="VR72" s="144"/>
      <c r="VS72" s="144"/>
      <c r="VT72" s="144"/>
      <c r="VU72" s="144"/>
      <c r="VV72" s="144"/>
      <c r="VW72" s="144"/>
      <c r="VX72" s="144"/>
      <c r="VY72" s="144"/>
      <c r="VZ72" s="144"/>
      <c r="WA72" s="144"/>
      <c r="WB72" s="144"/>
      <c r="WC72" s="144"/>
      <c r="WD72" s="144"/>
      <c r="WE72" s="144"/>
      <c r="WF72" s="144"/>
      <c r="WG72" s="144"/>
      <c r="WH72" s="144"/>
      <c r="WI72" s="144"/>
      <c r="WJ72" s="144"/>
      <c r="WK72" s="144"/>
      <c r="WL72" s="144"/>
      <c r="WM72" s="144"/>
      <c r="WN72" s="144"/>
      <c r="WO72" s="144"/>
      <c r="WP72" s="144"/>
      <c r="WQ72" s="144"/>
      <c r="WR72" s="144"/>
      <c r="WS72" s="144"/>
      <c r="WT72" s="144"/>
      <c r="WU72" s="144"/>
      <c r="WV72" s="144"/>
      <c r="WW72" s="144"/>
      <c r="WX72" s="144"/>
      <c r="WY72" s="144"/>
      <c r="WZ72" s="144"/>
      <c r="XA72" s="144"/>
      <c r="XB72" s="144"/>
      <c r="XC72" s="144"/>
      <c r="XD72" s="144"/>
      <c r="XE72" s="144"/>
      <c r="XF72" s="144"/>
      <c r="XG72" s="144"/>
      <c r="XH72" s="144"/>
      <c r="XI72" s="144"/>
      <c r="XJ72" s="144"/>
      <c r="XK72" s="144"/>
      <c r="XL72" s="144"/>
      <c r="XM72" s="144"/>
      <c r="XN72" s="144"/>
      <c r="XO72" s="144"/>
      <c r="XP72" s="144"/>
      <c r="XQ72" s="144"/>
      <c r="XR72" s="144"/>
      <c r="XS72" s="144"/>
      <c r="XT72" s="144"/>
      <c r="XU72" s="144"/>
      <c r="XV72" s="144"/>
      <c r="XW72" s="144"/>
      <c r="XX72" s="144"/>
      <c r="XY72" s="144"/>
      <c r="XZ72" s="144"/>
      <c r="YA72" s="144"/>
      <c r="YB72" s="144"/>
      <c r="YC72" s="144"/>
      <c r="YD72" s="144"/>
      <c r="YE72" s="144"/>
      <c r="YF72" s="144"/>
      <c r="YG72" s="144"/>
      <c r="YH72" s="144"/>
      <c r="YI72" s="144"/>
      <c r="YJ72" s="144"/>
      <c r="YK72" s="144"/>
      <c r="YL72" s="144"/>
      <c r="YM72" s="144"/>
      <c r="YN72" s="144"/>
      <c r="YO72" s="144"/>
      <c r="YP72" s="144"/>
      <c r="YQ72" s="144"/>
      <c r="YR72" s="144"/>
      <c r="YS72" s="144"/>
      <c r="YT72" s="144"/>
      <c r="YU72" s="144"/>
      <c r="YV72" s="144"/>
      <c r="YW72" s="144"/>
      <c r="YX72" s="144"/>
      <c r="YY72" s="144"/>
      <c r="YZ72" s="144"/>
      <c r="ZA72" s="144"/>
      <c r="ZB72" s="144"/>
      <c r="ZC72" s="144"/>
      <c r="ZD72" s="144"/>
      <c r="ZE72" s="144"/>
      <c r="ZF72" s="144"/>
      <c r="ZG72" s="144"/>
      <c r="ZH72" s="144"/>
      <c r="ZI72" s="144"/>
      <c r="ZJ72" s="144"/>
      <c r="ZK72" s="144"/>
      <c r="ZL72" s="144"/>
      <c r="ZM72" s="144"/>
      <c r="ZN72" s="144"/>
      <c r="ZO72" s="144"/>
      <c r="ZP72" s="144"/>
      <c r="ZQ72" s="144"/>
      <c r="ZR72" s="144"/>
      <c r="ZS72" s="144"/>
      <c r="ZT72" s="144"/>
      <c r="ZU72" s="144"/>
      <c r="ZV72" s="144"/>
      <c r="ZW72" s="144"/>
      <c r="ZX72" s="144"/>
      <c r="ZY72" s="144"/>
      <c r="ZZ72" s="144"/>
      <c r="AAA72" s="144"/>
      <c r="AAB72" s="144"/>
      <c r="AAC72" s="144"/>
      <c r="AAD72" s="144"/>
      <c r="AAE72" s="144"/>
      <c r="AAF72" s="144"/>
      <c r="AAG72" s="144"/>
      <c r="AAH72" s="144"/>
      <c r="AAI72" s="144"/>
      <c r="AAJ72" s="144"/>
      <c r="AAK72" s="144"/>
      <c r="AAL72" s="144"/>
      <c r="AAM72" s="144"/>
      <c r="AAN72" s="144"/>
      <c r="AAO72" s="144"/>
      <c r="AAP72" s="144"/>
      <c r="AAQ72" s="144"/>
      <c r="AAR72" s="144"/>
      <c r="AAS72" s="144"/>
      <c r="AAT72" s="144"/>
      <c r="AAU72" s="144"/>
      <c r="AAV72" s="144"/>
      <c r="AAW72" s="144"/>
      <c r="AAX72" s="144"/>
      <c r="AAY72" s="144"/>
      <c r="AAZ72" s="144"/>
      <c r="ABA72" s="144"/>
      <c r="ABB72" s="144"/>
      <c r="ABC72" s="144"/>
      <c r="ABD72" s="144"/>
      <c r="ABE72" s="144"/>
      <c r="ABF72" s="144"/>
      <c r="ABG72" s="144"/>
      <c r="ABH72" s="144"/>
      <c r="ABI72" s="144"/>
      <c r="ABJ72" s="144"/>
      <c r="ABK72" s="144"/>
      <c r="ABL72" s="144"/>
      <c r="ABM72" s="144"/>
      <c r="ABN72" s="144"/>
      <c r="ABO72" s="144"/>
      <c r="ABP72" s="144"/>
      <c r="ABQ72" s="144"/>
      <c r="ABR72" s="144"/>
      <c r="ABS72" s="144"/>
      <c r="ABT72" s="144"/>
      <c r="ABU72" s="144"/>
      <c r="ABV72" s="144"/>
      <c r="ABW72" s="144"/>
      <c r="ABX72" s="144"/>
      <c r="ABY72" s="144"/>
      <c r="ABZ72" s="144"/>
      <c r="ACA72" s="144"/>
      <c r="ACB72" s="144"/>
      <c r="ACC72" s="144"/>
      <c r="ACD72" s="144"/>
      <c r="ACE72" s="144"/>
      <c r="ACF72" s="144"/>
      <c r="ACG72" s="144"/>
      <c r="ACH72" s="144"/>
      <c r="ACI72" s="144"/>
      <c r="ACJ72" s="144"/>
      <c r="ACK72" s="144"/>
      <c r="ACL72" s="144"/>
      <c r="ACM72" s="144"/>
      <c r="ACN72" s="144"/>
      <c r="ACO72" s="144"/>
      <c r="ACP72" s="144"/>
      <c r="ACQ72" s="144"/>
      <c r="ACR72" s="144"/>
      <c r="ACS72" s="144"/>
      <c r="ACT72" s="144"/>
      <c r="ACU72" s="144"/>
      <c r="ACV72" s="144"/>
      <c r="ACW72" s="144"/>
      <c r="ACX72" s="144"/>
      <c r="ACY72" s="144"/>
      <c r="ACZ72" s="144"/>
      <c r="ADA72" s="144"/>
      <c r="ADB72" s="144"/>
      <c r="ADC72" s="144"/>
      <c r="ADD72" s="144"/>
      <c r="ADE72" s="144"/>
      <c r="ADF72" s="144"/>
      <c r="ADG72" s="144"/>
      <c r="ADH72" s="144"/>
      <c r="ADI72" s="144"/>
      <c r="ADJ72" s="144"/>
      <c r="ADK72" s="144"/>
      <c r="ADL72" s="144"/>
      <c r="ADM72" s="144"/>
      <c r="ADN72" s="144"/>
      <c r="ADO72" s="144"/>
      <c r="ADP72" s="144"/>
      <c r="ADQ72" s="144"/>
      <c r="ADR72" s="144"/>
      <c r="ADS72" s="144"/>
      <c r="ADT72" s="144"/>
      <c r="ADU72" s="144"/>
      <c r="ADV72" s="144"/>
      <c r="ADW72" s="144"/>
      <c r="ADX72" s="144"/>
      <c r="ADY72" s="144"/>
      <c r="ADZ72" s="144"/>
      <c r="AEA72" s="144"/>
      <c r="AEB72" s="144"/>
      <c r="AEC72" s="144"/>
      <c r="AED72" s="144"/>
      <c r="AEE72" s="144"/>
      <c r="AEF72" s="144"/>
      <c r="AEG72" s="144"/>
      <c r="AEH72" s="144"/>
      <c r="AEI72" s="144"/>
      <c r="AEJ72" s="144"/>
      <c r="AEK72" s="144"/>
      <c r="AEL72" s="144"/>
      <c r="AEM72" s="144"/>
      <c r="AEN72" s="144"/>
      <c r="AEO72" s="144"/>
      <c r="AEP72" s="144"/>
      <c r="AEQ72" s="144"/>
      <c r="AER72" s="144"/>
      <c r="AES72" s="144"/>
      <c r="AET72" s="144"/>
      <c r="AEU72" s="144"/>
      <c r="AEV72" s="144"/>
      <c r="AEW72" s="144"/>
      <c r="AEX72" s="144"/>
      <c r="AEY72" s="144"/>
      <c r="AEZ72" s="144"/>
      <c r="AFA72" s="144"/>
      <c r="AFB72" s="144"/>
      <c r="AFC72" s="144"/>
      <c r="AFD72" s="144"/>
      <c r="AFE72" s="144"/>
      <c r="AFF72" s="144"/>
      <c r="AFG72" s="144"/>
      <c r="AFH72" s="144"/>
      <c r="AFI72" s="144"/>
      <c r="AFJ72" s="144"/>
      <c r="AFK72" s="144"/>
      <c r="AFL72" s="144"/>
      <c r="AFM72" s="144"/>
      <c r="AFN72" s="144"/>
      <c r="AFO72" s="144"/>
      <c r="AFP72" s="144"/>
      <c r="AFQ72" s="144"/>
      <c r="AFR72" s="144"/>
      <c r="AFS72" s="144"/>
      <c r="AFT72" s="144"/>
      <c r="AFU72" s="144"/>
      <c r="AFV72" s="144"/>
      <c r="AFW72" s="144"/>
      <c r="AFX72" s="144"/>
      <c r="AFY72" s="144"/>
      <c r="AFZ72" s="144"/>
      <c r="AGA72" s="144"/>
      <c r="AGB72" s="144"/>
      <c r="AGC72" s="144"/>
      <c r="AGD72" s="144"/>
      <c r="AGE72" s="144"/>
      <c r="AGF72" s="144"/>
      <c r="AGG72" s="144"/>
      <c r="AGH72" s="144"/>
      <c r="AGI72" s="144"/>
      <c r="AGJ72" s="144"/>
      <c r="AGK72" s="144"/>
      <c r="AGL72" s="144"/>
      <c r="AGM72" s="144"/>
      <c r="AGN72" s="144"/>
      <c r="AGO72" s="144"/>
      <c r="AGP72" s="144"/>
      <c r="AGQ72" s="144"/>
      <c r="AGR72" s="144"/>
      <c r="AGS72" s="144"/>
      <c r="AGT72" s="144"/>
      <c r="AGU72" s="144"/>
      <c r="AGV72" s="144"/>
      <c r="AGW72" s="144"/>
      <c r="AGX72" s="144"/>
      <c r="AGY72" s="144"/>
      <c r="AGZ72" s="144"/>
      <c r="AHA72" s="144"/>
      <c r="AHB72" s="144"/>
      <c r="AHC72" s="144"/>
      <c r="AHD72" s="144"/>
      <c r="AHE72" s="144"/>
      <c r="AHF72" s="144"/>
      <c r="AHG72" s="144"/>
      <c r="AHH72" s="144"/>
      <c r="AHI72" s="144"/>
      <c r="AHJ72" s="144"/>
      <c r="AHK72" s="144"/>
      <c r="AHL72" s="144"/>
      <c r="AHM72" s="144"/>
      <c r="AHN72" s="144"/>
      <c r="AHO72" s="144"/>
      <c r="AHP72" s="144"/>
      <c r="AHQ72" s="144"/>
      <c r="AHR72" s="144"/>
      <c r="AHS72" s="144"/>
      <c r="AHT72" s="144"/>
      <c r="AHU72" s="144"/>
      <c r="AHV72" s="144"/>
      <c r="AHW72" s="144"/>
      <c r="AHX72" s="144"/>
      <c r="AHY72" s="144"/>
      <c r="AHZ72" s="144"/>
      <c r="AIA72" s="144"/>
      <c r="AIB72" s="144"/>
      <c r="AIC72" s="144"/>
      <c r="AID72" s="144"/>
      <c r="AIE72" s="144"/>
      <c r="AIF72" s="144"/>
      <c r="AIG72" s="144"/>
      <c r="AIH72" s="144"/>
      <c r="AII72" s="144"/>
      <c r="AIJ72" s="144"/>
      <c r="AIK72" s="144"/>
      <c r="AIL72" s="144"/>
      <c r="AIM72" s="144"/>
      <c r="AIN72" s="144"/>
      <c r="AIO72" s="144"/>
      <c r="AIP72" s="144"/>
      <c r="AIQ72" s="144"/>
      <c r="AIR72" s="144"/>
      <c r="AIS72" s="144"/>
      <c r="AIT72" s="144"/>
      <c r="AIU72" s="144"/>
      <c r="AIV72" s="144"/>
      <c r="AIW72" s="144"/>
      <c r="AIX72" s="144"/>
      <c r="AIY72" s="144"/>
      <c r="AIZ72" s="144"/>
      <c r="AJA72" s="144"/>
      <c r="AJB72" s="144"/>
      <c r="AJC72" s="144"/>
      <c r="AJD72" s="144"/>
      <c r="AJE72" s="144"/>
      <c r="AJF72" s="144"/>
      <c r="AJG72" s="144"/>
      <c r="AJH72" s="144"/>
      <c r="AJI72" s="144"/>
      <c r="AJJ72" s="144"/>
      <c r="AJK72" s="144"/>
      <c r="AJL72" s="144"/>
      <c r="AJM72" s="144"/>
      <c r="AJN72" s="144"/>
      <c r="AJO72" s="144"/>
      <c r="AJP72" s="144"/>
      <c r="AJQ72" s="144"/>
      <c r="AJR72" s="144"/>
      <c r="AJS72" s="144"/>
      <c r="AJT72" s="144"/>
      <c r="AJU72" s="144"/>
      <c r="AJV72" s="144"/>
      <c r="AJW72" s="144"/>
      <c r="AJX72" s="144"/>
      <c r="AJY72" s="144"/>
      <c r="AJZ72" s="144"/>
      <c r="AKA72" s="144"/>
      <c r="AKB72" s="144"/>
      <c r="AKC72" s="144"/>
      <c r="AKD72" s="144"/>
      <c r="AKE72" s="144"/>
      <c r="AKF72" s="144"/>
      <c r="AKG72" s="144"/>
      <c r="AKH72" s="144"/>
      <c r="AKI72" s="144"/>
      <c r="AKJ72" s="144"/>
      <c r="AKK72" s="144"/>
      <c r="AKL72" s="144"/>
      <c r="AKM72" s="144"/>
      <c r="AKN72" s="144"/>
      <c r="AKO72" s="144"/>
      <c r="AKP72" s="144"/>
      <c r="AKQ72" s="144"/>
      <c r="AKR72" s="144"/>
      <c r="AKS72" s="144"/>
      <c r="AKT72" s="144"/>
      <c r="AKU72" s="144"/>
      <c r="AKV72" s="144"/>
      <c r="AKW72" s="144"/>
      <c r="AKX72" s="144"/>
      <c r="AKY72" s="144"/>
      <c r="AKZ72" s="144"/>
      <c r="ALA72" s="144"/>
      <c r="ALB72" s="144"/>
      <c r="ALC72" s="144"/>
      <c r="ALD72" s="144"/>
      <c r="ALE72" s="144"/>
      <c r="ALF72" s="144"/>
      <c r="ALG72" s="144"/>
      <c r="ALH72" s="144"/>
      <c r="ALI72" s="144"/>
      <c r="ALJ72" s="144"/>
      <c r="ALK72" s="144"/>
      <c r="ALL72" s="144"/>
      <c r="ALM72" s="144"/>
      <c r="ALN72" s="144"/>
      <c r="ALO72" s="144"/>
      <c r="ALP72" s="144"/>
      <c r="ALQ72" s="144"/>
      <c r="ALR72" s="144"/>
      <c r="ALS72" s="144"/>
      <c r="ALT72" s="144"/>
      <c r="ALU72" s="144"/>
      <c r="ALV72" s="144"/>
      <c r="ALW72" s="144"/>
      <c r="ALX72" s="144"/>
      <c r="ALY72" s="144"/>
      <c r="ALZ72" s="144"/>
      <c r="AMA72" s="144"/>
      <c r="AMB72" s="144"/>
      <c r="AMC72" s="144"/>
      <c r="AMD72" s="144"/>
      <c r="AME72" s="144"/>
      <c r="AMF72" s="144"/>
      <c r="AMG72" s="144"/>
      <c r="AMH72" s="144"/>
      <c r="AMI72" s="144"/>
      <c r="AMJ72" s="144"/>
    </row>
    <row r="73" customFormat="false" ht="15" hidden="false" customHeight="false" outlineLevel="0" collapsed="false">
      <c r="B73" s="145" t="s">
        <v>157</v>
      </c>
      <c r="C73" s="149" t="s">
        <v>158</v>
      </c>
      <c r="D73" s="149"/>
      <c r="E73" s="149"/>
      <c r="F73" s="149"/>
      <c r="G73" s="149"/>
    </row>
    <row r="74" s="144" customFormat="true" ht="24.75" hidden="false" customHeight="true" outlineLevel="0" collapsed="false">
      <c r="A74" s="131"/>
      <c r="B74" s="132"/>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c r="CG74" s="108"/>
      <c r="CH74" s="108"/>
      <c r="CI74" s="108"/>
      <c r="CJ74" s="108"/>
      <c r="CK74" s="108"/>
      <c r="CL74" s="108"/>
      <c r="CM74" s="108"/>
      <c r="CN74" s="108"/>
      <c r="CO74" s="108"/>
      <c r="CP74" s="108"/>
      <c r="CQ74" s="108"/>
      <c r="CR74" s="108"/>
      <c r="CS74" s="108"/>
      <c r="CT74" s="108"/>
      <c r="CU74" s="108"/>
      <c r="CV74" s="108"/>
      <c r="CW74" s="108"/>
      <c r="CX74" s="108"/>
      <c r="CY74" s="108"/>
      <c r="CZ74" s="108"/>
      <c r="DA74" s="108"/>
      <c r="DB74" s="108"/>
      <c r="DC74" s="108"/>
      <c r="DD74" s="108"/>
      <c r="DE74" s="108"/>
      <c r="DF74" s="108"/>
      <c r="DG74" s="108"/>
      <c r="DH74" s="108"/>
      <c r="DI74" s="108"/>
      <c r="DJ74" s="108"/>
      <c r="DK74" s="108"/>
      <c r="DL74" s="108"/>
      <c r="DM74" s="108"/>
      <c r="DN74" s="108"/>
      <c r="DO74" s="108"/>
      <c r="DP74" s="108"/>
      <c r="DQ74" s="108"/>
      <c r="DR74" s="108"/>
      <c r="DS74" s="108"/>
      <c r="DT74" s="108"/>
      <c r="DU74" s="108"/>
      <c r="DV74" s="108"/>
      <c r="DW74" s="108"/>
      <c r="DX74" s="108"/>
      <c r="DY74" s="108"/>
      <c r="DZ74" s="108"/>
      <c r="EA74" s="108"/>
      <c r="EB74" s="108"/>
      <c r="EC74" s="108"/>
      <c r="ED74" s="108"/>
      <c r="EE74" s="108"/>
      <c r="EF74" s="108"/>
      <c r="EG74" s="108"/>
      <c r="EH74" s="108"/>
      <c r="EI74" s="108"/>
      <c r="EJ74" s="108"/>
      <c r="EK74" s="108"/>
      <c r="EL74" s="108"/>
      <c r="EM74" s="108"/>
      <c r="EN74" s="108"/>
      <c r="EO74" s="108"/>
      <c r="EP74" s="108"/>
      <c r="EQ74" s="108"/>
      <c r="ER74" s="108"/>
      <c r="ES74" s="108"/>
      <c r="ET74" s="108"/>
      <c r="EU74" s="108"/>
      <c r="EV74" s="108"/>
      <c r="EW74" s="108"/>
      <c r="EX74" s="108"/>
      <c r="EY74" s="108"/>
      <c r="EZ74" s="108"/>
      <c r="FA74" s="108"/>
      <c r="FB74" s="108"/>
      <c r="FC74" s="108"/>
      <c r="FD74" s="108"/>
      <c r="FE74" s="108"/>
      <c r="FF74" s="108"/>
      <c r="FG74" s="108"/>
      <c r="FH74" s="108"/>
      <c r="FI74" s="108"/>
      <c r="FJ74" s="108"/>
      <c r="FK74" s="108"/>
      <c r="FL74" s="108"/>
      <c r="FM74" s="108"/>
      <c r="FN74" s="108"/>
      <c r="FO74" s="108"/>
      <c r="FP74" s="108"/>
      <c r="FQ74" s="108"/>
      <c r="FR74" s="108"/>
      <c r="FS74" s="108"/>
      <c r="FT74" s="108"/>
      <c r="FU74" s="108"/>
      <c r="FV74" s="108"/>
      <c r="FW74" s="108"/>
      <c r="FX74" s="108"/>
      <c r="FY74" s="108"/>
      <c r="FZ74" s="108"/>
      <c r="GA74" s="108"/>
      <c r="GB74" s="108"/>
      <c r="GC74" s="108"/>
      <c r="GD74" s="108"/>
      <c r="GE74" s="108"/>
      <c r="GF74" s="108"/>
      <c r="GG74" s="108"/>
      <c r="GH74" s="108"/>
      <c r="GI74" s="108"/>
      <c r="GJ74" s="108"/>
      <c r="GK74" s="108"/>
      <c r="GL74" s="108"/>
      <c r="GM74" s="108"/>
      <c r="GN74" s="108"/>
      <c r="GO74" s="108"/>
      <c r="GP74" s="108"/>
      <c r="GQ74" s="108"/>
      <c r="GR74" s="108"/>
      <c r="GS74" s="108"/>
      <c r="GT74" s="108"/>
      <c r="GU74" s="108"/>
      <c r="GV74" s="108"/>
      <c r="GW74" s="108"/>
      <c r="GX74" s="108"/>
      <c r="GY74" s="108"/>
      <c r="GZ74" s="108"/>
      <c r="HA74" s="108"/>
      <c r="HB74" s="108"/>
      <c r="HC74" s="108"/>
      <c r="HD74" s="108"/>
      <c r="HE74" s="108"/>
      <c r="HF74" s="108"/>
      <c r="HG74" s="108"/>
      <c r="HH74" s="108"/>
      <c r="HI74" s="108"/>
      <c r="HJ74" s="108"/>
      <c r="HK74" s="108"/>
      <c r="HL74" s="108"/>
      <c r="HM74" s="108"/>
      <c r="HN74" s="108"/>
      <c r="HO74" s="108"/>
      <c r="HP74" s="108"/>
      <c r="HQ74" s="108"/>
      <c r="HR74" s="108"/>
      <c r="HS74" s="108"/>
      <c r="HT74" s="108"/>
      <c r="HU74" s="108"/>
      <c r="HV74" s="108"/>
      <c r="HW74" s="108"/>
      <c r="HX74" s="108"/>
      <c r="HY74" s="108"/>
      <c r="HZ74" s="108"/>
      <c r="IA74" s="108"/>
      <c r="IB74" s="108"/>
      <c r="IC74" s="108"/>
      <c r="ID74" s="108"/>
      <c r="IE74" s="108"/>
      <c r="IF74" s="108"/>
      <c r="IG74" s="108"/>
      <c r="IH74" s="108"/>
      <c r="II74" s="108"/>
      <c r="IJ74" s="108"/>
      <c r="IK74" s="108"/>
      <c r="IL74" s="108"/>
      <c r="IM74" s="108"/>
      <c r="IN74" s="108"/>
      <c r="IO74" s="108"/>
      <c r="IP74" s="108"/>
      <c r="IQ74" s="108"/>
      <c r="IR74" s="108"/>
      <c r="IS74" s="108"/>
      <c r="IT74" s="108"/>
      <c r="IU74" s="108"/>
      <c r="IV74" s="108"/>
      <c r="IW74" s="108"/>
      <c r="IX74" s="108"/>
      <c r="IY74" s="108"/>
      <c r="IZ74" s="108"/>
      <c r="JA74" s="108"/>
      <c r="JB74" s="108"/>
      <c r="JC74" s="108"/>
      <c r="JD74" s="108"/>
      <c r="JE74" s="108"/>
      <c r="JF74" s="108"/>
      <c r="JG74" s="108"/>
      <c r="JH74" s="108"/>
      <c r="JI74" s="108"/>
      <c r="JJ74" s="108"/>
      <c r="JK74" s="108"/>
      <c r="JL74" s="108"/>
      <c r="JM74" s="108"/>
      <c r="JN74" s="108"/>
      <c r="JO74" s="108"/>
      <c r="JP74" s="108"/>
      <c r="JQ74" s="108"/>
      <c r="JR74" s="108"/>
      <c r="JS74" s="108"/>
      <c r="JT74" s="108"/>
      <c r="JU74" s="108"/>
      <c r="JV74" s="108"/>
      <c r="JW74" s="108"/>
      <c r="JX74" s="108"/>
      <c r="JY74" s="108"/>
      <c r="JZ74" s="108"/>
      <c r="KA74" s="108"/>
      <c r="KB74" s="108"/>
      <c r="KC74" s="108"/>
      <c r="KD74" s="108"/>
      <c r="KE74" s="108"/>
      <c r="KF74" s="108"/>
      <c r="KG74" s="108"/>
      <c r="KH74" s="108"/>
      <c r="KI74" s="108"/>
      <c r="KJ74" s="108"/>
      <c r="KK74" s="108"/>
      <c r="KL74" s="108"/>
      <c r="KM74" s="108"/>
      <c r="KN74" s="108"/>
      <c r="KO74" s="108"/>
      <c r="KP74" s="108"/>
      <c r="KQ74" s="108"/>
      <c r="KR74" s="108"/>
      <c r="KS74" s="108"/>
      <c r="KT74" s="108"/>
      <c r="KU74" s="108"/>
      <c r="KV74" s="108"/>
      <c r="KW74" s="108"/>
      <c r="KX74" s="108"/>
      <c r="KY74" s="108"/>
      <c r="KZ74" s="108"/>
      <c r="LA74" s="108"/>
      <c r="LB74" s="108"/>
      <c r="LC74" s="108"/>
      <c r="LD74" s="108"/>
      <c r="LE74" s="108"/>
      <c r="LF74" s="108"/>
      <c r="LG74" s="108"/>
      <c r="LH74" s="108"/>
      <c r="LI74" s="108"/>
      <c r="LJ74" s="108"/>
      <c r="LK74" s="108"/>
      <c r="LL74" s="108"/>
      <c r="LM74" s="108"/>
      <c r="LN74" s="108"/>
      <c r="LO74" s="108"/>
      <c r="LP74" s="108"/>
      <c r="LQ74" s="108"/>
      <c r="LR74" s="108"/>
      <c r="LS74" s="108"/>
      <c r="LT74" s="108"/>
      <c r="LU74" s="108"/>
      <c r="LV74" s="108"/>
      <c r="LW74" s="108"/>
      <c r="LX74" s="108"/>
      <c r="LY74" s="108"/>
      <c r="LZ74" s="108"/>
      <c r="MA74" s="108"/>
      <c r="MB74" s="108"/>
      <c r="MC74" s="108"/>
      <c r="MD74" s="108"/>
      <c r="ME74" s="108"/>
      <c r="MF74" s="108"/>
      <c r="MG74" s="108"/>
      <c r="MH74" s="108"/>
      <c r="MI74" s="108"/>
      <c r="MJ74" s="108"/>
      <c r="MK74" s="108"/>
      <c r="ML74" s="108"/>
      <c r="MM74" s="108"/>
      <c r="MN74" s="108"/>
      <c r="MO74" s="108"/>
      <c r="MP74" s="108"/>
      <c r="MQ74" s="108"/>
      <c r="MR74" s="108"/>
      <c r="MS74" s="108"/>
      <c r="MT74" s="108"/>
      <c r="MU74" s="108"/>
      <c r="MV74" s="108"/>
      <c r="MW74" s="108"/>
      <c r="MX74" s="108"/>
      <c r="MY74" s="108"/>
      <c r="MZ74" s="108"/>
      <c r="NA74" s="108"/>
      <c r="NB74" s="108"/>
      <c r="NC74" s="108"/>
      <c r="ND74" s="108"/>
      <c r="NE74" s="108"/>
      <c r="NF74" s="108"/>
      <c r="NG74" s="108"/>
      <c r="NH74" s="108"/>
      <c r="NI74" s="108"/>
      <c r="NJ74" s="108"/>
      <c r="NK74" s="108"/>
      <c r="NL74" s="108"/>
      <c r="NM74" s="108"/>
      <c r="NN74" s="108"/>
      <c r="NO74" s="108"/>
      <c r="NP74" s="108"/>
      <c r="NQ74" s="108"/>
      <c r="NR74" s="108"/>
      <c r="NS74" s="108"/>
      <c r="NT74" s="108"/>
      <c r="NU74" s="108"/>
      <c r="NV74" s="108"/>
      <c r="NW74" s="108"/>
      <c r="NX74" s="108"/>
      <c r="NY74" s="108"/>
      <c r="NZ74" s="108"/>
      <c r="OA74" s="108"/>
      <c r="OB74" s="108"/>
      <c r="OC74" s="108"/>
      <c r="OD74" s="108"/>
      <c r="OE74" s="108"/>
      <c r="OF74" s="108"/>
      <c r="OG74" s="108"/>
      <c r="OH74" s="108"/>
      <c r="OI74" s="108"/>
      <c r="OJ74" s="108"/>
      <c r="OK74" s="108"/>
      <c r="OL74" s="108"/>
      <c r="OM74" s="108"/>
      <c r="ON74" s="108"/>
      <c r="OO74" s="108"/>
      <c r="OP74" s="108"/>
      <c r="OQ74" s="108"/>
      <c r="OR74" s="108"/>
      <c r="OS74" s="108"/>
      <c r="OT74" s="108"/>
      <c r="OU74" s="108"/>
      <c r="OV74" s="108"/>
      <c r="OW74" s="108"/>
      <c r="OX74" s="108"/>
      <c r="OY74" s="108"/>
      <c r="OZ74" s="108"/>
      <c r="PA74" s="108"/>
      <c r="PB74" s="108"/>
      <c r="PC74" s="108"/>
      <c r="PD74" s="108"/>
      <c r="PE74" s="108"/>
      <c r="PF74" s="108"/>
      <c r="PG74" s="108"/>
      <c r="PH74" s="108"/>
      <c r="PI74" s="108"/>
      <c r="PJ74" s="108"/>
      <c r="PK74" s="108"/>
      <c r="PL74" s="108"/>
      <c r="PM74" s="108"/>
      <c r="PN74" s="108"/>
      <c r="PO74" s="108"/>
      <c r="PP74" s="108"/>
      <c r="PQ74" s="108"/>
      <c r="PR74" s="108"/>
      <c r="PS74" s="108"/>
      <c r="PT74" s="108"/>
      <c r="PU74" s="108"/>
      <c r="PV74" s="108"/>
      <c r="PW74" s="108"/>
      <c r="PX74" s="108"/>
      <c r="PY74" s="108"/>
      <c r="PZ74" s="108"/>
      <c r="QA74" s="108"/>
      <c r="QB74" s="108"/>
      <c r="QC74" s="108"/>
      <c r="QD74" s="108"/>
      <c r="QE74" s="108"/>
      <c r="QF74" s="108"/>
      <c r="QG74" s="108"/>
      <c r="QH74" s="108"/>
      <c r="QI74" s="108"/>
      <c r="QJ74" s="108"/>
      <c r="QK74" s="108"/>
      <c r="QL74" s="108"/>
      <c r="QM74" s="108"/>
      <c r="QN74" s="108"/>
      <c r="QO74" s="108"/>
      <c r="QP74" s="108"/>
      <c r="QQ74" s="108"/>
      <c r="QR74" s="108"/>
      <c r="QS74" s="108"/>
      <c r="QT74" s="108"/>
      <c r="QU74" s="108"/>
      <c r="QV74" s="108"/>
      <c r="QW74" s="108"/>
      <c r="QX74" s="108"/>
      <c r="QY74" s="108"/>
      <c r="QZ74" s="108"/>
      <c r="RA74" s="108"/>
      <c r="RB74" s="108"/>
      <c r="RC74" s="108"/>
      <c r="RD74" s="108"/>
      <c r="RE74" s="108"/>
      <c r="RF74" s="108"/>
      <c r="RG74" s="108"/>
      <c r="RH74" s="108"/>
      <c r="RI74" s="108"/>
      <c r="RJ74" s="108"/>
      <c r="RK74" s="108"/>
      <c r="RL74" s="108"/>
      <c r="RM74" s="108"/>
      <c r="RN74" s="108"/>
      <c r="RO74" s="108"/>
      <c r="RP74" s="108"/>
      <c r="RQ74" s="108"/>
      <c r="RR74" s="108"/>
      <c r="RS74" s="108"/>
      <c r="RT74" s="108"/>
      <c r="RU74" s="108"/>
      <c r="RV74" s="108"/>
      <c r="RW74" s="108"/>
      <c r="RX74" s="108"/>
      <c r="RY74" s="108"/>
      <c r="RZ74" s="108"/>
      <c r="SA74" s="108"/>
      <c r="SB74" s="108"/>
      <c r="SC74" s="108"/>
      <c r="SD74" s="108"/>
      <c r="SE74" s="108"/>
      <c r="SF74" s="108"/>
      <c r="SG74" s="108"/>
      <c r="SH74" s="108"/>
      <c r="SI74" s="108"/>
      <c r="SJ74" s="108"/>
      <c r="SK74" s="108"/>
      <c r="SL74" s="108"/>
      <c r="SM74" s="108"/>
      <c r="SN74" s="108"/>
      <c r="SO74" s="108"/>
      <c r="SP74" s="108"/>
      <c r="SQ74" s="108"/>
      <c r="SR74" s="108"/>
      <c r="SS74" s="108"/>
      <c r="ST74" s="108"/>
      <c r="SU74" s="108"/>
      <c r="SV74" s="108"/>
      <c r="SW74" s="108"/>
      <c r="SX74" s="108"/>
      <c r="SY74" s="108"/>
      <c r="SZ74" s="108"/>
      <c r="TA74" s="108"/>
      <c r="TB74" s="108"/>
      <c r="TC74" s="108"/>
      <c r="TD74" s="108"/>
      <c r="TE74" s="108"/>
      <c r="TF74" s="108"/>
      <c r="TG74" s="108"/>
      <c r="TH74" s="108"/>
      <c r="TI74" s="108"/>
      <c r="TJ74" s="108"/>
      <c r="TK74" s="108"/>
      <c r="TL74" s="108"/>
      <c r="TM74" s="108"/>
      <c r="TN74" s="108"/>
      <c r="TO74" s="108"/>
      <c r="TP74" s="108"/>
      <c r="TQ74" s="108"/>
      <c r="TR74" s="108"/>
      <c r="TS74" s="108"/>
      <c r="TT74" s="108"/>
      <c r="TU74" s="108"/>
      <c r="TV74" s="108"/>
      <c r="TW74" s="108"/>
      <c r="TX74" s="108"/>
      <c r="TY74" s="108"/>
      <c r="TZ74" s="108"/>
      <c r="UA74" s="108"/>
      <c r="UB74" s="108"/>
      <c r="UC74" s="108"/>
      <c r="UD74" s="108"/>
      <c r="UE74" s="108"/>
      <c r="UF74" s="108"/>
      <c r="UG74" s="108"/>
      <c r="UH74" s="108"/>
      <c r="UI74" s="108"/>
      <c r="UJ74" s="108"/>
      <c r="UK74" s="108"/>
      <c r="UL74" s="108"/>
      <c r="UM74" s="108"/>
      <c r="UN74" s="108"/>
      <c r="UO74" s="108"/>
      <c r="UP74" s="108"/>
      <c r="UQ74" s="108"/>
      <c r="UR74" s="108"/>
      <c r="US74" s="108"/>
      <c r="UT74" s="108"/>
      <c r="UU74" s="108"/>
      <c r="UV74" s="108"/>
      <c r="UW74" s="108"/>
      <c r="UX74" s="108"/>
      <c r="UY74" s="108"/>
      <c r="UZ74" s="108"/>
      <c r="VA74" s="108"/>
      <c r="VB74" s="108"/>
      <c r="VC74" s="108"/>
      <c r="VD74" s="108"/>
      <c r="VE74" s="108"/>
      <c r="VF74" s="108"/>
      <c r="VG74" s="108"/>
      <c r="VH74" s="108"/>
      <c r="VI74" s="108"/>
      <c r="VJ74" s="108"/>
      <c r="VK74" s="108"/>
      <c r="VL74" s="108"/>
      <c r="VM74" s="108"/>
      <c r="VN74" s="108"/>
      <c r="VO74" s="108"/>
      <c r="VP74" s="108"/>
      <c r="VQ74" s="108"/>
      <c r="VR74" s="108"/>
      <c r="VS74" s="108"/>
      <c r="VT74" s="108"/>
      <c r="VU74" s="108"/>
      <c r="VV74" s="108"/>
      <c r="VW74" s="108"/>
      <c r="VX74" s="108"/>
      <c r="VY74" s="108"/>
      <c r="VZ74" s="108"/>
      <c r="WA74" s="108"/>
      <c r="WB74" s="108"/>
      <c r="WC74" s="108"/>
      <c r="WD74" s="108"/>
      <c r="WE74" s="108"/>
      <c r="WF74" s="108"/>
      <c r="WG74" s="108"/>
      <c r="WH74" s="108"/>
      <c r="WI74" s="108"/>
      <c r="WJ74" s="108"/>
      <c r="WK74" s="108"/>
      <c r="WL74" s="108"/>
      <c r="WM74" s="108"/>
      <c r="WN74" s="108"/>
      <c r="WO74" s="108"/>
      <c r="WP74" s="108"/>
      <c r="WQ74" s="108"/>
      <c r="WR74" s="108"/>
      <c r="WS74" s="108"/>
      <c r="WT74" s="108"/>
      <c r="WU74" s="108"/>
      <c r="WV74" s="108"/>
      <c r="WW74" s="108"/>
      <c r="WX74" s="108"/>
      <c r="WY74" s="108"/>
      <c r="WZ74" s="108"/>
      <c r="XA74" s="108"/>
      <c r="XB74" s="108"/>
      <c r="XC74" s="108"/>
      <c r="XD74" s="108"/>
      <c r="XE74" s="108"/>
      <c r="XF74" s="108"/>
      <c r="XG74" s="108"/>
      <c r="XH74" s="108"/>
      <c r="XI74" s="108"/>
      <c r="XJ74" s="108"/>
      <c r="XK74" s="108"/>
      <c r="XL74" s="108"/>
      <c r="XM74" s="108"/>
      <c r="XN74" s="108"/>
      <c r="XO74" s="108"/>
      <c r="XP74" s="108"/>
      <c r="XQ74" s="108"/>
      <c r="XR74" s="108"/>
      <c r="XS74" s="108"/>
      <c r="XT74" s="108"/>
      <c r="XU74" s="108"/>
      <c r="XV74" s="108"/>
      <c r="XW74" s="108"/>
      <c r="XX74" s="108"/>
      <c r="XY74" s="108"/>
      <c r="XZ74" s="108"/>
      <c r="YA74" s="108"/>
      <c r="YB74" s="108"/>
      <c r="YC74" s="108"/>
      <c r="YD74" s="108"/>
      <c r="YE74" s="108"/>
      <c r="YF74" s="108"/>
      <c r="YG74" s="108"/>
      <c r="YH74" s="108"/>
      <c r="YI74" s="108"/>
      <c r="YJ74" s="108"/>
      <c r="YK74" s="108"/>
      <c r="YL74" s="108"/>
      <c r="YM74" s="108"/>
      <c r="YN74" s="108"/>
      <c r="YO74" s="108"/>
      <c r="YP74" s="108"/>
      <c r="YQ74" s="108"/>
      <c r="YR74" s="108"/>
      <c r="YS74" s="108"/>
      <c r="YT74" s="108"/>
      <c r="YU74" s="108"/>
      <c r="YV74" s="108"/>
      <c r="YW74" s="108"/>
      <c r="YX74" s="108"/>
      <c r="YY74" s="108"/>
      <c r="YZ74" s="108"/>
      <c r="ZA74" s="108"/>
      <c r="ZB74" s="108"/>
      <c r="ZC74" s="108"/>
      <c r="ZD74" s="108"/>
      <c r="ZE74" s="108"/>
      <c r="ZF74" s="108"/>
      <c r="ZG74" s="108"/>
      <c r="ZH74" s="108"/>
      <c r="ZI74" s="108"/>
      <c r="ZJ74" s="108"/>
      <c r="ZK74" s="108"/>
      <c r="ZL74" s="108"/>
      <c r="ZM74" s="108"/>
      <c r="ZN74" s="108"/>
      <c r="ZO74" s="108"/>
      <c r="ZP74" s="108"/>
      <c r="ZQ74" s="108"/>
      <c r="ZR74" s="108"/>
      <c r="ZS74" s="108"/>
      <c r="ZT74" s="108"/>
      <c r="ZU74" s="108"/>
      <c r="ZV74" s="108"/>
      <c r="ZW74" s="108"/>
      <c r="ZX74" s="108"/>
      <c r="ZY74" s="108"/>
      <c r="ZZ74" s="108"/>
      <c r="AAA74" s="108"/>
      <c r="AAB74" s="108"/>
      <c r="AAC74" s="108"/>
      <c r="AAD74" s="108"/>
      <c r="AAE74" s="108"/>
      <c r="AAF74" s="108"/>
      <c r="AAG74" s="108"/>
      <c r="AAH74" s="108"/>
      <c r="AAI74" s="108"/>
      <c r="AAJ74" s="108"/>
      <c r="AAK74" s="108"/>
      <c r="AAL74" s="108"/>
      <c r="AAM74" s="108"/>
      <c r="AAN74" s="108"/>
      <c r="AAO74" s="108"/>
      <c r="AAP74" s="108"/>
      <c r="AAQ74" s="108"/>
      <c r="AAR74" s="108"/>
      <c r="AAS74" s="108"/>
      <c r="AAT74" s="108"/>
      <c r="AAU74" s="108"/>
      <c r="AAV74" s="108"/>
      <c r="AAW74" s="108"/>
      <c r="AAX74" s="108"/>
      <c r="AAY74" s="108"/>
      <c r="AAZ74" s="108"/>
      <c r="ABA74" s="108"/>
      <c r="ABB74" s="108"/>
      <c r="ABC74" s="108"/>
      <c r="ABD74" s="108"/>
      <c r="ABE74" s="108"/>
      <c r="ABF74" s="108"/>
      <c r="ABG74" s="108"/>
      <c r="ABH74" s="108"/>
      <c r="ABI74" s="108"/>
      <c r="ABJ74" s="108"/>
      <c r="ABK74" s="108"/>
      <c r="ABL74" s="108"/>
      <c r="ABM74" s="108"/>
      <c r="ABN74" s="108"/>
      <c r="ABO74" s="108"/>
      <c r="ABP74" s="108"/>
      <c r="ABQ74" s="108"/>
      <c r="ABR74" s="108"/>
      <c r="ABS74" s="108"/>
      <c r="ABT74" s="108"/>
      <c r="ABU74" s="108"/>
      <c r="ABV74" s="108"/>
      <c r="ABW74" s="108"/>
      <c r="ABX74" s="108"/>
      <c r="ABY74" s="108"/>
      <c r="ABZ74" s="108"/>
      <c r="ACA74" s="108"/>
      <c r="ACB74" s="108"/>
      <c r="ACC74" s="108"/>
      <c r="ACD74" s="108"/>
      <c r="ACE74" s="108"/>
      <c r="ACF74" s="108"/>
      <c r="ACG74" s="108"/>
      <c r="ACH74" s="108"/>
      <c r="ACI74" s="108"/>
      <c r="ACJ74" s="108"/>
      <c r="ACK74" s="108"/>
      <c r="ACL74" s="108"/>
      <c r="ACM74" s="108"/>
      <c r="ACN74" s="108"/>
      <c r="ACO74" s="108"/>
      <c r="ACP74" s="108"/>
      <c r="ACQ74" s="108"/>
      <c r="ACR74" s="108"/>
      <c r="ACS74" s="108"/>
      <c r="ACT74" s="108"/>
      <c r="ACU74" s="108"/>
      <c r="ACV74" s="108"/>
      <c r="ACW74" s="108"/>
      <c r="ACX74" s="108"/>
      <c r="ACY74" s="108"/>
      <c r="ACZ74" s="108"/>
      <c r="ADA74" s="108"/>
      <c r="ADB74" s="108"/>
      <c r="ADC74" s="108"/>
      <c r="ADD74" s="108"/>
      <c r="ADE74" s="108"/>
      <c r="ADF74" s="108"/>
      <c r="ADG74" s="108"/>
      <c r="ADH74" s="108"/>
      <c r="ADI74" s="108"/>
      <c r="ADJ74" s="108"/>
      <c r="ADK74" s="108"/>
      <c r="ADL74" s="108"/>
      <c r="ADM74" s="108"/>
      <c r="ADN74" s="108"/>
      <c r="ADO74" s="108"/>
      <c r="ADP74" s="108"/>
      <c r="ADQ74" s="108"/>
      <c r="ADR74" s="108"/>
      <c r="ADS74" s="108"/>
      <c r="ADT74" s="108"/>
      <c r="ADU74" s="108"/>
      <c r="ADV74" s="108"/>
      <c r="ADW74" s="108"/>
      <c r="ADX74" s="108"/>
      <c r="ADY74" s="108"/>
      <c r="ADZ74" s="108"/>
      <c r="AEA74" s="108"/>
      <c r="AEB74" s="108"/>
      <c r="AEC74" s="108"/>
      <c r="AED74" s="108"/>
      <c r="AEE74" s="108"/>
      <c r="AEF74" s="108"/>
      <c r="AEG74" s="108"/>
      <c r="AEH74" s="108"/>
      <c r="AEI74" s="108"/>
      <c r="AEJ74" s="108"/>
      <c r="AEK74" s="108"/>
      <c r="AEL74" s="108"/>
      <c r="AEM74" s="108"/>
      <c r="AEN74" s="108"/>
      <c r="AEO74" s="108"/>
      <c r="AEP74" s="108"/>
      <c r="AEQ74" s="108"/>
      <c r="AER74" s="108"/>
      <c r="AES74" s="108"/>
      <c r="AET74" s="108"/>
      <c r="AEU74" s="108"/>
      <c r="AEV74" s="108"/>
      <c r="AEW74" s="108"/>
      <c r="AEX74" s="108"/>
      <c r="AEY74" s="108"/>
      <c r="AEZ74" s="108"/>
      <c r="AFA74" s="108"/>
      <c r="AFB74" s="108"/>
      <c r="AFC74" s="108"/>
      <c r="AFD74" s="108"/>
      <c r="AFE74" s="108"/>
      <c r="AFF74" s="108"/>
      <c r="AFG74" s="108"/>
      <c r="AFH74" s="108"/>
      <c r="AFI74" s="108"/>
      <c r="AFJ74" s="108"/>
      <c r="AFK74" s="108"/>
      <c r="AFL74" s="108"/>
      <c r="AFM74" s="108"/>
      <c r="AFN74" s="108"/>
      <c r="AFO74" s="108"/>
      <c r="AFP74" s="108"/>
      <c r="AFQ74" s="108"/>
      <c r="AFR74" s="108"/>
      <c r="AFS74" s="108"/>
      <c r="AFT74" s="108"/>
      <c r="AFU74" s="108"/>
      <c r="AFV74" s="108"/>
      <c r="AFW74" s="108"/>
      <c r="AFX74" s="108"/>
      <c r="AFY74" s="108"/>
      <c r="AFZ74" s="108"/>
      <c r="AGA74" s="108"/>
      <c r="AGB74" s="108"/>
      <c r="AGC74" s="108"/>
      <c r="AGD74" s="108"/>
      <c r="AGE74" s="108"/>
      <c r="AGF74" s="108"/>
      <c r="AGG74" s="108"/>
      <c r="AGH74" s="108"/>
      <c r="AGI74" s="108"/>
      <c r="AGJ74" s="108"/>
      <c r="AGK74" s="108"/>
      <c r="AGL74" s="108"/>
      <c r="AGM74" s="108"/>
      <c r="AGN74" s="108"/>
      <c r="AGO74" s="108"/>
      <c r="AGP74" s="108"/>
      <c r="AGQ74" s="108"/>
      <c r="AGR74" s="108"/>
      <c r="AGS74" s="108"/>
      <c r="AGT74" s="108"/>
      <c r="AGU74" s="108"/>
      <c r="AGV74" s="108"/>
      <c r="AGW74" s="108"/>
      <c r="AGX74" s="108"/>
      <c r="AGY74" s="108"/>
      <c r="AGZ74" s="108"/>
      <c r="AHA74" s="108"/>
      <c r="AHB74" s="108"/>
      <c r="AHC74" s="108"/>
      <c r="AHD74" s="108"/>
      <c r="AHE74" s="108"/>
      <c r="AHF74" s="108"/>
      <c r="AHG74" s="108"/>
      <c r="AHH74" s="108"/>
      <c r="AHI74" s="108"/>
      <c r="AHJ74" s="108"/>
      <c r="AHK74" s="108"/>
      <c r="AHL74" s="108"/>
      <c r="AHM74" s="108"/>
      <c r="AHN74" s="108"/>
      <c r="AHO74" s="108"/>
      <c r="AHP74" s="108"/>
      <c r="AHQ74" s="108"/>
      <c r="AHR74" s="108"/>
      <c r="AHS74" s="108"/>
      <c r="AHT74" s="108"/>
      <c r="AHU74" s="108"/>
      <c r="AHV74" s="108"/>
      <c r="AHW74" s="108"/>
      <c r="AHX74" s="108"/>
      <c r="AHY74" s="108"/>
      <c r="AHZ74" s="108"/>
      <c r="AIA74" s="108"/>
      <c r="AIB74" s="108"/>
      <c r="AIC74" s="108"/>
      <c r="AID74" s="108"/>
      <c r="AIE74" s="108"/>
      <c r="AIF74" s="108"/>
      <c r="AIG74" s="108"/>
      <c r="AIH74" s="108"/>
      <c r="AII74" s="108"/>
      <c r="AIJ74" s="108"/>
      <c r="AIK74" s="108"/>
      <c r="AIL74" s="108"/>
      <c r="AIM74" s="108"/>
      <c r="AIN74" s="108"/>
      <c r="AIO74" s="108"/>
      <c r="AIP74" s="108"/>
      <c r="AIQ74" s="108"/>
      <c r="AIR74" s="108"/>
      <c r="AIS74" s="108"/>
      <c r="AIT74" s="108"/>
      <c r="AIU74" s="108"/>
      <c r="AIV74" s="108"/>
      <c r="AIW74" s="108"/>
      <c r="AIX74" s="108"/>
      <c r="AIY74" s="108"/>
      <c r="AIZ74" s="108"/>
      <c r="AJA74" s="108"/>
      <c r="AJB74" s="108"/>
      <c r="AJC74" s="108"/>
      <c r="AJD74" s="108"/>
      <c r="AJE74" s="108"/>
      <c r="AJF74" s="108"/>
      <c r="AJG74" s="108"/>
      <c r="AJH74" s="108"/>
      <c r="AJI74" s="108"/>
      <c r="AJJ74" s="108"/>
      <c r="AJK74" s="108"/>
      <c r="AJL74" s="108"/>
      <c r="AJM74" s="108"/>
      <c r="AJN74" s="108"/>
      <c r="AJO74" s="108"/>
      <c r="AJP74" s="108"/>
      <c r="AJQ74" s="108"/>
      <c r="AJR74" s="108"/>
      <c r="AJS74" s="108"/>
      <c r="AJT74" s="108"/>
      <c r="AJU74" s="108"/>
      <c r="AJV74" s="108"/>
      <c r="AJW74" s="108"/>
      <c r="AJX74" s="108"/>
      <c r="AJY74" s="108"/>
      <c r="AJZ74" s="108"/>
      <c r="AKA74" s="108"/>
      <c r="AKB74" s="108"/>
      <c r="AKC74" s="108"/>
      <c r="AKD74" s="108"/>
      <c r="AKE74" s="108"/>
      <c r="AKF74" s="108"/>
      <c r="AKG74" s="108"/>
      <c r="AKH74" s="108"/>
      <c r="AKI74" s="108"/>
      <c r="AKJ74" s="108"/>
      <c r="AKK74" s="108"/>
      <c r="AKL74" s="108"/>
      <c r="AKM74" s="108"/>
      <c r="AKN74" s="108"/>
      <c r="AKO74" s="108"/>
      <c r="AKP74" s="108"/>
      <c r="AKQ74" s="108"/>
      <c r="AKR74" s="108"/>
      <c r="AKS74" s="108"/>
      <c r="AKT74" s="108"/>
      <c r="AKU74" s="108"/>
      <c r="AKV74" s="108"/>
      <c r="AKW74" s="108"/>
      <c r="AKX74" s="108"/>
      <c r="AKY74" s="108"/>
      <c r="AKZ74" s="108"/>
      <c r="ALA74" s="108"/>
      <c r="ALB74" s="108"/>
      <c r="ALC74" s="108"/>
      <c r="ALD74" s="108"/>
      <c r="ALE74" s="108"/>
      <c r="ALF74" s="108"/>
      <c r="ALG74" s="108"/>
      <c r="ALH74" s="108"/>
      <c r="ALI74" s="108"/>
      <c r="ALJ74" s="108"/>
      <c r="ALK74" s="108"/>
      <c r="ALL74" s="108"/>
      <c r="ALM74" s="108"/>
      <c r="ALN74" s="108"/>
      <c r="ALO74" s="108"/>
      <c r="ALP74" s="108"/>
      <c r="ALQ74" s="108"/>
      <c r="ALR74" s="108"/>
      <c r="ALS74" s="108"/>
      <c r="ALT74" s="108"/>
      <c r="ALU74" s="108"/>
      <c r="ALV74" s="108"/>
      <c r="ALW74" s="108"/>
      <c r="ALX74" s="108"/>
      <c r="ALY74" s="108"/>
      <c r="ALZ74" s="108"/>
      <c r="AMA74" s="108"/>
      <c r="AMB74" s="108"/>
      <c r="AMC74" s="108"/>
      <c r="AMD74" s="108"/>
      <c r="AME74" s="108"/>
      <c r="AMF74" s="108"/>
      <c r="AMG74" s="108"/>
      <c r="AMH74" s="108"/>
      <c r="AMI74" s="108"/>
      <c r="AMJ74" s="108"/>
    </row>
    <row r="75" s="144" customFormat="true" ht="15" hidden="false" customHeight="true" outlineLevel="0" collapsed="false">
      <c r="A75" s="140" t="s">
        <v>159</v>
      </c>
      <c r="B75" s="150" t="s">
        <v>160</v>
      </c>
    </row>
    <row r="76" s="144" customFormat="true" ht="15.75" hidden="false" customHeight="true" outlineLevel="0" collapsed="false">
      <c r="A76" s="131"/>
      <c r="B76" s="140" t="s">
        <v>161</v>
      </c>
      <c r="C76" s="151" t="s">
        <v>162</v>
      </c>
    </row>
    <row r="77" customFormat="false" ht="15" hidden="false" customHeight="false" outlineLevel="0" collapsed="false">
      <c r="B77" s="145" t="s">
        <v>163</v>
      </c>
      <c r="C77" s="152" t="s">
        <v>164</v>
      </c>
      <c r="D77" s="152"/>
      <c r="E77" s="152"/>
      <c r="F77" s="152"/>
    </row>
    <row r="78" customFormat="false" ht="24.75" hidden="false" customHeight="true" outlineLevel="0" collapsed="false"/>
    <row r="79" customFormat="false" ht="15" hidden="false" customHeight="false" outlineLevel="0" collapsed="false">
      <c r="A79" s="140" t="s">
        <v>165</v>
      </c>
      <c r="B79" s="132" t="s">
        <v>166</v>
      </c>
    </row>
    <row r="80" customFormat="false" ht="16.5" hidden="false" customHeight="true" outlineLevel="0" collapsed="false">
      <c r="B80" s="140" t="s">
        <v>167</v>
      </c>
      <c r="C80" s="151" t="s">
        <v>168</v>
      </c>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c r="HM80" s="144"/>
      <c r="HN80" s="144"/>
      <c r="HO80" s="144"/>
      <c r="HP80" s="144"/>
      <c r="HQ80" s="144"/>
      <c r="HR80" s="144"/>
      <c r="HS80" s="144"/>
      <c r="HT80" s="144"/>
      <c r="HU80" s="144"/>
      <c r="HV80" s="144"/>
      <c r="HW80" s="144"/>
      <c r="HX80" s="144"/>
      <c r="HY80" s="144"/>
      <c r="HZ80" s="144"/>
      <c r="IA80" s="144"/>
      <c r="IB80" s="144"/>
      <c r="IC80" s="144"/>
      <c r="ID80" s="144"/>
      <c r="IE80" s="144"/>
      <c r="IF80" s="144"/>
      <c r="IG80" s="144"/>
      <c r="IH80" s="144"/>
      <c r="II80" s="144"/>
      <c r="IJ80" s="144"/>
      <c r="IK80" s="144"/>
      <c r="IL80" s="144"/>
      <c r="IM80" s="144"/>
      <c r="IN80" s="144"/>
      <c r="IO80" s="144"/>
      <c r="IP80" s="144"/>
      <c r="IQ80" s="144"/>
      <c r="IR80" s="144"/>
      <c r="IS80" s="144"/>
      <c r="IT80" s="144"/>
      <c r="IU80" s="144"/>
      <c r="IV80" s="144"/>
      <c r="IW80" s="144"/>
      <c r="IX80" s="144"/>
      <c r="IY80" s="144"/>
      <c r="IZ80" s="144"/>
      <c r="JA80" s="144"/>
      <c r="JB80" s="144"/>
      <c r="JC80" s="144"/>
      <c r="JD80" s="144"/>
      <c r="JE80" s="144"/>
      <c r="JF80" s="144"/>
      <c r="JG80" s="144"/>
      <c r="JH80" s="144"/>
      <c r="JI80" s="144"/>
      <c r="JJ80" s="144"/>
      <c r="JK80" s="144"/>
      <c r="JL80" s="144"/>
      <c r="JM80" s="144"/>
      <c r="JN80" s="144"/>
      <c r="JO80" s="144"/>
      <c r="JP80" s="144"/>
      <c r="JQ80" s="144"/>
      <c r="JR80" s="144"/>
      <c r="JS80" s="144"/>
      <c r="JT80" s="144"/>
      <c r="JU80" s="144"/>
      <c r="JV80" s="144"/>
      <c r="JW80" s="144"/>
      <c r="JX80" s="144"/>
      <c r="JY80" s="144"/>
      <c r="JZ80" s="144"/>
      <c r="KA80" s="144"/>
      <c r="KB80" s="144"/>
      <c r="KC80" s="144"/>
      <c r="KD80" s="144"/>
      <c r="KE80" s="144"/>
      <c r="KF80" s="144"/>
      <c r="KG80" s="144"/>
      <c r="KH80" s="144"/>
      <c r="KI80" s="144"/>
      <c r="KJ80" s="144"/>
      <c r="KK80" s="144"/>
      <c r="KL80" s="144"/>
      <c r="KM80" s="144"/>
      <c r="KN80" s="144"/>
      <c r="KO80" s="144"/>
      <c r="KP80" s="144"/>
      <c r="KQ80" s="144"/>
      <c r="KR80" s="144"/>
      <c r="KS80" s="144"/>
      <c r="KT80" s="144"/>
      <c r="KU80" s="144"/>
      <c r="KV80" s="144"/>
      <c r="KW80" s="144"/>
      <c r="KX80" s="144"/>
      <c r="KY80" s="144"/>
      <c r="KZ80" s="144"/>
      <c r="LA80" s="144"/>
      <c r="LB80" s="144"/>
      <c r="LC80" s="144"/>
      <c r="LD80" s="144"/>
      <c r="LE80" s="144"/>
      <c r="LF80" s="144"/>
      <c r="LG80" s="144"/>
      <c r="LH80" s="144"/>
      <c r="LI80" s="144"/>
      <c r="LJ80" s="144"/>
      <c r="LK80" s="144"/>
      <c r="LL80" s="144"/>
      <c r="LM80" s="144"/>
      <c r="LN80" s="144"/>
      <c r="LO80" s="144"/>
      <c r="LP80" s="144"/>
      <c r="LQ80" s="144"/>
      <c r="LR80" s="144"/>
      <c r="LS80" s="144"/>
      <c r="LT80" s="144"/>
      <c r="LU80" s="144"/>
      <c r="LV80" s="144"/>
      <c r="LW80" s="144"/>
      <c r="LX80" s="144"/>
      <c r="LY80" s="144"/>
      <c r="LZ80" s="144"/>
      <c r="MA80" s="144"/>
      <c r="MB80" s="144"/>
      <c r="MC80" s="144"/>
      <c r="MD80" s="144"/>
      <c r="ME80" s="144"/>
      <c r="MF80" s="144"/>
      <c r="MG80" s="144"/>
      <c r="MH80" s="144"/>
      <c r="MI80" s="144"/>
      <c r="MJ80" s="144"/>
      <c r="MK80" s="144"/>
      <c r="ML80" s="144"/>
      <c r="MM80" s="144"/>
      <c r="MN80" s="144"/>
      <c r="MO80" s="144"/>
      <c r="MP80" s="144"/>
      <c r="MQ80" s="144"/>
      <c r="MR80" s="144"/>
      <c r="MS80" s="144"/>
      <c r="MT80" s="144"/>
      <c r="MU80" s="144"/>
      <c r="MV80" s="144"/>
      <c r="MW80" s="144"/>
      <c r="MX80" s="144"/>
      <c r="MY80" s="144"/>
      <c r="MZ80" s="144"/>
      <c r="NA80" s="144"/>
      <c r="NB80" s="144"/>
      <c r="NC80" s="144"/>
      <c r="ND80" s="144"/>
      <c r="NE80" s="144"/>
      <c r="NF80" s="144"/>
      <c r="NG80" s="144"/>
      <c r="NH80" s="144"/>
      <c r="NI80" s="144"/>
      <c r="NJ80" s="144"/>
      <c r="NK80" s="144"/>
      <c r="NL80" s="144"/>
      <c r="NM80" s="144"/>
      <c r="NN80" s="144"/>
      <c r="NO80" s="144"/>
      <c r="NP80" s="144"/>
      <c r="NQ80" s="144"/>
      <c r="NR80" s="144"/>
      <c r="NS80" s="144"/>
      <c r="NT80" s="144"/>
      <c r="NU80" s="144"/>
      <c r="NV80" s="144"/>
      <c r="NW80" s="144"/>
      <c r="NX80" s="144"/>
      <c r="NY80" s="144"/>
      <c r="NZ80" s="144"/>
      <c r="OA80" s="144"/>
      <c r="OB80" s="144"/>
      <c r="OC80" s="144"/>
      <c r="OD80" s="144"/>
      <c r="OE80" s="144"/>
      <c r="OF80" s="144"/>
      <c r="OG80" s="144"/>
      <c r="OH80" s="144"/>
      <c r="OI80" s="144"/>
      <c r="OJ80" s="144"/>
      <c r="OK80" s="144"/>
      <c r="OL80" s="144"/>
      <c r="OM80" s="144"/>
      <c r="ON80" s="144"/>
      <c r="OO80" s="144"/>
      <c r="OP80" s="144"/>
      <c r="OQ80" s="144"/>
      <c r="OR80" s="144"/>
      <c r="OS80" s="144"/>
      <c r="OT80" s="144"/>
      <c r="OU80" s="144"/>
      <c r="OV80" s="144"/>
      <c r="OW80" s="144"/>
      <c r="OX80" s="144"/>
      <c r="OY80" s="144"/>
      <c r="OZ80" s="144"/>
      <c r="PA80" s="144"/>
      <c r="PB80" s="144"/>
      <c r="PC80" s="144"/>
      <c r="PD80" s="144"/>
      <c r="PE80" s="144"/>
      <c r="PF80" s="144"/>
      <c r="PG80" s="144"/>
      <c r="PH80" s="144"/>
      <c r="PI80" s="144"/>
      <c r="PJ80" s="144"/>
      <c r="PK80" s="144"/>
      <c r="PL80" s="144"/>
      <c r="PM80" s="144"/>
      <c r="PN80" s="144"/>
      <c r="PO80" s="144"/>
      <c r="PP80" s="144"/>
      <c r="PQ80" s="144"/>
      <c r="PR80" s="144"/>
      <c r="PS80" s="144"/>
      <c r="PT80" s="144"/>
      <c r="PU80" s="144"/>
      <c r="PV80" s="144"/>
      <c r="PW80" s="144"/>
      <c r="PX80" s="144"/>
      <c r="PY80" s="144"/>
      <c r="PZ80" s="144"/>
      <c r="QA80" s="144"/>
      <c r="QB80" s="144"/>
      <c r="QC80" s="144"/>
      <c r="QD80" s="144"/>
      <c r="QE80" s="144"/>
      <c r="QF80" s="144"/>
      <c r="QG80" s="144"/>
      <c r="QH80" s="144"/>
      <c r="QI80" s="144"/>
      <c r="QJ80" s="144"/>
      <c r="QK80" s="144"/>
      <c r="QL80" s="144"/>
      <c r="QM80" s="144"/>
      <c r="QN80" s="144"/>
      <c r="QO80" s="144"/>
      <c r="QP80" s="144"/>
      <c r="QQ80" s="144"/>
      <c r="QR80" s="144"/>
      <c r="QS80" s="144"/>
      <c r="QT80" s="144"/>
      <c r="QU80" s="144"/>
      <c r="QV80" s="144"/>
      <c r="QW80" s="144"/>
      <c r="QX80" s="144"/>
      <c r="QY80" s="144"/>
      <c r="QZ80" s="144"/>
      <c r="RA80" s="144"/>
      <c r="RB80" s="144"/>
      <c r="RC80" s="144"/>
      <c r="RD80" s="144"/>
      <c r="RE80" s="144"/>
      <c r="RF80" s="144"/>
      <c r="RG80" s="144"/>
      <c r="RH80" s="144"/>
      <c r="RI80" s="144"/>
      <c r="RJ80" s="144"/>
      <c r="RK80" s="144"/>
      <c r="RL80" s="144"/>
      <c r="RM80" s="144"/>
      <c r="RN80" s="144"/>
      <c r="RO80" s="144"/>
      <c r="RP80" s="144"/>
      <c r="RQ80" s="144"/>
      <c r="RR80" s="144"/>
      <c r="RS80" s="144"/>
      <c r="RT80" s="144"/>
      <c r="RU80" s="144"/>
      <c r="RV80" s="144"/>
      <c r="RW80" s="144"/>
      <c r="RX80" s="144"/>
      <c r="RY80" s="144"/>
      <c r="RZ80" s="144"/>
      <c r="SA80" s="144"/>
      <c r="SB80" s="144"/>
      <c r="SC80" s="144"/>
      <c r="SD80" s="144"/>
      <c r="SE80" s="144"/>
      <c r="SF80" s="144"/>
      <c r="SG80" s="144"/>
      <c r="SH80" s="144"/>
      <c r="SI80" s="144"/>
      <c r="SJ80" s="144"/>
      <c r="SK80" s="144"/>
      <c r="SL80" s="144"/>
      <c r="SM80" s="144"/>
      <c r="SN80" s="144"/>
      <c r="SO80" s="144"/>
      <c r="SP80" s="144"/>
      <c r="SQ80" s="144"/>
      <c r="SR80" s="144"/>
      <c r="SS80" s="144"/>
      <c r="ST80" s="144"/>
      <c r="SU80" s="144"/>
      <c r="SV80" s="144"/>
      <c r="SW80" s="144"/>
      <c r="SX80" s="144"/>
      <c r="SY80" s="144"/>
      <c r="SZ80" s="144"/>
      <c r="TA80" s="144"/>
      <c r="TB80" s="144"/>
      <c r="TC80" s="144"/>
      <c r="TD80" s="144"/>
      <c r="TE80" s="144"/>
      <c r="TF80" s="144"/>
      <c r="TG80" s="144"/>
      <c r="TH80" s="144"/>
      <c r="TI80" s="144"/>
      <c r="TJ80" s="144"/>
      <c r="TK80" s="144"/>
      <c r="TL80" s="144"/>
      <c r="TM80" s="144"/>
      <c r="TN80" s="144"/>
      <c r="TO80" s="144"/>
      <c r="TP80" s="144"/>
      <c r="TQ80" s="144"/>
      <c r="TR80" s="144"/>
      <c r="TS80" s="144"/>
      <c r="TT80" s="144"/>
      <c r="TU80" s="144"/>
      <c r="TV80" s="144"/>
      <c r="TW80" s="144"/>
      <c r="TX80" s="144"/>
      <c r="TY80" s="144"/>
      <c r="TZ80" s="144"/>
      <c r="UA80" s="144"/>
      <c r="UB80" s="144"/>
      <c r="UC80" s="144"/>
      <c r="UD80" s="144"/>
      <c r="UE80" s="144"/>
      <c r="UF80" s="144"/>
      <c r="UG80" s="144"/>
      <c r="UH80" s="144"/>
      <c r="UI80" s="144"/>
      <c r="UJ80" s="144"/>
      <c r="UK80" s="144"/>
      <c r="UL80" s="144"/>
      <c r="UM80" s="144"/>
      <c r="UN80" s="144"/>
      <c r="UO80" s="144"/>
      <c r="UP80" s="144"/>
      <c r="UQ80" s="144"/>
      <c r="UR80" s="144"/>
      <c r="US80" s="144"/>
      <c r="UT80" s="144"/>
      <c r="UU80" s="144"/>
      <c r="UV80" s="144"/>
      <c r="UW80" s="144"/>
      <c r="UX80" s="144"/>
      <c r="UY80" s="144"/>
      <c r="UZ80" s="144"/>
      <c r="VA80" s="144"/>
      <c r="VB80" s="144"/>
      <c r="VC80" s="144"/>
      <c r="VD80" s="144"/>
      <c r="VE80" s="144"/>
      <c r="VF80" s="144"/>
      <c r="VG80" s="144"/>
      <c r="VH80" s="144"/>
      <c r="VI80" s="144"/>
      <c r="VJ80" s="144"/>
      <c r="VK80" s="144"/>
      <c r="VL80" s="144"/>
      <c r="VM80" s="144"/>
      <c r="VN80" s="144"/>
      <c r="VO80" s="144"/>
      <c r="VP80" s="144"/>
      <c r="VQ80" s="144"/>
      <c r="VR80" s="144"/>
      <c r="VS80" s="144"/>
      <c r="VT80" s="144"/>
      <c r="VU80" s="144"/>
      <c r="VV80" s="144"/>
      <c r="VW80" s="144"/>
      <c r="VX80" s="144"/>
      <c r="VY80" s="144"/>
      <c r="VZ80" s="144"/>
      <c r="WA80" s="144"/>
      <c r="WB80" s="144"/>
      <c r="WC80" s="144"/>
      <c r="WD80" s="144"/>
      <c r="WE80" s="144"/>
      <c r="WF80" s="144"/>
      <c r="WG80" s="144"/>
      <c r="WH80" s="144"/>
      <c r="WI80" s="144"/>
      <c r="WJ80" s="144"/>
      <c r="WK80" s="144"/>
      <c r="WL80" s="144"/>
      <c r="WM80" s="144"/>
      <c r="WN80" s="144"/>
      <c r="WO80" s="144"/>
      <c r="WP80" s="144"/>
      <c r="WQ80" s="144"/>
      <c r="WR80" s="144"/>
      <c r="WS80" s="144"/>
      <c r="WT80" s="144"/>
      <c r="WU80" s="144"/>
      <c r="WV80" s="144"/>
      <c r="WW80" s="144"/>
      <c r="WX80" s="144"/>
      <c r="WY80" s="144"/>
      <c r="WZ80" s="144"/>
      <c r="XA80" s="144"/>
      <c r="XB80" s="144"/>
      <c r="XC80" s="144"/>
      <c r="XD80" s="144"/>
      <c r="XE80" s="144"/>
      <c r="XF80" s="144"/>
      <c r="XG80" s="144"/>
      <c r="XH80" s="144"/>
      <c r="XI80" s="144"/>
      <c r="XJ80" s="144"/>
      <c r="XK80" s="144"/>
      <c r="XL80" s="144"/>
      <c r="XM80" s="144"/>
      <c r="XN80" s="144"/>
      <c r="XO80" s="144"/>
      <c r="XP80" s="144"/>
      <c r="XQ80" s="144"/>
      <c r="XR80" s="144"/>
      <c r="XS80" s="144"/>
      <c r="XT80" s="144"/>
      <c r="XU80" s="144"/>
      <c r="XV80" s="144"/>
      <c r="XW80" s="144"/>
      <c r="XX80" s="144"/>
      <c r="XY80" s="144"/>
      <c r="XZ80" s="144"/>
      <c r="YA80" s="144"/>
      <c r="YB80" s="144"/>
      <c r="YC80" s="144"/>
      <c r="YD80" s="144"/>
      <c r="YE80" s="144"/>
      <c r="YF80" s="144"/>
      <c r="YG80" s="144"/>
      <c r="YH80" s="144"/>
      <c r="YI80" s="144"/>
      <c r="YJ80" s="144"/>
      <c r="YK80" s="144"/>
      <c r="YL80" s="144"/>
      <c r="YM80" s="144"/>
      <c r="YN80" s="144"/>
      <c r="YO80" s="144"/>
      <c r="YP80" s="144"/>
      <c r="YQ80" s="144"/>
      <c r="YR80" s="144"/>
      <c r="YS80" s="144"/>
      <c r="YT80" s="144"/>
      <c r="YU80" s="144"/>
      <c r="YV80" s="144"/>
      <c r="YW80" s="144"/>
      <c r="YX80" s="144"/>
      <c r="YY80" s="144"/>
      <c r="YZ80" s="144"/>
      <c r="ZA80" s="144"/>
      <c r="ZB80" s="144"/>
      <c r="ZC80" s="144"/>
      <c r="ZD80" s="144"/>
      <c r="ZE80" s="144"/>
      <c r="ZF80" s="144"/>
      <c r="ZG80" s="144"/>
      <c r="ZH80" s="144"/>
      <c r="ZI80" s="144"/>
      <c r="ZJ80" s="144"/>
      <c r="ZK80" s="144"/>
      <c r="ZL80" s="144"/>
      <c r="ZM80" s="144"/>
      <c r="ZN80" s="144"/>
      <c r="ZO80" s="144"/>
      <c r="ZP80" s="144"/>
      <c r="ZQ80" s="144"/>
      <c r="ZR80" s="144"/>
      <c r="ZS80" s="144"/>
      <c r="ZT80" s="144"/>
      <c r="ZU80" s="144"/>
      <c r="ZV80" s="144"/>
      <c r="ZW80" s="144"/>
      <c r="ZX80" s="144"/>
      <c r="ZY80" s="144"/>
      <c r="ZZ80" s="144"/>
      <c r="AAA80" s="144"/>
      <c r="AAB80" s="144"/>
      <c r="AAC80" s="144"/>
      <c r="AAD80" s="144"/>
      <c r="AAE80" s="144"/>
      <c r="AAF80" s="144"/>
      <c r="AAG80" s="144"/>
      <c r="AAH80" s="144"/>
      <c r="AAI80" s="144"/>
      <c r="AAJ80" s="144"/>
      <c r="AAK80" s="144"/>
      <c r="AAL80" s="144"/>
      <c r="AAM80" s="144"/>
      <c r="AAN80" s="144"/>
      <c r="AAO80" s="144"/>
      <c r="AAP80" s="144"/>
      <c r="AAQ80" s="144"/>
      <c r="AAR80" s="144"/>
      <c r="AAS80" s="144"/>
      <c r="AAT80" s="144"/>
      <c r="AAU80" s="144"/>
      <c r="AAV80" s="144"/>
      <c r="AAW80" s="144"/>
      <c r="AAX80" s="144"/>
      <c r="AAY80" s="144"/>
      <c r="AAZ80" s="144"/>
      <c r="ABA80" s="144"/>
      <c r="ABB80" s="144"/>
      <c r="ABC80" s="144"/>
      <c r="ABD80" s="144"/>
      <c r="ABE80" s="144"/>
      <c r="ABF80" s="144"/>
      <c r="ABG80" s="144"/>
      <c r="ABH80" s="144"/>
      <c r="ABI80" s="144"/>
      <c r="ABJ80" s="144"/>
      <c r="ABK80" s="144"/>
      <c r="ABL80" s="144"/>
      <c r="ABM80" s="144"/>
      <c r="ABN80" s="144"/>
      <c r="ABO80" s="144"/>
      <c r="ABP80" s="144"/>
      <c r="ABQ80" s="144"/>
      <c r="ABR80" s="144"/>
      <c r="ABS80" s="144"/>
      <c r="ABT80" s="144"/>
      <c r="ABU80" s="144"/>
      <c r="ABV80" s="144"/>
      <c r="ABW80" s="144"/>
      <c r="ABX80" s="144"/>
      <c r="ABY80" s="144"/>
      <c r="ABZ80" s="144"/>
      <c r="ACA80" s="144"/>
      <c r="ACB80" s="144"/>
      <c r="ACC80" s="144"/>
      <c r="ACD80" s="144"/>
      <c r="ACE80" s="144"/>
      <c r="ACF80" s="144"/>
      <c r="ACG80" s="144"/>
      <c r="ACH80" s="144"/>
      <c r="ACI80" s="144"/>
      <c r="ACJ80" s="144"/>
      <c r="ACK80" s="144"/>
      <c r="ACL80" s="144"/>
      <c r="ACM80" s="144"/>
      <c r="ACN80" s="144"/>
      <c r="ACO80" s="144"/>
      <c r="ACP80" s="144"/>
      <c r="ACQ80" s="144"/>
      <c r="ACR80" s="144"/>
      <c r="ACS80" s="144"/>
      <c r="ACT80" s="144"/>
      <c r="ACU80" s="144"/>
      <c r="ACV80" s="144"/>
      <c r="ACW80" s="144"/>
      <c r="ACX80" s="144"/>
      <c r="ACY80" s="144"/>
      <c r="ACZ80" s="144"/>
      <c r="ADA80" s="144"/>
      <c r="ADB80" s="144"/>
      <c r="ADC80" s="144"/>
      <c r="ADD80" s="144"/>
      <c r="ADE80" s="144"/>
      <c r="ADF80" s="144"/>
      <c r="ADG80" s="144"/>
      <c r="ADH80" s="144"/>
      <c r="ADI80" s="144"/>
      <c r="ADJ80" s="144"/>
      <c r="ADK80" s="144"/>
      <c r="ADL80" s="144"/>
      <c r="ADM80" s="144"/>
      <c r="ADN80" s="144"/>
      <c r="ADO80" s="144"/>
      <c r="ADP80" s="144"/>
      <c r="ADQ80" s="144"/>
      <c r="ADR80" s="144"/>
      <c r="ADS80" s="144"/>
      <c r="ADT80" s="144"/>
      <c r="ADU80" s="144"/>
      <c r="ADV80" s="144"/>
      <c r="ADW80" s="144"/>
      <c r="ADX80" s="144"/>
      <c r="ADY80" s="144"/>
      <c r="ADZ80" s="144"/>
      <c r="AEA80" s="144"/>
      <c r="AEB80" s="144"/>
      <c r="AEC80" s="144"/>
      <c r="AED80" s="144"/>
      <c r="AEE80" s="144"/>
      <c r="AEF80" s="144"/>
      <c r="AEG80" s="144"/>
      <c r="AEH80" s="144"/>
      <c r="AEI80" s="144"/>
      <c r="AEJ80" s="144"/>
      <c r="AEK80" s="144"/>
      <c r="AEL80" s="144"/>
      <c r="AEM80" s="144"/>
      <c r="AEN80" s="144"/>
      <c r="AEO80" s="144"/>
      <c r="AEP80" s="144"/>
      <c r="AEQ80" s="144"/>
      <c r="AER80" s="144"/>
      <c r="AES80" s="144"/>
      <c r="AET80" s="144"/>
      <c r="AEU80" s="144"/>
      <c r="AEV80" s="144"/>
      <c r="AEW80" s="144"/>
      <c r="AEX80" s="144"/>
      <c r="AEY80" s="144"/>
      <c r="AEZ80" s="144"/>
      <c r="AFA80" s="144"/>
      <c r="AFB80" s="144"/>
      <c r="AFC80" s="144"/>
      <c r="AFD80" s="144"/>
      <c r="AFE80" s="144"/>
      <c r="AFF80" s="144"/>
      <c r="AFG80" s="144"/>
      <c r="AFH80" s="144"/>
      <c r="AFI80" s="144"/>
      <c r="AFJ80" s="144"/>
      <c r="AFK80" s="144"/>
      <c r="AFL80" s="144"/>
      <c r="AFM80" s="144"/>
      <c r="AFN80" s="144"/>
      <c r="AFO80" s="144"/>
      <c r="AFP80" s="144"/>
      <c r="AFQ80" s="144"/>
      <c r="AFR80" s="144"/>
      <c r="AFS80" s="144"/>
      <c r="AFT80" s="144"/>
      <c r="AFU80" s="144"/>
      <c r="AFV80" s="144"/>
      <c r="AFW80" s="144"/>
      <c r="AFX80" s="144"/>
      <c r="AFY80" s="144"/>
      <c r="AFZ80" s="144"/>
      <c r="AGA80" s="144"/>
      <c r="AGB80" s="144"/>
      <c r="AGC80" s="144"/>
      <c r="AGD80" s="144"/>
      <c r="AGE80" s="144"/>
      <c r="AGF80" s="144"/>
      <c r="AGG80" s="144"/>
      <c r="AGH80" s="144"/>
      <c r="AGI80" s="144"/>
      <c r="AGJ80" s="144"/>
      <c r="AGK80" s="144"/>
      <c r="AGL80" s="144"/>
      <c r="AGM80" s="144"/>
      <c r="AGN80" s="144"/>
      <c r="AGO80" s="144"/>
      <c r="AGP80" s="144"/>
      <c r="AGQ80" s="144"/>
      <c r="AGR80" s="144"/>
      <c r="AGS80" s="144"/>
      <c r="AGT80" s="144"/>
      <c r="AGU80" s="144"/>
      <c r="AGV80" s="144"/>
      <c r="AGW80" s="144"/>
      <c r="AGX80" s="144"/>
      <c r="AGY80" s="144"/>
      <c r="AGZ80" s="144"/>
      <c r="AHA80" s="144"/>
      <c r="AHB80" s="144"/>
      <c r="AHC80" s="144"/>
      <c r="AHD80" s="144"/>
      <c r="AHE80" s="144"/>
      <c r="AHF80" s="144"/>
      <c r="AHG80" s="144"/>
      <c r="AHH80" s="144"/>
      <c r="AHI80" s="144"/>
      <c r="AHJ80" s="144"/>
      <c r="AHK80" s="144"/>
      <c r="AHL80" s="144"/>
      <c r="AHM80" s="144"/>
      <c r="AHN80" s="144"/>
      <c r="AHO80" s="144"/>
      <c r="AHP80" s="144"/>
      <c r="AHQ80" s="144"/>
      <c r="AHR80" s="144"/>
      <c r="AHS80" s="144"/>
      <c r="AHT80" s="144"/>
      <c r="AHU80" s="144"/>
      <c r="AHV80" s="144"/>
      <c r="AHW80" s="144"/>
      <c r="AHX80" s="144"/>
      <c r="AHY80" s="144"/>
      <c r="AHZ80" s="144"/>
      <c r="AIA80" s="144"/>
      <c r="AIB80" s="144"/>
      <c r="AIC80" s="144"/>
      <c r="AID80" s="144"/>
      <c r="AIE80" s="144"/>
      <c r="AIF80" s="144"/>
      <c r="AIG80" s="144"/>
      <c r="AIH80" s="144"/>
      <c r="AII80" s="144"/>
      <c r="AIJ80" s="144"/>
      <c r="AIK80" s="144"/>
      <c r="AIL80" s="144"/>
      <c r="AIM80" s="144"/>
      <c r="AIN80" s="144"/>
      <c r="AIO80" s="144"/>
      <c r="AIP80" s="144"/>
      <c r="AIQ80" s="144"/>
      <c r="AIR80" s="144"/>
      <c r="AIS80" s="144"/>
      <c r="AIT80" s="144"/>
      <c r="AIU80" s="144"/>
      <c r="AIV80" s="144"/>
      <c r="AIW80" s="144"/>
      <c r="AIX80" s="144"/>
      <c r="AIY80" s="144"/>
      <c r="AIZ80" s="144"/>
      <c r="AJA80" s="144"/>
      <c r="AJB80" s="144"/>
      <c r="AJC80" s="144"/>
      <c r="AJD80" s="144"/>
      <c r="AJE80" s="144"/>
      <c r="AJF80" s="144"/>
      <c r="AJG80" s="144"/>
      <c r="AJH80" s="144"/>
      <c r="AJI80" s="144"/>
      <c r="AJJ80" s="144"/>
      <c r="AJK80" s="144"/>
      <c r="AJL80" s="144"/>
      <c r="AJM80" s="144"/>
      <c r="AJN80" s="144"/>
      <c r="AJO80" s="144"/>
      <c r="AJP80" s="144"/>
      <c r="AJQ80" s="144"/>
      <c r="AJR80" s="144"/>
      <c r="AJS80" s="144"/>
      <c r="AJT80" s="144"/>
      <c r="AJU80" s="144"/>
      <c r="AJV80" s="144"/>
      <c r="AJW80" s="144"/>
      <c r="AJX80" s="144"/>
      <c r="AJY80" s="144"/>
      <c r="AJZ80" s="144"/>
      <c r="AKA80" s="144"/>
      <c r="AKB80" s="144"/>
      <c r="AKC80" s="144"/>
      <c r="AKD80" s="144"/>
      <c r="AKE80" s="144"/>
      <c r="AKF80" s="144"/>
      <c r="AKG80" s="144"/>
      <c r="AKH80" s="144"/>
      <c r="AKI80" s="144"/>
      <c r="AKJ80" s="144"/>
      <c r="AKK80" s="144"/>
      <c r="AKL80" s="144"/>
      <c r="AKM80" s="144"/>
      <c r="AKN80" s="144"/>
      <c r="AKO80" s="144"/>
      <c r="AKP80" s="144"/>
      <c r="AKQ80" s="144"/>
      <c r="AKR80" s="144"/>
      <c r="AKS80" s="144"/>
      <c r="AKT80" s="144"/>
      <c r="AKU80" s="144"/>
      <c r="AKV80" s="144"/>
      <c r="AKW80" s="144"/>
      <c r="AKX80" s="144"/>
      <c r="AKY80" s="144"/>
      <c r="AKZ80" s="144"/>
      <c r="ALA80" s="144"/>
      <c r="ALB80" s="144"/>
      <c r="ALC80" s="144"/>
      <c r="ALD80" s="144"/>
      <c r="ALE80" s="144"/>
      <c r="ALF80" s="144"/>
      <c r="ALG80" s="144"/>
      <c r="ALH80" s="144"/>
      <c r="ALI80" s="144"/>
      <c r="ALJ80" s="144"/>
      <c r="ALK80" s="144"/>
      <c r="ALL80" s="144"/>
      <c r="ALM80" s="144"/>
      <c r="ALN80" s="144"/>
      <c r="ALO80" s="144"/>
      <c r="ALP80" s="144"/>
      <c r="ALQ80" s="144"/>
      <c r="ALR80" s="144"/>
      <c r="ALS80" s="144"/>
      <c r="ALT80" s="144"/>
      <c r="ALU80" s="144"/>
      <c r="ALV80" s="144"/>
      <c r="ALW80" s="144"/>
      <c r="ALX80" s="144"/>
      <c r="ALY80" s="144"/>
      <c r="ALZ80" s="144"/>
      <c r="AMA80" s="144"/>
      <c r="AMB80" s="144"/>
      <c r="AMC80" s="144"/>
      <c r="AMD80" s="144"/>
      <c r="AME80" s="144"/>
      <c r="AMF80" s="144"/>
      <c r="AMG80" s="144"/>
      <c r="AMH80" s="144"/>
      <c r="AMI80" s="144"/>
      <c r="AMJ80" s="144"/>
    </row>
    <row r="81" customFormat="false" ht="14.25" hidden="false" customHeight="true" outlineLevel="0" collapsed="false">
      <c r="B81" s="140" t="s">
        <v>169</v>
      </c>
      <c r="C81" s="153" t="s">
        <v>158</v>
      </c>
      <c r="D81" s="153"/>
      <c r="E81" s="153"/>
      <c r="F81" s="153"/>
      <c r="G81" s="153"/>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c r="HM81" s="144"/>
      <c r="HN81" s="144"/>
      <c r="HO81" s="144"/>
      <c r="HP81" s="144"/>
      <c r="HQ81" s="144"/>
      <c r="HR81" s="144"/>
      <c r="HS81" s="144"/>
      <c r="HT81" s="144"/>
      <c r="HU81" s="144"/>
      <c r="HV81" s="144"/>
      <c r="HW81" s="144"/>
      <c r="HX81" s="144"/>
      <c r="HY81" s="144"/>
      <c r="HZ81" s="144"/>
      <c r="IA81" s="144"/>
      <c r="IB81" s="144"/>
      <c r="IC81" s="144"/>
      <c r="ID81" s="144"/>
      <c r="IE81" s="144"/>
      <c r="IF81" s="144"/>
      <c r="IG81" s="144"/>
      <c r="IH81" s="144"/>
      <c r="II81" s="144"/>
      <c r="IJ81" s="144"/>
      <c r="IK81" s="144"/>
      <c r="IL81" s="144"/>
      <c r="IM81" s="144"/>
      <c r="IN81" s="144"/>
      <c r="IO81" s="144"/>
      <c r="IP81" s="144"/>
      <c r="IQ81" s="144"/>
      <c r="IR81" s="144"/>
      <c r="IS81" s="144"/>
      <c r="IT81" s="144"/>
      <c r="IU81" s="144"/>
      <c r="IV81" s="144"/>
      <c r="IW81" s="144"/>
      <c r="IX81" s="144"/>
      <c r="IY81" s="144"/>
      <c r="IZ81" s="144"/>
      <c r="JA81" s="144"/>
      <c r="JB81" s="144"/>
      <c r="JC81" s="144"/>
      <c r="JD81" s="144"/>
      <c r="JE81" s="144"/>
      <c r="JF81" s="144"/>
      <c r="JG81" s="144"/>
      <c r="JH81" s="144"/>
      <c r="JI81" s="144"/>
      <c r="JJ81" s="144"/>
      <c r="JK81" s="144"/>
      <c r="JL81" s="144"/>
      <c r="JM81" s="144"/>
      <c r="JN81" s="144"/>
      <c r="JO81" s="144"/>
      <c r="JP81" s="144"/>
      <c r="JQ81" s="144"/>
      <c r="JR81" s="144"/>
      <c r="JS81" s="144"/>
      <c r="JT81" s="144"/>
      <c r="JU81" s="144"/>
      <c r="JV81" s="144"/>
      <c r="JW81" s="144"/>
      <c r="JX81" s="144"/>
      <c r="JY81" s="144"/>
      <c r="JZ81" s="144"/>
      <c r="KA81" s="144"/>
      <c r="KB81" s="144"/>
      <c r="KC81" s="144"/>
      <c r="KD81" s="144"/>
      <c r="KE81" s="144"/>
      <c r="KF81" s="144"/>
      <c r="KG81" s="144"/>
      <c r="KH81" s="144"/>
      <c r="KI81" s="144"/>
      <c r="KJ81" s="144"/>
      <c r="KK81" s="144"/>
      <c r="KL81" s="144"/>
      <c r="KM81" s="144"/>
      <c r="KN81" s="144"/>
      <c r="KO81" s="144"/>
      <c r="KP81" s="144"/>
      <c r="KQ81" s="144"/>
      <c r="KR81" s="144"/>
      <c r="KS81" s="144"/>
      <c r="KT81" s="144"/>
      <c r="KU81" s="144"/>
      <c r="KV81" s="144"/>
      <c r="KW81" s="144"/>
      <c r="KX81" s="144"/>
      <c r="KY81" s="144"/>
      <c r="KZ81" s="144"/>
      <c r="LA81" s="144"/>
      <c r="LB81" s="144"/>
      <c r="LC81" s="144"/>
      <c r="LD81" s="144"/>
      <c r="LE81" s="144"/>
      <c r="LF81" s="144"/>
      <c r="LG81" s="144"/>
      <c r="LH81" s="144"/>
      <c r="LI81" s="144"/>
      <c r="LJ81" s="144"/>
      <c r="LK81" s="144"/>
      <c r="LL81" s="144"/>
      <c r="LM81" s="144"/>
      <c r="LN81" s="144"/>
      <c r="LO81" s="144"/>
      <c r="LP81" s="144"/>
      <c r="LQ81" s="144"/>
      <c r="LR81" s="144"/>
      <c r="LS81" s="144"/>
      <c r="LT81" s="144"/>
      <c r="LU81" s="144"/>
      <c r="LV81" s="144"/>
      <c r="LW81" s="144"/>
      <c r="LX81" s="144"/>
      <c r="LY81" s="144"/>
      <c r="LZ81" s="144"/>
      <c r="MA81" s="144"/>
      <c r="MB81" s="144"/>
      <c r="MC81" s="144"/>
      <c r="MD81" s="144"/>
      <c r="ME81" s="144"/>
      <c r="MF81" s="144"/>
      <c r="MG81" s="144"/>
      <c r="MH81" s="144"/>
      <c r="MI81" s="144"/>
      <c r="MJ81" s="144"/>
      <c r="MK81" s="144"/>
      <c r="ML81" s="144"/>
      <c r="MM81" s="144"/>
      <c r="MN81" s="144"/>
      <c r="MO81" s="144"/>
      <c r="MP81" s="144"/>
      <c r="MQ81" s="144"/>
      <c r="MR81" s="144"/>
      <c r="MS81" s="144"/>
      <c r="MT81" s="144"/>
      <c r="MU81" s="144"/>
      <c r="MV81" s="144"/>
      <c r="MW81" s="144"/>
      <c r="MX81" s="144"/>
      <c r="MY81" s="144"/>
      <c r="MZ81" s="144"/>
      <c r="NA81" s="144"/>
      <c r="NB81" s="144"/>
      <c r="NC81" s="144"/>
      <c r="ND81" s="144"/>
      <c r="NE81" s="144"/>
      <c r="NF81" s="144"/>
      <c r="NG81" s="144"/>
      <c r="NH81" s="144"/>
      <c r="NI81" s="144"/>
      <c r="NJ81" s="144"/>
      <c r="NK81" s="144"/>
      <c r="NL81" s="144"/>
      <c r="NM81" s="144"/>
      <c r="NN81" s="144"/>
      <c r="NO81" s="144"/>
      <c r="NP81" s="144"/>
      <c r="NQ81" s="144"/>
      <c r="NR81" s="144"/>
      <c r="NS81" s="144"/>
      <c r="NT81" s="144"/>
      <c r="NU81" s="144"/>
      <c r="NV81" s="144"/>
      <c r="NW81" s="144"/>
      <c r="NX81" s="144"/>
      <c r="NY81" s="144"/>
      <c r="NZ81" s="144"/>
      <c r="OA81" s="144"/>
      <c r="OB81" s="144"/>
      <c r="OC81" s="144"/>
      <c r="OD81" s="144"/>
      <c r="OE81" s="144"/>
      <c r="OF81" s="144"/>
      <c r="OG81" s="144"/>
      <c r="OH81" s="144"/>
      <c r="OI81" s="144"/>
      <c r="OJ81" s="144"/>
      <c r="OK81" s="144"/>
      <c r="OL81" s="144"/>
      <c r="OM81" s="144"/>
      <c r="ON81" s="144"/>
      <c r="OO81" s="144"/>
      <c r="OP81" s="144"/>
      <c r="OQ81" s="144"/>
      <c r="OR81" s="144"/>
      <c r="OS81" s="144"/>
      <c r="OT81" s="144"/>
      <c r="OU81" s="144"/>
      <c r="OV81" s="144"/>
      <c r="OW81" s="144"/>
      <c r="OX81" s="144"/>
      <c r="OY81" s="144"/>
      <c r="OZ81" s="144"/>
      <c r="PA81" s="144"/>
      <c r="PB81" s="144"/>
      <c r="PC81" s="144"/>
      <c r="PD81" s="144"/>
      <c r="PE81" s="144"/>
      <c r="PF81" s="144"/>
      <c r="PG81" s="144"/>
      <c r="PH81" s="144"/>
      <c r="PI81" s="144"/>
      <c r="PJ81" s="144"/>
      <c r="PK81" s="144"/>
      <c r="PL81" s="144"/>
      <c r="PM81" s="144"/>
      <c r="PN81" s="144"/>
      <c r="PO81" s="144"/>
      <c r="PP81" s="144"/>
      <c r="PQ81" s="144"/>
      <c r="PR81" s="144"/>
      <c r="PS81" s="144"/>
      <c r="PT81" s="144"/>
      <c r="PU81" s="144"/>
      <c r="PV81" s="144"/>
      <c r="PW81" s="144"/>
      <c r="PX81" s="144"/>
      <c r="PY81" s="144"/>
      <c r="PZ81" s="144"/>
      <c r="QA81" s="144"/>
      <c r="QB81" s="144"/>
      <c r="QC81" s="144"/>
      <c r="QD81" s="144"/>
      <c r="QE81" s="144"/>
      <c r="QF81" s="144"/>
      <c r="QG81" s="144"/>
      <c r="QH81" s="144"/>
      <c r="QI81" s="144"/>
      <c r="QJ81" s="144"/>
      <c r="QK81" s="144"/>
      <c r="QL81" s="144"/>
      <c r="QM81" s="144"/>
      <c r="QN81" s="144"/>
      <c r="QO81" s="144"/>
      <c r="QP81" s="144"/>
      <c r="QQ81" s="144"/>
      <c r="QR81" s="144"/>
      <c r="QS81" s="144"/>
      <c r="QT81" s="144"/>
      <c r="QU81" s="144"/>
      <c r="QV81" s="144"/>
      <c r="QW81" s="144"/>
      <c r="QX81" s="144"/>
      <c r="QY81" s="144"/>
      <c r="QZ81" s="144"/>
      <c r="RA81" s="144"/>
      <c r="RB81" s="144"/>
      <c r="RC81" s="144"/>
      <c r="RD81" s="144"/>
      <c r="RE81" s="144"/>
      <c r="RF81" s="144"/>
      <c r="RG81" s="144"/>
      <c r="RH81" s="144"/>
      <c r="RI81" s="144"/>
      <c r="RJ81" s="144"/>
      <c r="RK81" s="144"/>
      <c r="RL81" s="144"/>
      <c r="RM81" s="144"/>
      <c r="RN81" s="144"/>
      <c r="RO81" s="144"/>
      <c r="RP81" s="144"/>
      <c r="RQ81" s="144"/>
      <c r="RR81" s="144"/>
      <c r="RS81" s="144"/>
      <c r="RT81" s="144"/>
      <c r="RU81" s="144"/>
      <c r="RV81" s="144"/>
      <c r="RW81" s="144"/>
      <c r="RX81" s="144"/>
      <c r="RY81" s="144"/>
      <c r="RZ81" s="144"/>
      <c r="SA81" s="144"/>
      <c r="SB81" s="144"/>
      <c r="SC81" s="144"/>
      <c r="SD81" s="144"/>
      <c r="SE81" s="144"/>
      <c r="SF81" s="144"/>
      <c r="SG81" s="144"/>
      <c r="SH81" s="144"/>
      <c r="SI81" s="144"/>
      <c r="SJ81" s="144"/>
      <c r="SK81" s="144"/>
      <c r="SL81" s="144"/>
      <c r="SM81" s="144"/>
      <c r="SN81" s="144"/>
      <c r="SO81" s="144"/>
      <c r="SP81" s="144"/>
      <c r="SQ81" s="144"/>
      <c r="SR81" s="144"/>
      <c r="SS81" s="144"/>
      <c r="ST81" s="144"/>
      <c r="SU81" s="144"/>
      <c r="SV81" s="144"/>
      <c r="SW81" s="144"/>
      <c r="SX81" s="144"/>
      <c r="SY81" s="144"/>
      <c r="SZ81" s="144"/>
      <c r="TA81" s="144"/>
      <c r="TB81" s="144"/>
      <c r="TC81" s="144"/>
      <c r="TD81" s="144"/>
      <c r="TE81" s="144"/>
      <c r="TF81" s="144"/>
      <c r="TG81" s="144"/>
      <c r="TH81" s="144"/>
      <c r="TI81" s="144"/>
      <c r="TJ81" s="144"/>
      <c r="TK81" s="144"/>
      <c r="TL81" s="144"/>
      <c r="TM81" s="144"/>
      <c r="TN81" s="144"/>
      <c r="TO81" s="144"/>
      <c r="TP81" s="144"/>
      <c r="TQ81" s="144"/>
      <c r="TR81" s="144"/>
      <c r="TS81" s="144"/>
      <c r="TT81" s="144"/>
      <c r="TU81" s="144"/>
      <c r="TV81" s="144"/>
      <c r="TW81" s="144"/>
      <c r="TX81" s="144"/>
      <c r="TY81" s="144"/>
      <c r="TZ81" s="144"/>
      <c r="UA81" s="144"/>
      <c r="UB81" s="144"/>
      <c r="UC81" s="144"/>
      <c r="UD81" s="144"/>
      <c r="UE81" s="144"/>
      <c r="UF81" s="144"/>
      <c r="UG81" s="144"/>
      <c r="UH81" s="144"/>
      <c r="UI81" s="144"/>
      <c r="UJ81" s="144"/>
      <c r="UK81" s="144"/>
      <c r="UL81" s="144"/>
      <c r="UM81" s="144"/>
      <c r="UN81" s="144"/>
      <c r="UO81" s="144"/>
      <c r="UP81" s="144"/>
      <c r="UQ81" s="144"/>
      <c r="UR81" s="144"/>
      <c r="US81" s="144"/>
      <c r="UT81" s="144"/>
      <c r="UU81" s="144"/>
      <c r="UV81" s="144"/>
      <c r="UW81" s="144"/>
      <c r="UX81" s="144"/>
      <c r="UY81" s="144"/>
      <c r="UZ81" s="144"/>
      <c r="VA81" s="144"/>
      <c r="VB81" s="144"/>
      <c r="VC81" s="144"/>
      <c r="VD81" s="144"/>
      <c r="VE81" s="144"/>
      <c r="VF81" s="144"/>
      <c r="VG81" s="144"/>
      <c r="VH81" s="144"/>
      <c r="VI81" s="144"/>
      <c r="VJ81" s="144"/>
      <c r="VK81" s="144"/>
      <c r="VL81" s="144"/>
      <c r="VM81" s="144"/>
      <c r="VN81" s="144"/>
      <c r="VO81" s="144"/>
      <c r="VP81" s="144"/>
      <c r="VQ81" s="144"/>
      <c r="VR81" s="144"/>
      <c r="VS81" s="144"/>
      <c r="VT81" s="144"/>
      <c r="VU81" s="144"/>
      <c r="VV81" s="144"/>
      <c r="VW81" s="144"/>
      <c r="VX81" s="144"/>
      <c r="VY81" s="144"/>
      <c r="VZ81" s="144"/>
      <c r="WA81" s="144"/>
      <c r="WB81" s="144"/>
      <c r="WC81" s="144"/>
      <c r="WD81" s="144"/>
      <c r="WE81" s="144"/>
      <c r="WF81" s="144"/>
      <c r="WG81" s="144"/>
      <c r="WH81" s="144"/>
      <c r="WI81" s="144"/>
      <c r="WJ81" s="144"/>
      <c r="WK81" s="144"/>
      <c r="WL81" s="144"/>
      <c r="WM81" s="144"/>
      <c r="WN81" s="144"/>
      <c r="WO81" s="144"/>
      <c r="WP81" s="144"/>
      <c r="WQ81" s="144"/>
      <c r="WR81" s="144"/>
      <c r="WS81" s="144"/>
      <c r="WT81" s="144"/>
      <c r="WU81" s="144"/>
      <c r="WV81" s="144"/>
      <c r="WW81" s="144"/>
      <c r="WX81" s="144"/>
      <c r="WY81" s="144"/>
      <c r="WZ81" s="144"/>
      <c r="XA81" s="144"/>
      <c r="XB81" s="144"/>
      <c r="XC81" s="144"/>
      <c r="XD81" s="144"/>
      <c r="XE81" s="144"/>
      <c r="XF81" s="144"/>
      <c r="XG81" s="144"/>
      <c r="XH81" s="144"/>
      <c r="XI81" s="144"/>
      <c r="XJ81" s="144"/>
      <c r="XK81" s="144"/>
      <c r="XL81" s="144"/>
      <c r="XM81" s="144"/>
      <c r="XN81" s="144"/>
      <c r="XO81" s="144"/>
      <c r="XP81" s="144"/>
      <c r="XQ81" s="144"/>
      <c r="XR81" s="144"/>
      <c r="XS81" s="144"/>
      <c r="XT81" s="144"/>
      <c r="XU81" s="144"/>
      <c r="XV81" s="144"/>
      <c r="XW81" s="144"/>
      <c r="XX81" s="144"/>
      <c r="XY81" s="144"/>
      <c r="XZ81" s="144"/>
      <c r="YA81" s="144"/>
      <c r="YB81" s="144"/>
      <c r="YC81" s="144"/>
      <c r="YD81" s="144"/>
      <c r="YE81" s="144"/>
      <c r="YF81" s="144"/>
      <c r="YG81" s="144"/>
      <c r="YH81" s="144"/>
      <c r="YI81" s="144"/>
      <c r="YJ81" s="144"/>
      <c r="YK81" s="144"/>
      <c r="YL81" s="144"/>
      <c r="YM81" s="144"/>
      <c r="YN81" s="144"/>
      <c r="YO81" s="144"/>
      <c r="YP81" s="144"/>
      <c r="YQ81" s="144"/>
      <c r="YR81" s="144"/>
      <c r="YS81" s="144"/>
      <c r="YT81" s="144"/>
      <c r="YU81" s="144"/>
      <c r="YV81" s="144"/>
      <c r="YW81" s="144"/>
      <c r="YX81" s="144"/>
      <c r="YY81" s="144"/>
      <c r="YZ81" s="144"/>
      <c r="ZA81" s="144"/>
      <c r="ZB81" s="144"/>
      <c r="ZC81" s="144"/>
      <c r="ZD81" s="144"/>
      <c r="ZE81" s="144"/>
      <c r="ZF81" s="144"/>
      <c r="ZG81" s="144"/>
      <c r="ZH81" s="144"/>
      <c r="ZI81" s="144"/>
      <c r="ZJ81" s="144"/>
      <c r="ZK81" s="144"/>
      <c r="ZL81" s="144"/>
      <c r="ZM81" s="144"/>
      <c r="ZN81" s="144"/>
      <c r="ZO81" s="144"/>
      <c r="ZP81" s="144"/>
      <c r="ZQ81" s="144"/>
      <c r="ZR81" s="144"/>
      <c r="ZS81" s="144"/>
      <c r="ZT81" s="144"/>
      <c r="ZU81" s="144"/>
      <c r="ZV81" s="144"/>
      <c r="ZW81" s="144"/>
      <c r="ZX81" s="144"/>
      <c r="ZY81" s="144"/>
      <c r="ZZ81" s="144"/>
      <c r="AAA81" s="144"/>
      <c r="AAB81" s="144"/>
      <c r="AAC81" s="144"/>
      <c r="AAD81" s="144"/>
      <c r="AAE81" s="144"/>
      <c r="AAF81" s="144"/>
      <c r="AAG81" s="144"/>
      <c r="AAH81" s="144"/>
      <c r="AAI81" s="144"/>
      <c r="AAJ81" s="144"/>
      <c r="AAK81" s="144"/>
      <c r="AAL81" s="144"/>
      <c r="AAM81" s="144"/>
      <c r="AAN81" s="144"/>
      <c r="AAO81" s="144"/>
      <c r="AAP81" s="144"/>
      <c r="AAQ81" s="144"/>
      <c r="AAR81" s="144"/>
      <c r="AAS81" s="144"/>
      <c r="AAT81" s="144"/>
      <c r="AAU81" s="144"/>
      <c r="AAV81" s="144"/>
      <c r="AAW81" s="144"/>
      <c r="AAX81" s="144"/>
      <c r="AAY81" s="144"/>
      <c r="AAZ81" s="144"/>
      <c r="ABA81" s="144"/>
      <c r="ABB81" s="144"/>
      <c r="ABC81" s="144"/>
      <c r="ABD81" s="144"/>
      <c r="ABE81" s="144"/>
      <c r="ABF81" s="144"/>
      <c r="ABG81" s="144"/>
      <c r="ABH81" s="144"/>
      <c r="ABI81" s="144"/>
      <c r="ABJ81" s="144"/>
      <c r="ABK81" s="144"/>
      <c r="ABL81" s="144"/>
      <c r="ABM81" s="144"/>
      <c r="ABN81" s="144"/>
      <c r="ABO81" s="144"/>
      <c r="ABP81" s="144"/>
      <c r="ABQ81" s="144"/>
      <c r="ABR81" s="144"/>
      <c r="ABS81" s="144"/>
      <c r="ABT81" s="144"/>
      <c r="ABU81" s="144"/>
      <c r="ABV81" s="144"/>
      <c r="ABW81" s="144"/>
      <c r="ABX81" s="144"/>
      <c r="ABY81" s="144"/>
      <c r="ABZ81" s="144"/>
      <c r="ACA81" s="144"/>
      <c r="ACB81" s="144"/>
      <c r="ACC81" s="144"/>
      <c r="ACD81" s="144"/>
      <c r="ACE81" s="144"/>
      <c r="ACF81" s="144"/>
      <c r="ACG81" s="144"/>
      <c r="ACH81" s="144"/>
      <c r="ACI81" s="144"/>
      <c r="ACJ81" s="144"/>
      <c r="ACK81" s="144"/>
      <c r="ACL81" s="144"/>
      <c r="ACM81" s="144"/>
      <c r="ACN81" s="144"/>
      <c r="ACO81" s="144"/>
      <c r="ACP81" s="144"/>
      <c r="ACQ81" s="144"/>
      <c r="ACR81" s="144"/>
      <c r="ACS81" s="144"/>
      <c r="ACT81" s="144"/>
      <c r="ACU81" s="144"/>
      <c r="ACV81" s="144"/>
      <c r="ACW81" s="144"/>
      <c r="ACX81" s="144"/>
      <c r="ACY81" s="144"/>
      <c r="ACZ81" s="144"/>
      <c r="ADA81" s="144"/>
      <c r="ADB81" s="144"/>
      <c r="ADC81" s="144"/>
      <c r="ADD81" s="144"/>
      <c r="ADE81" s="144"/>
      <c r="ADF81" s="144"/>
      <c r="ADG81" s="144"/>
      <c r="ADH81" s="144"/>
      <c r="ADI81" s="144"/>
      <c r="ADJ81" s="144"/>
      <c r="ADK81" s="144"/>
      <c r="ADL81" s="144"/>
      <c r="ADM81" s="144"/>
      <c r="ADN81" s="144"/>
      <c r="ADO81" s="144"/>
      <c r="ADP81" s="144"/>
      <c r="ADQ81" s="144"/>
      <c r="ADR81" s="144"/>
      <c r="ADS81" s="144"/>
      <c r="ADT81" s="144"/>
      <c r="ADU81" s="144"/>
      <c r="ADV81" s="144"/>
      <c r="ADW81" s="144"/>
      <c r="ADX81" s="144"/>
      <c r="ADY81" s="144"/>
      <c r="ADZ81" s="144"/>
      <c r="AEA81" s="144"/>
      <c r="AEB81" s="144"/>
      <c r="AEC81" s="144"/>
      <c r="AED81" s="144"/>
      <c r="AEE81" s="144"/>
      <c r="AEF81" s="144"/>
      <c r="AEG81" s="144"/>
      <c r="AEH81" s="144"/>
      <c r="AEI81" s="144"/>
      <c r="AEJ81" s="144"/>
      <c r="AEK81" s="144"/>
      <c r="AEL81" s="144"/>
      <c r="AEM81" s="144"/>
      <c r="AEN81" s="144"/>
      <c r="AEO81" s="144"/>
      <c r="AEP81" s="144"/>
      <c r="AEQ81" s="144"/>
      <c r="AER81" s="144"/>
      <c r="AES81" s="144"/>
      <c r="AET81" s="144"/>
      <c r="AEU81" s="144"/>
      <c r="AEV81" s="144"/>
      <c r="AEW81" s="144"/>
      <c r="AEX81" s="144"/>
      <c r="AEY81" s="144"/>
      <c r="AEZ81" s="144"/>
      <c r="AFA81" s="144"/>
      <c r="AFB81" s="144"/>
      <c r="AFC81" s="144"/>
      <c r="AFD81" s="144"/>
      <c r="AFE81" s="144"/>
      <c r="AFF81" s="144"/>
      <c r="AFG81" s="144"/>
      <c r="AFH81" s="144"/>
      <c r="AFI81" s="144"/>
      <c r="AFJ81" s="144"/>
      <c r="AFK81" s="144"/>
      <c r="AFL81" s="144"/>
      <c r="AFM81" s="144"/>
      <c r="AFN81" s="144"/>
      <c r="AFO81" s="144"/>
      <c r="AFP81" s="144"/>
      <c r="AFQ81" s="144"/>
      <c r="AFR81" s="144"/>
      <c r="AFS81" s="144"/>
      <c r="AFT81" s="144"/>
      <c r="AFU81" s="144"/>
      <c r="AFV81" s="144"/>
      <c r="AFW81" s="144"/>
      <c r="AFX81" s="144"/>
      <c r="AFY81" s="144"/>
      <c r="AFZ81" s="144"/>
      <c r="AGA81" s="144"/>
      <c r="AGB81" s="144"/>
      <c r="AGC81" s="144"/>
      <c r="AGD81" s="144"/>
      <c r="AGE81" s="144"/>
      <c r="AGF81" s="144"/>
      <c r="AGG81" s="144"/>
      <c r="AGH81" s="144"/>
      <c r="AGI81" s="144"/>
      <c r="AGJ81" s="144"/>
      <c r="AGK81" s="144"/>
      <c r="AGL81" s="144"/>
      <c r="AGM81" s="144"/>
      <c r="AGN81" s="144"/>
      <c r="AGO81" s="144"/>
      <c r="AGP81" s="144"/>
      <c r="AGQ81" s="144"/>
      <c r="AGR81" s="144"/>
      <c r="AGS81" s="144"/>
      <c r="AGT81" s="144"/>
      <c r="AGU81" s="144"/>
      <c r="AGV81" s="144"/>
      <c r="AGW81" s="144"/>
      <c r="AGX81" s="144"/>
      <c r="AGY81" s="144"/>
      <c r="AGZ81" s="144"/>
      <c r="AHA81" s="144"/>
      <c r="AHB81" s="144"/>
      <c r="AHC81" s="144"/>
      <c r="AHD81" s="144"/>
      <c r="AHE81" s="144"/>
      <c r="AHF81" s="144"/>
      <c r="AHG81" s="144"/>
      <c r="AHH81" s="144"/>
      <c r="AHI81" s="144"/>
      <c r="AHJ81" s="144"/>
      <c r="AHK81" s="144"/>
      <c r="AHL81" s="144"/>
      <c r="AHM81" s="144"/>
      <c r="AHN81" s="144"/>
      <c r="AHO81" s="144"/>
      <c r="AHP81" s="144"/>
      <c r="AHQ81" s="144"/>
      <c r="AHR81" s="144"/>
      <c r="AHS81" s="144"/>
      <c r="AHT81" s="144"/>
      <c r="AHU81" s="144"/>
      <c r="AHV81" s="144"/>
      <c r="AHW81" s="144"/>
      <c r="AHX81" s="144"/>
      <c r="AHY81" s="144"/>
      <c r="AHZ81" s="144"/>
      <c r="AIA81" s="144"/>
      <c r="AIB81" s="144"/>
      <c r="AIC81" s="144"/>
      <c r="AID81" s="144"/>
      <c r="AIE81" s="144"/>
      <c r="AIF81" s="144"/>
      <c r="AIG81" s="144"/>
      <c r="AIH81" s="144"/>
      <c r="AII81" s="144"/>
      <c r="AIJ81" s="144"/>
      <c r="AIK81" s="144"/>
      <c r="AIL81" s="144"/>
      <c r="AIM81" s="144"/>
      <c r="AIN81" s="144"/>
      <c r="AIO81" s="144"/>
      <c r="AIP81" s="144"/>
      <c r="AIQ81" s="144"/>
      <c r="AIR81" s="144"/>
      <c r="AIS81" s="144"/>
      <c r="AIT81" s="144"/>
      <c r="AIU81" s="144"/>
      <c r="AIV81" s="144"/>
      <c r="AIW81" s="144"/>
      <c r="AIX81" s="144"/>
      <c r="AIY81" s="144"/>
      <c r="AIZ81" s="144"/>
      <c r="AJA81" s="144"/>
      <c r="AJB81" s="144"/>
      <c r="AJC81" s="144"/>
      <c r="AJD81" s="144"/>
      <c r="AJE81" s="144"/>
      <c r="AJF81" s="144"/>
      <c r="AJG81" s="144"/>
      <c r="AJH81" s="144"/>
      <c r="AJI81" s="144"/>
      <c r="AJJ81" s="144"/>
      <c r="AJK81" s="144"/>
      <c r="AJL81" s="144"/>
      <c r="AJM81" s="144"/>
      <c r="AJN81" s="144"/>
      <c r="AJO81" s="144"/>
      <c r="AJP81" s="144"/>
      <c r="AJQ81" s="144"/>
      <c r="AJR81" s="144"/>
      <c r="AJS81" s="144"/>
      <c r="AJT81" s="144"/>
      <c r="AJU81" s="144"/>
      <c r="AJV81" s="144"/>
      <c r="AJW81" s="144"/>
      <c r="AJX81" s="144"/>
      <c r="AJY81" s="144"/>
      <c r="AJZ81" s="144"/>
      <c r="AKA81" s="144"/>
      <c r="AKB81" s="144"/>
      <c r="AKC81" s="144"/>
      <c r="AKD81" s="144"/>
      <c r="AKE81" s="144"/>
      <c r="AKF81" s="144"/>
      <c r="AKG81" s="144"/>
      <c r="AKH81" s="144"/>
      <c r="AKI81" s="144"/>
      <c r="AKJ81" s="144"/>
      <c r="AKK81" s="144"/>
      <c r="AKL81" s="144"/>
      <c r="AKM81" s="144"/>
      <c r="AKN81" s="144"/>
      <c r="AKO81" s="144"/>
      <c r="AKP81" s="144"/>
      <c r="AKQ81" s="144"/>
      <c r="AKR81" s="144"/>
      <c r="AKS81" s="144"/>
      <c r="AKT81" s="144"/>
      <c r="AKU81" s="144"/>
      <c r="AKV81" s="144"/>
      <c r="AKW81" s="144"/>
      <c r="AKX81" s="144"/>
      <c r="AKY81" s="144"/>
      <c r="AKZ81" s="144"/>
      <c r="ALA81" s="144"/>
      <c r="ALB81" s="144"/>
      <c r="ALC81" s="144"/>
      <c r="ALD81" s="144"/>
      <c r="ALE81" s="144"/>
      <c r="ALF81" s="144"/>
      <c r="ALG81" s="144"/>
      <c r="ALH81" s="144"/>
      <c r="ALI81" s="144"/>
      <c r="ALJ81" s="144"/>
      <c r="ALK81" s="144"/>
      <c r="ALL81" s="144"/>
      <c r="ALM81" s="144"/>
      <c r="ALN81" s="144"/>
      <c r="ALO81" s="144"/>
      <c r="ALP81" s="144"/>
      <c r="ALQ81" s="144"/>
      <c r="ALR81" s="144"/>
      <c r="ALS81" s="144"/>
      <c r="ALT81" s="144"/>
      <c r="ALU81" s="144"/>
      <c r="ALV81" s="144"/>
      <c r="ALW81" s="144"/>
      <c r="ALX81" s="144"/>
      <c r="ALY81" s="144"/>
      <c r="ALZ81" s="144"/>
      <c r="AMA81" s="144"/>
      <c r="AMB81" s="144"/>
      <c r="AMC81" s="144"/>
      <c r="AMD81" s="144"/>
      <c r="AME81" s="144"/>
      <c r="AMF81" s="144"/>
      <c r="AMG81" s="144"/>
      <c r="AMH81" s="144"/>
      <c r="AMI81" s="144"/>
      <c r="AMJ81" s="144"/>
    </row>
    <row r="82" customFormat="false" ht="23.25" hidden="false" customHeight="true" outlineLevel="0" collapsed="false">
      <c r="B82" s="140"/>
      <c r="C82" s="154"/>
      <c r="D82" s="154"/>
      <c r="E82" s="154"/>
      <c r="F82" s="154"/>
      <c r="G82" s="15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c r="DL82" s="144"/>
      <c r="DM82" s="144"/>
      <c r="DN82" s="144"/>
      <c r="DO82" s="144"/>
      <c r="DP82" s="144"/>
      <c r="DQ82" s="144"/>
      <c r="DR82" s="144"/>
      <c r="DS82" s="144"/>
      <c r="DT82" s="144"/>
      <c r="DU82" s="144"/>
      <c r="DV82" s="144"/>
      <c r="DW82" s="144"/>
      <c r="DX82" s="144"/>
      <c r="DY82" s="144"/>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144"/>
      <c r="IK82" s="144"/>
      <c r="IL82" s="144"/>
      <c r="IM82" s="144"/>
      <c r="IN82" s="144"/>
      <c r="IO82" s="144"/>
      <c r="IP82" s="144"/>
      <c r="IQ82" s="144"/>
      <c r="IR82" s="144"/>
      <c r="IS82" s="144"/>
      <c r="IT82" s="144"/>
      <c r="IU82" s="144"/>
      <c r="IV82" s="144"/>
      <c r="IW82" s="144"/>
      <c r="IX82" s="144"/>
      <c r="IY82" s="144"/>
      <c r="IZ82" s="144"/>
      <c r="JA82" s="144"/>
      <c r="JB82" s="144"/>
      <c r="JC82" s="144"/>
      <c r="JD82" s="144"/>
      <c r="JE82" s="144"/>
      <c r="JF82" s="144"/>
      <c r="JG82" s="144"/>
      <c r="JH82" s="144"/>
      <c r="JI82" s="144"/>
      <c r="JJ82" s="144"/>
      <c r="JK82" s="144"/>
      <c r="JL82" s="144"/>
      <c r="JM82" s="144"/>
      <c r="JN82" s="144"/>
      <c r="JO82" s="144"/>
      <c r="JP82" s="144"/>
      <c r="JQ82" s="144"/>
      <c r="JR82" s="144"/>
      <c r="JS82" s="144"/>
      <c r="JT82" s="144"/>
      <c r="JU82" s="144"/>
      <c r="JV82" s="144"/>
      <c r="JW82" s="144"/>
      <c r="JX82" s="144"/>
      <c r="JY82" s="144"/>
      <c r="JZ82" s="144"/>
      <c r="KA82" s="144"/>
      <c r="KB82" s="144"/>
      <c r="KC82" s="144"/>
      <c r="KD82" s="144"/>
      <c r="KE82" s="144"/>
      <c r="KF82" s="144"/>
      <c r="KG82" s="144"/>
      <c r="KH82" s="144"/>
      <c r="KI82" s="144"/>
      <c r="KJ82" s="144"/>
      <c r="KK82" s="144"/>
      <c r="KL82" s="144"/>
      <c r="KM82" s="144"/>
      <c r="KN82" s="144"/>
      <c r="KO82" s="144"/>
      <c r="KP82" s="144"/>
      <c r="KQ82" s="144"/>
      <c r="KR82" s="144"/>
      <c r="KS82" s="144"/>
      <c r="KT82" s="144"/>
      <c r="KU82" s="144"/>
      <c r="KV82" s="144"/>
      <c r="KW82" s="144"/>
      <c r="KX82" s="144"/>
      <c r="KY82" s="144"/>
      <c r="KZ82" s="144"/>
      <c r="LA82" s="144"/>
      <c r="LB82" s="144"/>
      <c r="LC82" s="144"/>
      <c r="LD82" s="144"/>
      <c r="LE82" s="144"/>
      <c r="LF82" s="144"/>
      <c r="LG82" s="144"/>
      <c r="LH82" s="144"/>
      <c r="LI82" s="144"/>
      <c r="LJ82" s="144"/>
      <c r="LK82" s="144"/>
      <c r="LL82" s="144"/>
      <c r="LM82" s="144"/>
      <c r="LN82" s="144"/>
      <c r="LO82" s="144"/>
      <c r="LP82" s="144"/>
      <c r="LQ82" s="144"/>
      <c r="LR82" s="144"/>
      <c r="LS82" s="144"/>
      <c r="LT82" s="144"/>
      <c r="LU82" s="144"/>
      <c r="LV82" s="144"/>
      <c r="LW82" s="144"/>
      <c r="LX82" s="144"/>
      <c r="LY82" s="144"/>
      <c r="LZ82" s="144"/>
      <c r="MA82" s="144"/>
      <c r="MB82" s="144"/>
      <c r="MC82" s="144"/>
      <c r="MD82" s="144"/>
      <c r="ME82" s="144"/>
      <c r="MF82" s="144"/>
      <c r="MG82" s="144"/>
      <c r="MH82" s="144"/>
      <c r="MI82" s="144"/>
      <c r="MJ82" s="144"/>
      <c r="MK82" s="144"/>
      <c r="ML82" s="144"/>
      <c r="MM82" s="144"/>
      <c r="MN82" s="144"/>
      <c r="MO82" s="144"/>
      <c r="MP82" s="144"/>
      <c r="MQ82" s="144"/>
      <c r="MR82" s="144"/>
      <c r="MS82" s="144"/>
      <c r="MT82" s="144"/>
      <c r="MU82" s="144"/>
      <c r="MV82" s="144"/>
      <c r="MW82" s="144"/>
      <c r="MX82" s="144"/>
      <c r="MY82" s="144"/>
      <c r="MZ82" s="144"/>
      <c r="NA82" s="144"/>
      <c r="NB82" s="144"/>
      <c r="NC82" s="144"/>
      <c r="ND82" s="144"/>
      <c r="NE82" s="144"/>
      <c r="NF82" s="144"/>
      <c r="NG82" s="144"/>
      <c r="NH82" s="144"/>
      <c r="NI82" s="144"/>
      <c r="NJ82" s="144"/>
      <c r="NK82" s="144"/>
      <c r="NL82" s="144"/>
      <c r="NM82" s="144"/>
      <c r="NN82" s="144"/>
      <c r="NO82" s="144"/>
      <c r="NP82" s="144"/>
      <c r="NQ82" s="144"/>
      <c r="NR82" s="144"/>
      <c r="NS82" s="144"/>
      <c r="NT82" s="144"/>
      <c r="NU82" s="144"/>
      <c r="NV82" s="144"/>
      <c r="NW82" s="144"/>
      <c r="NX82" s="144"/>
      <c r="NY82" s="144"/>
      <c r="NZ82" s="144"/>
      <c r="OA82" s="144"/>
      <c r="OB82" s="144"/>
      <c r="OC82" s="144"/>
      <c r="OD82" s="144"/>
      <c r="OE82" s="144"/>
      <c r="OF82" s="144"/>
      <c r="OG82" s="144"/>
      <c r="OH82" s="144"/>
      <c r="OI82" s="144"/>
      <c r="OJ82" s="144"/>
      <c r="OK82" s="144"/>
      <c r="OL82" s="144"/>
      <c r="OM82" s="144"/>
      <c r="ON82" s="144"/>
      <c r="OO82" s="144"/>
      <c r="OP82" s="144"/>
      <c r="OQ82" s="144"/>
      <c r="OR82" s="144"/>
      <c r="OS82" s="144"/>
      <c r="OT82" s="144"/>
      <c r="OU82" s="144"/>
      <c r="OV82" s="144"/>
      <c r="OW82" s="144"/>
      <c r="OX82" s="144"/>
      <c r="OY82" s="144"/>
      <c r="OZ82" s="144"/>
      <c r="PA82" s="144"/>
      <c r="PB82" s="144"/>
      <c r="PC82" s="144"/>
      <c r="PD82" s="144"/>
      <c r="PE82" s="144"/>
      <c r="PF82" s="144"/>
      <c r="PG82" s="144"/>
      <c r="PH82" s="144"/>
      <c r="PI82" s="144"/>
      <c r="PJ82" s="144"/>
      <c r="PK82" s="144"/>
      <c r="PL82" s="144"/>
      <c r="PM82" s="144"/>
      <c r="PN82" s="144"/>
      <c r="PO82" s="144"/>
      <c r="PP82" s="144"/>
      <c r="PQ82" s="144"/>
      <c r="PR82" s="144"/>
      <c r="PS82" s="144"/>
      <c r="PT82" s="144"/>
      <c r="PU82" s="144"/>
      <c r="PV82" s="144"/>
      <c r="PW82" s="144"/>
      <c r="PX82" s="144"/>
      <c r="PY82" s="144"/>
      <c r="PZ82" s="144"/>
      <c r="QA82" s="144"/>
      <c r="QB82" s="144"/>
      <c r="QC82" s="144"/>
      <c r="QD82" s="144"/>
      <c r="QE82" s="144"/>
      <c r="QF82" s="144"/>
      <c r="QG82" s="144"/>
      <c r="QH82" s="144"/>
      <c r="QI82" s="144"/>
      <c r="QJ82" s="144"/>
      <c r="QK82" s="144"/>
      <c r="QL82" s="144"/>
      <c r="QM82" s="144"/>
      <c r="QN82" s="144"/>
      <c r="QO82" s="144"/>
      <c r="QP82" s="144"/>
      <c r="QQ82" s="144"/>
      <c r="QR82" s="144"/>
      <c r="QS82" s="144"/>
      <c r="QT82" s="144"/>
      <c r="QU82" s="144"/>
      <c r="QV82" s="144"/>
      <c r="QW82" s="144"/>
      <c r="QX82" s="144"/>
      <c r="QY82" s="144"/>
      <c r="QZ82" s="144"/>
      <c r="RA82" s="144"/>
      <c r="RB82" s="144"/>
      <c r="RC82" s="144"/>
      <c r="RD82" s="144"/>
      <c r="RE82" s="144"/>
      <c r="RF82" s="144"/>
      <c r="RG82" s="144"/>
      <c r="RH82" s="144"/>
      <c r="RI82" s="144"/>
      <c r="RJ82" s="144"/>
      <c r="RK82" s="144"/>
      <c r="RL82" s="144"/>
      <c r="RM82" s="144"/>
      <c r="RN82" s="144"/>
      <c r="RO82" s="144"/>
      <c r="RP82" s="144"/>
      <c r="RQ82" s="144"/>
      <c r="RR82" s="144"/>
      <c r="RS82" s="144"/>
      <c r="RT82" s="144"/>
      <c r="RU82" s="144"/>
      <c r="RV82" s="144"/>
      <c r="RW82" s="144"/>
      <c r="RX82" s="144"/>
      <c r="RY82" s="144"/>
      <c r="RZ82" s="144"/>
      <c r="SA82" s="144"/>
      <c r="SB82" s="144"/>
      <c r="SC82" s="144"/>
      <c r="SD82" s="144"/>
      <c r="SE82" s="144"/>
      <c r="SF82" s="144"/>
      <c r="SG82" s="144"/>
      <c r="SH82" s="144"/>
      <c r="SI82" s="144"/>
      <c r="SJ82" s="144"/>
      <c r="SK82" s="144"/>
      <c r="SL82" s="144"/>
      <c r="SM82" s="144"/>
      <c r="SN82" s="144"/>
      <c r="SO82" s="144"/>
      <c r="SP82" s="144"/>
      <c r="SQ82" s="144"/>
      <c r="SR82" s="144"/>
      <c r="SS82" s="144"/>
      <c r="ST82" s="144"/>
      <c r="SU82" s="144"/>
      <c r="SV82" s="144"/>
      <c r="SW82" s="144"/>
      <c r="SX82" s="144"/>
      <c r="SY82" s="144"/>
      <c r="SZ82" s="144"/>
      <c r="TA82" s="144"/>
      <c r="TB82" s="144"/>
      <c r="TC82" s="144"/>
      <c r="TD82" s="144"/>
      <c r="TE82" s="144"/>
      <c r="TF82" s="144"/>
      <c r="TG82" s="144"/>
      <c r="TH82" s="144"/>
      <c r="TI82" s="144"/>
      <c r="TJ82" s="144"/>
      <c r="TK82" s="144"/>
      <c r="TL82" s="144"/>
      <c r="TM82" s="144"/>
      <c r="TN82" s="144"/>
      <c r="TO82" s="144"/>
      <c r="TP82" s="144"/>
      <c r="TQ82" s="144"/>
      <c r="TR82" s="144"/>
      <c r="TS82" s="144"/>
      <c r="TT82" s="144"/>
      <c r="TU82" s="144"/>
      <c r="TV82" s="144"/>
      <c r="TW82" s="144"/>
      <c r="TX82" s="144"/>
      <c r="TY82" s="144"/>
      <c r="TZ82" s="144"/>
      <c r="UA82" s="144"/>
      <c r="UB82" s="144"/>
      <c r="UC82" s="144"/>
      <c r="UD82" s="144"/>
      <c r="UE82" s="144"/>
      <c r="UF82" s="144"/>
      <c r="UG82" s="144"/>
      <c r="UH82" s="144"/>
      <c r="UI82" s="144"/>
      <c r="UJ82" s="144"/>
      <c r="UK82" s="144"/>
      <c r="UL82" s="144"/>
      <c r="UM82" s="144"/>
      <c r="UN82" s="144"/>
      <c r="UO82" s="144"/>
      <c r="UP82" s="144"/>
      <c r="UQ82" s="144"/>
      <c r="UR82" s="144"/>
      <c r="US82" s="144"/>
      <c r="UT82" s="144"/>
      <c r="UU82" s="144"/>
      <c r="UV82" s="144"/>
      <c r="UW82" s="144"/>
      <c r="UX82" s="144"/>
      <c r="UY82" s="144"/>
      <c r="UZ82" s="144"/>
      <c r="VA82" s="144"/>
      <c r="VB82" s="144"/>
      <c r="VC82" s="144"/>
      <c r="VD82" s="144"/>
      <c r="VE82" s="144"/>
      <c r="VF82" s="144"/>
      <c r="VG82" s="144"/>
      <c r="VH82" s="144"/>
      <c r="VI82" s="144"/>
      <c r="VJ82" s="144"/>
      <c r="VK82" s="144"/>
      <c r="VL82" s="144"/>
      <c r="VM82" s="144"/>
      <c r="VN82" s="144"/>
      <c r="VO82" s="144"/>
      <c r="VP82" s="144"/>
      <c r="VQ82" s="144"/>
      <c r="VR82" s="144"/>
      <c r="VS82" s="144"/>
      <c r="VT82" s="144"/>
      <c r="VU82" s="144"/>
      <c r="VV82" s="144"/>
      <c r="VW82" s="144"/>
      <c r="VX82" s="144"/>
      <c r="VY82" s="144"/>
      <c r="VZ82" s="144"/>
      <c r="WA82" s="144"/>
      <c r="WB82" s="144"/>
      <c r="WC82" s="144"/>
      <c r="WD82" s="144"/>
      <c r="WE82" s="144"/>
      <c r="WF82" s="144"/>
      <c r="WG82" s="144"/>
      <c r="WH82" s="144"/>
      <c r="WI82" s="144"/>
      <c r="WJ82" s="144"/>
      <c r="WK82" s="144"/>
      <c r="WL82" s="144"/>
      <c r="WM82" s="144"/>
      <c r="WN82" s="144"/>
      <c r="WO82" s="144"/>
      <c r="WP82" s="144"/>
      <c r="WQ82" s="144"/>
      <c r="WR82" s="144"/>
      <c r="WS82" s="144"/>
      <c r="WT82" s="144"/>
      <c r="WU82" s="144"/>
      <c r="WV82" s="144"/>
      <c r="WW82" s="144"/>
      <c r="WX82" s="144"/>
      <c r="WY82" s="144"/>
      <c r="WZ82" s="144"/>
      <c r="XA82" s="144"/>
      <c r="XB82" s="144"/>
      <c r="XC82" s="144"/>
      <c r="XD82" s="144"/>
      <c r="XE82" s="144"/>
      <c r="XF82" s="144"/>
      <c r="XG82" s="144"/>
      <c r="XH82" s="144"/>
      <c r="XI82" s="144"/>
      <c r="XJ82" s="144"/>
      <c r="XK82" s="144"/>
      <c r="XL82" s="144"/>
      <c r="XM82" s="144"/>
      <c r="XN82" s="144"/>
      <c r="XO82" s="144"/>
      <c r="XP82" s="144"/>
      <c r="XQ82" s="144"/>
      <c r="XR82" s="144"/>
      <c r="XS82" s="144"/>
      <c r="XT82" s="144"/>
      <c r="XU82" s="144"/>
      <c r="XV82" s="144"/>
      <c r="XW82" s="144"/>
      <c r="XX82" s="144"/>
      <c r="XY82" s="144"/>
      <c r="XZ82" s="144"/>
      <c r="YA82" s="144"/>
      <c r="YB82" s="144"/>
      <c r="YC82" s="144"/>
      <c r="YD82" s="144"/>
      <c r="YE82" s="144"/>
      <c r="YF82" s="144"/>
      <c r="YG82" s="144"/>
      <c r="YH82" s="144"/>
      <c r="YI82" s="144"/>
      <c r="YJ82" s="144"/>
      <c r="YK82" s="144"/>
      <c r="YL82" s="144"/>
      <c r="YM82" s="144"/>
      <c r="YN82" s="144"/>
      <c r="YO82" s="144"/>
      <c r="YP82" s="144"/>
      <c r="YQ82" s="144"/>
      <c r="YR82" s="144"/>
      <c r="YS82" s="144"/>
      <c r="YT82" s="144"/>
      <c r="YU82" s="144"/>
      <c r="YV82" s="144"/>
      <c r="YW82" s="144"/>
      <c r="YX82" s="144"/>
      <c r="YY82" s="144"/>
      <c r="YZ82" s="144"/>
      <c r="ZA82" s="144"/>
      <c r="ZB82" s="144"/>
      <c r="ZC82" s="144"/>
      <c r="ZD82" s="144"/>
      <c r="ZE82" s="144"/>
      <c r="ZF82" s="144"/>
      <c r="ZG82" s="144"/>
      <c r="ZH82" s="144"/>
      <c r="ZI82" s="144"/>
      <c r="ZJ82" s="144"/>
      <c r="ZK82" s="144"/>
      <c r="ZL82" s="144"/>
      <c r="ZM82" s="144"/>
      <c r="ZN82" s="144"/>
      <c r="ZO82" s="144"/>
      <c r="ZP82" s="144"/>
      <c r="ZQ82" s="144"/>
      <c r="ZR82" s="144"/>
      <c r="ZS82" s="144"/>
      <c r="ZT82" s="144"/>
      <c r="ZU82" s="144"/>
      <c r="ZV82" s="144"/>
      <c r="ZW82" s="144"/>
      <c r="ZX82" s="144"/>
      <c r="ZY82" s="144"/>
      <c r="ZZ82" s="144"/>
      <c r="AAA82" s="144"/>
      <c r="AAB82" s="144"/>
      <c r="AAC82" s="144"/>
      <c r="AAD82" s="144"/>
      <c r="AAE82" s="144"/>
      <c r="AAF82" s="144"/>
      <c r="AAG82" s="144"/>
      <c r="AAH82" s="144"/>
      <c r="AAI82" s="144"/>
      <c r="AAJ82" s="144"/>
      <c r="AAK82" s="144"/>
      <c r="AAL82" s="144"/>
      <c r="AAM82" s="144"/>
      <c r="AAN82" s="144"/>
      <c r="AAO82" s="144"/>
      <c r="AAP82" s="144"/>
      <c r="AAQ82" s="144"/>
      <c r="AAR82" s="144"/>
      <c r="AAS82" s="144"/>
      <c r="AAT82" s="144"/>
      <c r="AAU82" s="144"/>
      <c r="AAV82" s="144"/>
      <c r="AAW82" s="144"/>
      <c r="AAX82" s="144"/>
      <c r="AAY82" s="144"/>
      <c r="AAZ82" s="144"/>
      <c r="ABA82" s="144"/>
      <c r="ABB82" s="144"/>
      <c r="ABC82" s="144"/>
      <c r="ABD82" s="144"/>
      <c r="ABE82" s="144"/>
      <c r="ABF82" s="144"/>
      <c r="ABG82" s="144"/>
      <c r="ABH82" s="144"/>
      <c r="ABI82" s="144"/>
      <c r="ABJ82" s="144"/>
      <c r="ABK82" s="144"/>
      <c r="ABL82" s="144"/>
      <c r="ABM82" s="144"/>
      <c r="ABN82" s="144"/>
      <c r="ABO82" s="144"/>
      <c r="ABP82" s="144"/>
      <c r="ABQ82" s="144"/>
      <c r="ABR82" s="144"/>
      <c r="ABS82" s="144"/>
      <c r="ABT82" s="144"/>
      <c r="ABU82" s="144"/>
      <c r="ABV82" s="144"/>
      <c r="ABW82" s="144"/>
      <c r="ABX82" s="144"/>
      <c r="ABY82" s="144"/>
      <c r="ABZ82" s="144"/>
      <c r="ACA82" s="144"/>
      <c r="ACB82" s="144"/>
      <c r="ACC82" s="144"/>
      <c r="ACD82" s="144"/>
      <c r="ACE82" s="144"/>
      <c r="ACF82" s="144"/>
      <c r="ACG82" s="144"/>
      <c r="ACH82" s="144"/>
      <c r="ACI82" s="144"/>
      <c r="ACJ82" s="144"/>
      <c r="ACK82" s="144"/>
      <c r="ACL82" s="144"/>
      <c r="ACM82" s="144"/>
      <c r="ACN82" s="144"/>
      <c r="ACO82" s="144"/>
      <c r="ACP82" s="144"/>
      <c r="ACQ82" s="144"/>
      <c r="ACR82" s="144"/>
      <c r="ACS82" s="144"/>
      <c r="ACT82" s="144"/>
      <c r="ACU82" s="144"/>
      <c r="ACV82" s="144"/>
      <c r="ACW82" s="144"/>
      <c r="ACX82" s="144"/>
      <c r="ACY82" s="144"/>
      <c r="ACZ82" s="144"/>
      <c r="ADA82" s="144"/>
      <c r="ADB82" s="144"/>
      <c r="ADC82" s="144"/>
      <c r="ADD82" s="144"/>
      <c r="ADE82" s="144"/>
      <c r="ADF82" s="144"/>
      <c r="ADG82" s="144"/>
      <c r="ADH82" s="144"/>
      <c r="ADI82" s="144"/>
      <c r="ADJ82" s="144"/>
      <c r="ADK82" s="144"/>
      <c r="ADL82" s="144"/>
      <c r="ADM82" s="144"/>
      <c r="ADN82" s="144"/>
      <c r="ADO82" s="144"/>
      <c r="ADP82" s="144"/>
      <c r="ADQ82" s="144"/>
      <c r="ADR82" s="144"/>
      <c r="ADS82" s="144"/>
      <c r="ADT82" s="144"/>
      <c r="ADU82" s="144"/>
      <c r="ADV82" s="144"/>
      <c r="ADW82" s="144"/>
      <c r="ADX82" s="144"/>
      <c r="ADY82" s="144"/>
      <c r="ADZ82" s="144"/>
      <c r="AEA82" s="144"/>
      <c r="AEB82" s="144"/>
      <c r="AEC82" s="144"/>
      <c r="AED82" s="144"/>
      <c r="AEE82" s="144"/>
      <c r="AEF82" s="144"/>
      <c r="AEG82" s="144"/>
      <c r="AEH82" s="144"/>
      <c r="AEI82" s="144"/>
      <c r="AEJ82" s="144"/>
      <c r="AEK82" s="144"/>
      <c r="AEL82" s="144"/>
      <c r="AEM82" s="144"/>
      <c r="AEN82" s="144"/>
      <c r="AEO82" s="144"/>
      <c r="AEP82" s="144"/>
      <c r="AEQ82" s="144"/>
      <c r="AER82" s="144"/>
      <c r="AES82" s="144"/>
      <c r="AET82" s="144"/>
      <c r="AEU82" s="144"/>
      <c r="AEV82" s="144"/>
      <c r="AEW82" s="144"/>
      <c r="AEX82" s="144"/>
      <c r="AEY82" s="144"/>
      <c r="AEZ82" s="144"/>
      <c r="AFA82" s="144"/>
      <c r="AFB82" s="144"/>
      <c r="AFC82" s="144"/>
      <c r="AFD82" s="144"/>
      <c r="AFE82" s="144"/>
      <c r="AFF82" s="144"/>
      <c r="AFG82" s="144"/>
      <c r="AFH82" s="144"/>
      <c r="AFI82" s="144"/>
      <c r="AFJ82" s="144"/>
      <c r="AFK82" s="144"/>
      <c r="AFL82" s="144"/>
      <c r="AFM82" s="144"/>
      <c r="AFN82" s="144"/>
      <c r="AFO82" s="144"/>
      <c r="AFP82" s="144"/>
      <c r="AFQ82" s="144"/>
      <c r="AFR82" s="144"/>
      <c r="AFS82" s="144"/>
      <c r="AFT82" s="144"/>
      <c r="AFU82" s="144"/>
      <c r="AFV82" s="144"/>
      <c r="AFW82" s="144"/>
      <c r="AFX82" s="144"/>
      <c r="AFY82" s="144"/>
      <c r="AFZ82" s="144"/>
      <c r="AGA82" s="144"/>
      <c r="AGB82" s="144"/>
      <c r="AGC82" s="144"/>
      <c r="AGD82" s="144"/>
      <c r="AGE82" s="144"/>
      <c r="AGF82" s="144"/>
      <c r="AGG82" s="144"/>
      <c r="AGH82" s="144"/>
      <c r="AGI82" s="144"/>
      <c r="AGJ82" s="144"/>
      <c r="AGK82" s="144"/>
      <c r="AGL82" s="144"/>
      <c r="AGM82" s="144"/>
      <c r="AGN82" s="144"/>
      <c r="AGO82" s="144"/>
      <c r="AGP82" s="144"/>
      <c r="AGQ82" s="144"/>
      <c r="AGR82" s="144"/>
      <c r="AGS82" s="144"/>
      <c r="AGT82" s="144"/>
      <c r="AGU82" s="144"/>
      <c r="AGV82" s="144"/>
      <c r="AGW82" s="144"/>
      <c r="AGX82" s="144"/>
      <c r="AGY82" s="144"/>
      <c r="AGZ82" s="144"/>
      <c r="AHA82" s="144"/>
      <c r="AHB82" s="144"/>
      <c r="AHC82" s="144"/>
      <c r="AHD82" s="144"/>
      <c r="AHE82" s="144"/>
      <c r="AHF82" s="144"/>
      <c r="AHG82" s="144"/>
      <c r="AHH82" s="144"/>
      <c r="AHI82" s="144"/>
      <c r="AHJ82" s="144"/>
      <c r="AHK82" s="144"/>
      <c r="AHL82" s="144"/>
      <c r="AHM82" s="144"/>
      <c r="AHN82" s="144"/>
      <c r="AHO82" s="144"/>
      <c r="AHP82" s="144"/>
      <c r="AHQ82" s="144"/>
      <c r="AHR82" s="144"/>
      <c r="AHS82" s="144"/>
      <c r="AHT82" s="144"/>
      <c r="AHU82" s="144"/>
      <c r="AHV82" s="144"/>
      <c r="AHW82" s="144"/>
      <c r="AHX82" s="144"/>
      <c r="AHY82" s="144"/>
      <c r="AHZ82" s="144"/>
      <c r="AIA82" s="144"/>
      <c r="AIB82" s="144"/>
      <c r="AIC82" s="144"/>
      <c r="AID82" s="144"/>
      <c r="AIE82" s="144"/>
      <c r="AIF82" s="144"/>
      <c r="AIG82" s="144"/>
      <c r="AIH82" s="144"/>
      <c r="AII82" s="144"/>
      <c r="AIJ82" s="144"/>
      <c r="AIK82" s="144"/>
      <c r="AIL82" s="144"/>
      <c r="AIM82" s="144"/>
      <c r="AIN82" s="144"/>
      <c r="AIO82" s="144"/>
      <c r="AIP82" s="144"/>
      <c r="AIQ82" s="144"/>
      <c r="AIR82" s="144"/>
      <c r="AIS82" s="144"/>
      <c r="AIT82" s="144"/>
      <c r="AIU82" s="144"/>
      <c r="AIV82" s="144"/>
      <c r="AIW82" s="144"/>
      <c r="AIX82" s="144"/>
      <c r="AIY82" s="144"/>
      <c r="AIZ82" s="144"/>
      <c r="AJA82" s="144"/>
      <c r="AJB82" s="144"/>
      <c r="AJC82" s="144"/>
      <c r="AJD82" s="144"/>
      <c r="AJE82" s="144"/>
      <c r="AJF82" s="144"/>
      <c r="AJG82" s="144"/>
      <c r="AJH82" s="144"/>
      <c r="AJI82" s="144"/>
      <c r="AJJ82" s="144"/>
      <c r="AJK82" s="144"/>
      <c r="AJL82" s="144"/>
      <c r="AJM82" s="144"/>
      <c r="AJN82" s="144"/>
      <c r="AJO82" s="144"/>
      <c r="AJP82" s="144"/>
      <c r="AJQ82" s="144"/>
      <c r="AJR82" s="144"/>
      <c r="AJS82" s="144"/>
      <c r="AJT82" s="144"/>
      <c r="AJU82" s="144"/>
      <c r="AJV82" s="144"/>
      <c r="AJW82" s="144"/>
      <c r="AJX82" s="144"/>
      <c r="AJY82" s="144"/>
      <c r="AJZ82" s="144"/>
      <c r="AKA82" s="144"/>
      <c r="AKB82" s="144"/>
      <c r="AKC82" s="144"/>
      <c r="AKD82" s="144"/>
      <c r="AKE82" s="144"/>
      <c r="AKF82" s="144"/>
      <c r="AKG82" s="144"/>
      <c r="AKH82" s="144"/>
      <c r="AKI82" s="144"/>
      <c r="AKJ82" s="144"/>
      <c r="AKK82" s="144"/>
      <c r="AKL82" s="144"/>
      <c r="AKM82" s="144"/>
      <c r="AKN82" s="144"/>
      <c r="AKO82" s="144"/>
      <c r="AKP82" s="144"/>
      <c r="AKQ82" s="144"/>
      <c r="AKR82" s="144"/>
      <c r="AKS82" s="144"/>
      <c r="AKT82" s="144"/>
      <c r="AKU82" s="144"/>
      <c r="AKV82" s="144"/>
      <c r="AKW82" s="144"/>
      <c r="AKX82" s="144"/>
      <c r="AKY82" s="144"/>
      <c r="AKZ82" s="144"/>
      <c r="ALA82" s="144"/>
      <c r="ALB82" s="144"/>
      <c r="ALC82" s="144"/>
      <c r="ALD82" s="144"/>
      <c r="ALE82" s="144"/>
      <c r="ALF82" s="144"/>
      <c r="ALG82" s="144"/>
      <c r="ALH82" s="144"/>
      <c r="ALI82" s="144"/>
      <c r="ALJ82" s="144"/>
      <c r="ALK82" s="144"/>
      <c r="ALL82" s="144"/>
      <c r="ALM82" s="144"/>
      <c r="ALN82" s="144"/>
      <c r="ALO82" s="144"/>
      <c r="ALP82" s="144"/>
      <c r="ALQ82" s="144"/>
      <c r="ALR82" s="144"/>
      <c r="ALS82" s="144"/>
      <c r="ALT82" s="144"/>
      <c r="ALU82" s="144"/>
      <c r="ALV82" s="144"/>
      <c r="ALW82" s="144"/>
      <c r="ALX82" s="144"/>
      <c r="ALY82" s="144"/>
      <c r="ALZ82" s="144"/>
      <c r="AMA82" s="144"/>
      <c r="AMB82" s="144"/>
      <c r="AMC82" s="144"/>
      <c r="AMD82" s="144"/>
      <c r="AME82" s="144"/>
      <c r="AMF82" s="144"/>
      <c r="AMG82" s="144"/>
      <c r="AMH82" s="144"/>
      <c r="AMI82" s="144"/>
      <c r="AMJ82" s="144"/>
    </row>
  </sheetData>
  <sheetProtection algorithmName="SHA-512" hashValue="f5XGktkYJxL3sko1n5bhohRVoS+U9g/HeMncND/1ZgVHI0WsVWIfZvexKdMkOIKwzvELYMlHHAhupGVxkgafsw==" saltValue="UmxxtxkvSPV7HH7XAe/72w==" spinCount="100000" sheet="true" objects="true" scenarios="true"/>
  <mergeCells count="1">
    <mergeCell ref="A4:X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8"/>
  <sheetViews>
    <sheetView showFormulas="false" showGridLines="true" showRowColHeaders="true" showZeros="true" rightToLeft="false" tabSelected="true" showOutlineSymbols="true" defaultGridColor="true" view="normal" topLeftCell="A40" colorId="64" zoomScale="100" zoomScaleNormal="10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37" width="10.57"/>
    <col collapsed="false" customWidth="true" hidden="false" outlineLevel="0" max="2" min="2" style="137" width="27.71"/>
    <col collapsed="false" customWidth="true" hidden="false" outlineLevel="0" max="3" min="3" style="137" width="14.42"/>
    <col collapsed="false" customWidth="true" hidden="false" outlineLevel="0" max="5" min="4" style="137" width="15"/>
    <col collapsed="false" customWidth="true" hidden="false" outlineLevel="0" max="6" min="6" style="711" width="16.71"/>
    <col collapsed="false" customWidth="true" hidden="false" outlineLevel="0" max="8" min="7" style="711" width="13.15"/>
    <col collapsed="false" customWidth="true" hidden="false" outlineLevel="0" max="10" min="9" style="711" width="12.57"/>
    <col collapsed="false" customWidth="false" hidden="false" outlineLevel="0" max="257" min="11" style="137" width="9.14"/>
    <col collapsed="false" customWidth="true" hidden="false" outlineLevel="0" max="258" min="258" style="137" width="10.57"/>
    <col collapsed="false" customWidth="true" hidden="false" outlineLevel="0" max="259" min="259" style="137" width="27.71"/>
    <col collapsed="false" customWidth="true" hidden="false" outlineLevel="0" max="260" min="260" style="137" width="14.42"/>
    <col collapsed="false" customWidth="true" hidden="false" outlineLevel="0" max="262" min="261" style="137" width="15"/>
    <col collapsed="false" customWidth="true" hidden="false" outlineLevel="0" max="263" min="263" style="137" width="16.71"/>
    <col collapsed="false" customWidth="true" hidden="false" outlineLevel="0" max="264" min="264" style="137" width="13.15"/>
    <col collapsed="false" customWidth="true" hidden="false" outlineLevel="0" max="266" min="265" style="137" width="12.57"/>
    <col collapsed="false" customWidth="false" hidden="false" outlineLevel="0" max="513" min="267" style="137" width="9.14"/>
    <col collapsed="false" customWidth="true" hidden="false" outlineLevel="0" max="514" min="514" style="137" width="10.57"/>
    <col collapsed="false" customWidth="true" hidden="false" outlineLevel="0" max="515" min="515" style="137" width="27.71"/>
    <col collapsed="false" customWidth="true" hidden="false" outlineLevel="0" max="516" min="516" style="137" width="14.42"/>
    <col collapsed="false" customWidth="true" hidden="false" outlineLevel="0" max="518" min="517" style="137" width="15"/>
    <col collapsed="false" customWidth="true" hidden="false" outlineLevel="0" max="519" min="519" style="137" width="16.71"/>
    <col collapsed="false" customWidth="true" hidden="false" outlineLevel="0" max="520" min="520" style="137" width="13.15"/>
    <col collapsed="false" customWidth="true" hidden="false" outlineLevel="0" max="522" min="521" style="137" width="12.57"/>
    <col collapsed="false" customWidth="false" hidden="false" outlineLevel="0" max="769" min="523" style="137" width="9.14"/>
    <col collapsed="false" customWidth="true" hidden="false" outlineLevel="0" max="770" min="770" style="137" width="10.57"/>
    <col collapsed="false" customWidth="true" hidden="false" outlineLevel="0" max="771" min="771" style="137" width="27.71"/>
    <col collapsed="false" customWidth="true" hidden="false" outlineLevel="0" max="772" min="772" style="137" width="14.42"/>
    <col collapsed="false" customWidth="true" hidden="false" outlineLevel="0" max="774" min="773" style="137" width="15"/>
    <col collapsed="false" customWidth="true" hidden="false" outlineLevel="0" max="775" min="775" style="137" width="16.71"/>
    <col collapsed="false" customWidth="true" hidden="false" outlineLevel="0" max="776" min="776" style="137" width="13.15"/>
    <col collapsed="false" customWidth="true" hidden="false" outlineLevel="0" max="778" min="777" style="137" width="12.57"/>
    <col collapsed="false" customWidth="false" hidden="false" outlineLevel="0" max="1024" min="779" style="137" width="9.14"/>
  </cols>
  <sheetData>
    <row r="1" customFormat="false" ht="15" hidden="false" customHeight="false" outlineLevel="0" collapsed="false">
      <c r="A1" s="712"/>
      <c r="B1" s="134" t="str">
        <f aca="false">INSTRUÇÕES!B1</f>
        <v>Tribunal Regional Federal da 6ª Região</v>
      </c>
      <c r="C1" s="713"/>
      <c r="D1" s="713"/>
      <c r="E1" s="713"/>
      <c r="F1" s="714"/>
      <c r="G1" s="715"/>
      <c r="H1" s="715"/>
      <c r="I1" s="714"/>
      <c r="J1" s="716"/>
    </row>
    <row r="2" customFormat="false" ht="15" hidden="false" customHeight="false" outlineLevel="0" collapsed="false">
      <c r="A2" s="717"/>
      <c r="B2" s="136" t="str">
        <f aca="false">INSTRUÇÕES!B2</f>
        <v>Seção Judiciária de Minas Gerais</v>
      </c>
      <c r="C2" s="515"/>
      <c r="D2" s="515"/>
      <c r="E2" s="515"/>
      <c r="F2" s="718"/>
      <c r="I2" s="718"/>
      <c r="J2" s="719"/>
    </row>
    <row r="3" customFormat="false" ht="15" hidden="false" customHeight="false" outlineLevel="0" collapsed="false">
      <c r="A3" s="720"/>
      <c r="B3" s="655" t="str">
        <f aca="false">INSTRUÇÕES!B3</f>
        <v>Subseção Judiciária de Uberlândia</v>
      </c>
      <c r="C3" s="515"/>
      <c r="D3" s="515"/>
      <c r="E3" s="515"/>
      <c r="F3" s="718"/>
      <c r="I3" s="718"/>
      <c r="J3" s="719"/>
    </row>
    <row r="4" customFormat="false" ht="19.5" hidden="false" customHeight="true" outlineLevel="0" collapsed="false">
      <c r="A4" s="721" t="s">
        <v>706</v>
      </c>
      <c r="B4" s="721"/>
      <c r="C4" s="721"/>
      <c r="D4" s="721"/>
      <c r="E4" s="721"/>
      <c r="F4" s="721"/>
      <c r="G4" s="721"/>
      <c r="H4" s="721"/>
      <c r="I4" s="721"/>
      <c r="J4" s="721"/>
    </row>
    <row r="5" customFormat="false" ht="19.5" hidden="false" customHeight="true" outlineLevel="0" collapsed="false">
      <c r="A5" s="722" t="s">
        <v>313</v>
      </c>
      <c r="B5" s="722"/>
      <c r="C5" s="722"/>
      <c r="D5" s="722"/>
      <c r="E5" s="722"/>
      <c r="F5" s="722"/>
      <c r="G5" s="722"/>
      <c r="H5" s="722"/>
      <c r="I5" s="722"/>
      <c r="J5" s="722"/>
    </row>
    <row r="6" customFormat="false" ht="36" hidden="false" customHeight="true" outlineLevel="0" collapsed="false">
      <c r="A6" s="723" t="str">
        <f aca="false">Dados!A4</f>
        <v>Sindicato utilizado - SEAC/MG x SINDEACO/MG. Vigência: 01/01/2025 à 31/12/2025. Sendo a data base da categoria 01º Janeiro. Com número de registro no MTE MG001252/2025.</v>
      </c>
      <c r="B6" s="723"/>
      <c r="C6" s="723"/>
      <c r="D6" s="723"/>
      <c r="E6" s="723"/>
      <c r="F6" s="723"/>
      <c r="G6" s="723"/>
      <c r="H6" s="723"/>
      <c r="I6" s="723"/>
      <c r="J6" s="723"/>
    </row>
    <row r="7" customFormat="false" ht="19.5" hidden="false" customHeight="true" outlineLevel="0" collapsed="false">
      <c r="A7" s="724" t="str">
        <f aca="false">Dados!C14</f>
        <v>Zelador acúmulo de função Lavador de Carro e Jardineiro</v>
      </c>
      <c r="B7" s="724"/>
      <c r="C7" s="724"/>
      <c r="D7" s="724"/>
      <c r="E7" s="724"/>
      <c r="F7" s="725" t="s">
        <v>707</v>
      </c>
      <c r="G7" s="725" t="s">
        <v>708</v>
      </c>
      <c r="H7" s="725" t="s">
        <v>709</v>
      </c>
      <c r="I7" s="725" t="s">
        <v>710</v>
      </c>
      <c r="J7" s="725" t="s">
        <v>711</v>
      </c>
    </row>
    <row r="8" customFormat="false" ht="19.5" hidden="false" customHeight="true" outlineLevel="0" collapsed="false">
      <c r="A8" s="726" t="s">
        <v>746</v>
      </c>
      <c r="B8" s="726"/>
      <c r="C8" s="726"/>
      <c r="D8" s="726"/>
      <c r="E8" s="727" t="s">
        <v>390</v>
      </c>
      <c r="F8" s="725"/>
      <c r="G8" s="725"/>
      <c r="H8" s="725"/>
      <c r="I8" s="725"/>
      <c r="J8" s="725"/>
    </row>
    <row r="9" customFormat="false" ht="19.5" hidden="false" customHeight="true" outlineLevel="0" collapsed="false">
      <c r="A9" s="728" t="s">
        <v>713</v>
      </c>
      <c r="B9" s="728"/>
      <c r="C9" s="728"/>
      <c r="D9" s="728"/>
      <c r="E9" s="728"/>
      <c r="F9" s="728"/>
      <c r="G9" s="728"/>
      <c r="H9" s="728"/>
      <c r="I9" s="728"/>
      <c r="J9" s="728"/>
    </row>
    <row r="10" customFormat="false" ht="24" hidden="false" customHeight="true" outlineLevel="0" collapsed="false">
      <c r="A10" s="729" t="s">
        <v>391</v>
      </c>
      <c r="B10" s="730" t="s">
        <v>714</v>
      </c>
      <c r="C10" s="730"/>
      <c r="D10" s="731" t="s">
        <v>715</v>
      </c>
      <c r="E10" s="732" t="s">
        <v>716</v>
      </c>
      <c r="F10" s="733" t="s">
        <v>394</v>
      </c>
      <c r="G10" s="733"/>
      <c r="H10" s="733"/>
      <c r="I10" s="733"/>
      <c r="J10" s="733"/>
    </row>
    <row r="11" customFormat="false" ht="27.75" hidden="false" customHeight="true" outlineLevel="0" collapsed="false">
      <c r="A11" s="734" t="n">
        <v>1</v>
      </c>
      <c r="B11" s="740" t="str">
        <f aca="false">A7</f>
        <v>Zelador acúmulo de função Lavador de Carro e Jardineiro</v>
      </c>
      <c r="C11" s="740"/>
      <c r="D11" s="736" t="n">
        <f aca="false">Dados!D14</f>
        <v>200</v>
      </c>
      <c r="E11" s="737" t="n">
        <f aca="false">Dados!$E$14</f>
        <v>2463.29</v>
      </c>
      <c r="F11" s="738" t="n">
        <f aca="false">ROUND(E11/220*D11,2)</f>
        <v>2239.35</v>
      </c>
      <c r="G11" s="738" t="n">
        <f aca="false">F11</f>
        <v>2239.35</v>
      </c>
      <c r="H11" s="738"/>
      <c r="I11" s="738"/>
      <c r="J11" s="739"/>
    </row>
    <row r="12" customFormat="false" ht="19.5" hidden="false" customHeight="true" outlineLevel="0" collapsed="false">
      <c r="A12" s="734"/>
      <c r="B12" s="740" t="s">
        <v>717</v>
      </c>
      <c r="C12" s="740"/>
      <c r="D12" s="741" t="n">
        <f aca="false">Dados!G14</f>
        <v>0</v>
      </c>
      <c r="E12" s="737" t="n">
        <f aca="false">Dados!$G$33</f>
        <v>1518</v>
      </c>
      <c r="F12" s="738" t="n">
        <f aca="false">D12*E12</f>
        <v>0</v>
      </c>
      <c r="G12" s="738" t="n">
        <f aca="false">F12</f>
        <v>0</v>
      </c>
      <c r="H12" s="738"/>
      <c r="I12" s="738"/>
      <c r="J12" s="739" t="n">
        <f aca="false">F12</f>
        <v>0</v>
      </c>
    </row>
    <row r="13" customFormat="false" ht="22.5" hidden="false" customHeight="true" outlineLevel="0" collapsed="false">
      <c r="A13" s="734"/>
      <c r="B13" s="742" t="s">
        <v>718</v>
      </c>
      <c r="C13" s="743" t="n">
        <f aca="false">Dados!$I$14</f>
        <v>0.12</v>
      </c>
      <c r="D13" s="743" t="n">
        <f aca="false">Dados!$J$14</f>
        <v>0.3</v>
      </c>
      <c r="E13" s="744" t="n">
        <f aca="false">Dados!$K$14</f>
        <v>2239.35</v>
      </c>
      <c r="F13" s="745" t="n">
        <f aca="false">ROUND((E13*D13*C13),2)</f>
        <v>80.62</v>
      </c>
      <c r="G13" s="745" t="n">
        <f aca="false">F13</f>
        <v>80.62</v>
      </c>
      <c r="H13" s="745"/>
      <c r="I13" s="745"/>
      <c r="J13" s="746"/>
    </row>
    <row r="14" customFormat="false" ht="19.5" hidden="false" customHeight="true" outlineLevel="0" collapsed="false">
      <c r="A14" s="734"/>
      <c r="B14" s="747" t="s">
        <v>719</v>
      </c>
      <c r="C14" s="747"/>
      <c r="D14" s="747"/>
      <c r="E14" s="747"/>
      <c r="F14" s="748" t="n">
        <f aca="false">SUM(F11:F13)</f>
        <v>2319.97</v>
      </c>
      <c r="G14" s="748" t="n">
        <f aca="false">SUM(G11:G13)</f>
        <v>2319.97</v>
      </c>
      <c r="H14" s="748" t="n">
        <f aca="false">SUM(H11:H13)</f>
        <v>0</v>
      </c>
      <c r="I14" s="748" t="n">
        <f aca="false">SUM(I11:I13)</f>
        <v>0</v>
      </c>
      <c r="J14" s="749" t="n">
        <f aca="false">SUM(J11:J13)</f>
        <v>0</v>
      </c>
    </row>
    <row r="15" customFormat="false" ht="19.5" hidden="false" customHeight="true" outlineLevel="0" collapsed="false">
      <c r="A15" s="734"/>
      <c r="B15" s="750" t="s">
        <v>720</v>
      </c>
      <c r="C15" s="750"/>
      <c r="D15" s="750"/>
      <c r="E15" s="751" t="n">
        <f aca="false">Encargos!$C$57</f>
        <v>0.764</v>
      </c>
      <c r="F15" s="738" t="n">
        <f aca="false">ROUND((E15*F14),2)</f>
        <v>1772.46</v>
      </c>
      <c r="G15" s="738" t="n">
        <f aca="false">F15</f>
        <v>1772.46</v>
      </c>
      <c r="H15" s="738"/>
      <c r="I15" s="738"/>
      <c r="J15" s="739" t="n">
        <f aca="false">ROUND((E15*J14),2)</f>
        <v>0</v>
      </c>
    </row>
    <row r="16" customFormat="false" ht="19.5" hidden="false" customHeight="true" outlineLevel="0" collapsed="false">
      <c r="A16" s="752" t="s">
        <v>721</v>
      </c>
      <c r="B16" s="752"/>
      <c r="C16" s="752"/>
      <c r="D16" s="752"/>
      <c r="E16" s="752"/>
      <c r="F16" s="753" t="n">
        <f aca="false">SUM(F14:F15)</f>
        <v>4092.43</v>
      </c>
      <c r="G16" s="753" t="n">
        <f aca="false">SUM(G14:G15)</f>
        <v>4092.43</v>
      </c>
      <c r="H16" s="753" t="n">
        <f aca="false">SUM(H14:H15)</f>
        <v>0</v>
      </c>
      <c r="I16" s="753" t="n">
        <f aca="false">SUM(I14:I15)</f>
        <v>0</v>
      </c>
      <c r="J16" s="754" t="n">
        <f aca="false">SUM(J14:J15)</f>
        <v>0</v>
      </c>
    </row>
    <row r="17" customFormat="false" ht="19.5" hidden="false" customHeight="true" outlineLevel="0" collapsed="false">
      <c r="A17" s="755" t="s">
        <v>722</v>
      </c>
      <c r="B17" s="755"/>
      <c r="C17" s="755"/>
      <c r="D17" s="755"/>
      <c r="E17" s="755"/>
      <c r="F17" s="755"/>
      <c r="G17" s="755"/>
      <c r="H17" s="755"/>
      <c r="I17" s="755"/>
      <c r="J17" s="755"/>
    </row>
    <row r="18" customFormat="false" ht="19.5" hidden="false" customHeight="true" outlineLevel="0" collapsed="false">
      <c r="A18" s="756" t="s">
        <v>723</v>
      </c>
      <c r="B18" s="756"/>
      <c r="C18" s="757" t="s">
        <v>393</v>
      </c>
      <c r="D18" s="757" t="s">
        <v>724</v>
      </c>
      <c r="E18" s="757"/>
      <c r="F18" s="758" t="s">
        <v>394</v>
      </c>
      <c r="G18" s="758"/>
      <c r="H18" s="758"/>
      <c r="I18" s="758"/>
      <c r="J18" s="758"/>
    </row>
    <row r="19" customFormat="false" ht="19.5" hidden="false" customHeight="true" outlineLevel="0" collapsed="false">
      <c r="A19" s="759" t="s">
        <v>725</v>
      </c>
      <c r="B19" s="759"/>
      <c r="C19" s="760"/>
      <c r="D19" s="760"/>
      <c r="E19" s="760"/>
      <c r="F19" s="738" t="n">
        <f aca="false">Dados!N14</f>
        <v>31.18</v>
      </c>
      <c r="G19" s="738" t="n">
        <f aca="false">F19</f>
        <v>31.18</v>
      </c>
      <c r="H19" s="738"/>
      <c r="I19" s="738"/>
      <c r="J19" s="739"/>
    </row>
    <row r="20" customFormat="false" ht="19.5" hidden="false" customHeight="true" outlineLevel="0" collapsed="false">
      <c r="A20" s="759" t="s">
        <v>726</v>
      </c>
      <c r="B20" s="759"/>
      <c r="C20" s="760"/>
      <c r="D20" s="760"/>
      <c r="E20" s="760"/>
      <c r="F20" s="738" t="n">
        <f aca="false">Dados!G36</f>
        <v>5.27</v>
      </c>
      <c r="G20" s="738" t="n">
        <f aca="false">F20</f>
        <v>5.27</v>
      </c>
      <c r="H20" s="738"/>
      <c r="I20" s="738"/>
      <c r="J20" s="739"/>
    </row>
    <row r="21" customFormat="false" ht="23.25" hidden="false" customHeight="true" outlineLevel="0" collapsed="false">
      <c r="A21" s="761" t="s">
        <v>238</v>
      </c>
      <c r="B21" s="761"/>
      <c r="C21" s="760"/>
      <c r="D21" s="760"/>
      <c r="E21" s="760"/>
      <c r="F21" s="738" t="n">
        <f aca="false">Dados!G37</f>
        <v>0</v>
      </c>
      <c r="G21" s="738" t="n">
        <f aca="false">F21</f>
        <v>0</v>
      </c>
      <c r="H21" s="738"/>
      <c r="I21" s="738"/>
      <c r="J21" s="739"/>
    </row>
    <row r="22" customFormat="false" ht="19.5" hidden="false" customHeight="true" outlineLevel="0" collapsed="false">
      <c r="A22" s="759" t="s">
        <v>239</v>
      </c>
      <c r="B22" s="759"/>
      <c r="C22" s="762" t="n">
        <f aca="false">Dados!$G$40</f>
        <v>22</v>
      </c>
      <c r="D22" s="762" t="n">
        <f aca="false">Dados!$G$39</f>
        <v>2</v>
      </c>
      <c r="E22" s="763" t="n">
        <f aca="false">Dados!$G$38</f>
        <v>5.7</v>
      </c>
      <c r="F22" s="738" t="n">
        <f aca="false">IF(ROUND((E22*D22*C22)-(F11*Dados!G41),2)&lt;0,0,ROUND((E22*D22*C22)-(F11*Dados!G41),2))</f>
        <v>116.44</v>
      </c>
      <c r="G22" s="738" t="n">
        <f aca="false">F22</f>
        <v>116.44</v>
      </c>
      <c r="H22" s="738"/>
      <c r="I22" s="738" t="n">
        <f aca="false">F22</f>
        <v>116.44</v>
      </c>
      <c r="J22" s="739"/>
    </row>
    <row r="23" customFormat="false" ht="19.5" hidden="false" customHeight="true" outlineLevel="0" collapsed="false">
      <c r="A23" s="759" t="s">
        <v>248</v>
      </c>
      <c r="B23" s="759"/>
      <c r="C23" s="762" t="n">
        <f aca="false">Dados!G43</f>
        <v>1</v>
      </c>
      <c r="D23" s="764" t="n">
        <f aca="false">Dados!G44</f>
        <v>0</v>
      </c>
      <c r="E23" s="763" t="n">
        <f aca="false">Dados!G42</f>
        <v>387.79</v>
      </c>
      <c r="F23" s="765" t="n">
        <f aca="false">E23*C23*(100%-D23)</f>
        <v>387.79</v>
      </c>
      <c r="G23" s="738" t="n">
        <f aca="false">F23</f>
        <v>387.79</v>
      </c>
      <c r="H23" s="738" t="n">
        <f aca="false">$F$23</f>
        <v>387.79</v>
      </c>
      <c r="I23" s="765"/>
      <c r="J23" s="739"/>
    </row>
    <row r="24" customFormat="false" ht="19.5" hidden="false" customHeight="true" outlineLevel="0" collapsed="false">
      <c r="A24" s="759" t="str">
        <f aca="false">Dados!B45</f>
        <v>Plano de Assistência Odontológica</v>
      </c>
      <c r="B24" s="759"/>
      <c r="C24" s="762"/>
      <c r="D24" s="762"/>
      <c r="E24" s="763"/>
      <c r="F24" s="765" t="n">
        <f aca="false">Dados!G45</f>
        <v>42.97</v>
      </c>
      <c r="G24" s="738" t="n">
        <f aca="false">F24</f>
        <v>42.97</v>
      </c>
      <c r="H24" s="738"/>
      <c r="I24" s="765"/>
      <c r="J24" s="739"/>
    </row>
    <row r="25" customFormat="false" ht="19.5" hidden="false" customHeight="true" outlineLevel="0" collapsed="false">
      <c r="A25" s="759" t="str">
        <f aca="false">Dados!B46</f>
        <v>Outros (inserir somente com a justificativa legal)</v>
      </c>
      <c r="B25" s="759"/>
      <c r="C25" s="762"/>
      <c r="D25" s="762"/>
      <c r="E25" s="763"/>
      <c r="F25" s="765" t="n">
        <f aca="false">Dados!G46</f>
        <v>0</v>
      </c>
      <c r="G25" s="738" t="n">
        <f aca="false">F25</f>
        <v>0</v>
      </c>
      <c r="H25" s="738"/>
      <c r="I25" s="765"/>
      <c r="J25" s="739"/>
    </row>
    <row r="26" customFormat="false" ht="19.5" hidden="false" customHeight="true" outlineLevel="0" collapsed="false">
      <c r="A26" s="759" t="s">
        <v>189</v>
      </c>
      <c r="B26" s="759"/>
      <c r="C26" s="762"/>
      <c r="D26" s="762"/>
      <c r="E26" s="763"/>
      <c r="F26" s="765" t="n">
        <f aca="false">Dados!T14</f>
        <v>4.94083333333333</v>
      </c>
      <c r="G26" s="738" t="n">
        <f aca="false">F26</f>
        <v>4.94083333333333</v>
      </c>
      <c r="H26" s="738"/>
      <c r="I26" s="765"/>
      <c r="J26" s="739"/>
    </row>
    <row r="27" customFormat="false" ht="19.5" hidden="false" customHeight="true" outlineLevel="0" collapsed="false">
      <c r="A27" s="759" t="s">
        <v>748</v>
      </c>
      <c r="B27" s="759"/>
      <c r="C27" s="762"/>
      <c r="D27" s="763"/>
      <c r="E27" s="763"/>
      <c r="F27" s="738" t="n">
        <f aca="false">Dados!S14</f>
        <v>155.82</v>
      </c>
      <c r="G27" s="738"/>
      <c r="H27" s="738"/>
      <c r="I27" s="738"/>
      <c r="J27" s="739"/>
      <c r="L27" s="766"/>
    </row>
    <row r="28" customFormat="false" ht="19.5" hidden="false" customHeight="true" outlineLevel="0" collapsed="false">
      <c r="A28" s="759" t="s">
        <v>744</v>
      </c>
      <c r="B28" s="767"/>
      <c r="C28" s="762"/>
      <c r="D28" s="763"/>
      <c r="E28" s="763"/>
      <c r="F28" s="738" t="n">
        <f aca="false">Dados!R14</f>
        <v>144.52</v>
      </c>
      <c r="G28" s="738"/>
      <c r="H28" s="738"/>
      <c r="I28" s="738"/>
      <c r="J28" s="739"/>
    </row>
    <row r="29" customFormat="false" ht="19.5" hidden="false" customHeight="true" outlineLevel="0" collapsed="false">
      <c r="A29" s="768" t="s">
        <v>729</v>
      </c>
      <c r="B29" s="768"/>
      <c r="C29" s="769"/>
      <c r="D29" s="770"/>
      <c r="E29" s="770"/>
      <c r="F29" s="745" t="n">
        <f aca="false">Dados!U14</f>
        <v>44.5051923076923</v>
      </c>
      <c r="G29" s="745" t="n">
        <f aca="false">F29</f>
        <v>44.5051923076923</v>
      </c>
      <c r="H29" s="745"/>
      <c r="I29" s="745"/>
      <c r="J29" s="746"/>
    </row>
    <row r="30" customFormat="false" ht="19.5" hidden="false" customHeight="true" outlineLevel="0" collapsed="false">
      <c r="A30" s="771" t="s">
        <v>730</v>
      </c>
      <c r="B30" s="771"/>
      <c r="C30" s="771"/>
      <c r="D30" s="771"/>
      <c r="E30" s="771"/>
      <c r="F30" s="753" t="n">
        <f aca="false">SUM(F19:F29)</f>
        <v>933.436025641026</v>
      </c>
      <c r="G30" s="753" t="n">
        <f aca="false">SUM(G19:G29)</f>
        <v>633.096025641026</v>
      </c>
      <c r="H30" s="753" t="n">
        <f aca="false">SUM(H19:H29)</f>
        <v>387.79</v>
      </c>
      <c r="I30" s="753" t="n">
        <f aca="false">SUM(I19:I29)</f>
        <v>116.44</v>
      </c>
      <c r="J30" s="754" t="n">
        <f aca="false">SUM(J19:J29)</f>
        <v>0</v>
      </c>
    </row>
    <row r="31" customFormat="false" ht="19.5" hidden="false" customHeight="true" outlineLevel="0" collapsed="false">
      <c r="A31" s="771" t="s">
        <v>731</v>
      </c>
      <c r="B31" s="771"/>
      <c r="C31" s="771"/>
      <c r="D31" s="771"/>
      <c r="E31" s="771"/>
      <c r="F31" s="753" t="n">
        <f aca="false">F16+F30</f>
        <v>5025.86602564103</v>
      </c>
      <c r="G31" s="753" t="n">
        <f aca="false">G16+G30</f>
        <v>4725.52602564103</v>
      </c>
      <c r="H31" s="753" t="n">
        <f aca="false">H16+H30</f>
        <v>387.79</v>
      </c>
      <c r="I31" s="753" t="n">
        <f aca="false">I16+I30</f>
        <v>116.44</v>
      </c>
      <c r="J31" s="754" t="n">
        <f aca="false">J16+J30</f>
        <v>0</v>
      </c>
    </row>
    <row r="32" customFormat="false" ht="19.5" hidden="false" customHeight="true" outlineLevel="0" collapsed="false">
      <c r="A32" s="728" t="s">
        <v>732</v>
      </c>
      <c r="B32" s="728"/>
      <c r="C32" s="728"/>
      <c r="D32" s="728"/>
      <c r="E32" s="728"/>
      <c r="F32" s="728"/>
      <c r="G32" s="728"/>
      <c r="H32" s="728"/>
      <c r="I32" s="728"/>
      <c r="J32" s="728"/>
    </row>
    <row r="33" customFormat="false" ht="19.5" hidden="false" customHeight="true" outlineLevel="0" collapsed="false">
      <c r="A33" s="756" t="s">
        <v>733</v>
      </c>
      <c r="B33" s="756"/>
      <c r="C33" s="756"/>
      <c r="D33" s="772" t="s">
        <v>671</v>
      </c>
      <c r="E33" s="773" t="s">
        <v>394</v>
      </c>
      <c r="F33" s="773"/>
      <c r="G33" s="773"/>
      <c r="H33" s="773"/>
      <c r="I33" s="773"/>
      <c r="J33" s="773"/>
    </row>
    <row r="34" customFormat="false" ht="19.5" hidden="false" customHeight="true" outlineLevel="0" collapsed="false">
      <c r="A34" s="774" t="s">
        <v>734</v>
      </c>
      <c r="B34" s="775"/>
      <c r="C34" s="775"/>
      <c r="D34" s="776" t="n">
        <f aca="false">Dados!$G$49</f>
        <v>0.07</v>
      </c>
      <c r="E34" s="777"/>
      <c r="F34" s="738" t="n">
        <f aca="false">ROUND((F31*$D$34),2)</f>
        <v>351.81</v>
      </c>
      <c r="G34" s="738" t="n">
        <f aca="false">ROUND((G31*$D$34),2)</f>
        <v>330.79</v>
      </c>
      <c r="H34" s="738" t="n">
        <f aca="false">ROUND((H31*$D$34),2)</f>
        <v>27.15</v>
      </c>
      <c r="I34" s="738" t="n">
        <f aca="false">ROUND((I31*$D$34),2)</f>
        <v>8.15</v>
      </c>
      <c r="J34" s="739" t="n">
        <f aca="false">ROUND((J31*$D$34),2)</f>
        <v>0</v>
      </c>
    </row>
    <row r="35" customFormat="false" ht="19.5" hidden="false" customHeight="true" outlineLevel="0" collapsed="false">
      <c r="A35" s="778" t="s">
        <v>735</v>
      </c>
      <c r="B35" s="778"/>
      <c r="C35" s="778"/>
      <c r="D35" s="776"/>
      <c r="E35" s="777"/>
      <c r="F35" s="738" t="n">
        <f aca="false">F31+F34</f>
        <v>5377.67602564103</v>
      </c>
      <c r="G35" s="738" t="n">
        <f aca="false">G31+G34</f>
        <v>5056.31602564103</v>
      </c>
      <c r="H35" s="738" t="n">
        <f aca="false">H31+H34</f>
        <v>414.94</v>
      </c>
      <c r="I35" s="738" t="n">
        <f aca="false">I31+I34</f>
        <v>124.59</v>
      </c>
      <c r="J35" s="739" t="n">
        <f aca="false">J31+J34</f>
        <v>0</v>
      </c>
    </row>
    <row r="36" customFormat="false" ht="19.5" hidden="false" customHeight="true" outlineLevel="0" collapsed="false">
      <c r="A36" s="779" t="s">
        <v>258</v>
      </c>
      <c r="B36" s="780"/>
      <c r="C36" s="780"/>
      <c r="D36" s="781" t="n">
        <f aca="false">Dados!$G$50</f>
        <v>0.0369</v>
      </c>
      <c r="E36" s="782"/>
      <c r="F36" s="745" t="n">
        <f aca="false">ROUND((F35*$D$36),2)</f>
        <v>198.44</v>
      </c>
      <c r="G36" s="745" t="n">
        <f aca="false">ROUND((G35*$D$36),2)</f>
        <v>186.58</v>
      </c>
      <c r="H36" s="745" t="n">
        <f aca="false">ROUND((H35*$D$36),2)</f>
        <v>15.31</v>
      </c>
      <c r="I36" s="745" t="n">
        <f aca="false">ROUND((I35*$D$36),2)</f>
        <v>4.6</v>
      </c>
      <c r="J36" s="746" t="n">
        <f aca="false">ROUND((J35*$D$36),2)</f>
        <v>0</v>
      </c>
    </row>
    <row r="37" customFormat="false" ht="19.5" hidden="false" customHeight="true" outlineLevel="0" collapsed="false">
      <c r="A37" s="783" t="s">
        <v>736</v>
      </c>
      <c r="B37" s="784"/>
      <c r="C37" s="784"/>
      <c r="D37" s="785" t="n">
        <f aca="false">SUM(D34:D36)</f>
        <v>0.1069</v>
      </c>
      <c r="E37" s="786"/>
      <c r="F37" s="753" t="n">
        <f aca="false">F34+F36</f>
        <v>550.25</v>
      </c>
      <c r="G37" s="753" t="n">
        <f aca="false">G34+G36</f>
        <v>517.37</v>
      </c>
      <c r="H37" s="753" t="n">
        <f aca="false">H34+H36</f>
        <v>42.46</v>
      </c>
      <c r="I37" s="753" t="n">
        <f aca="false">I34+I36</f>
        <v>12.75</v>
      </c>
      <c r="J37" s="754" t="n">
        <f aca="false">J34+J36</f>
        <v>0</v>
      </c>
    </row>
    <row r="38" customFormat="false" ht="19.5" hidden="false" customHeight="true" outlineLevel="0" collapsed="false">
      <c r="A38" s="787" t="s">
        <v>737</v>
      </c>
      <c r="B38" s="787"/>
      <c r="C38" s="787"/>
      <c r="D38" s="787"/>
      <c r="E38" s="787"/>
      <c r="F38" s="788" t="n">
        <f aca="false">F31+F37</f>
        <v>5576.11602564103</v>
      </c>
      <c r="G38" s="788" t="n">
        <f aca="false">G31+G37</f>
        <v>5242.89602564103</v>
      </c>
      <c r="H38" s="788" t="n">
        <f aca="false">H31+H37</f>
        <v>430.25</v>
      </c>
      <c r="I38" s="788" t="n">
        <f aca="false">I31+I37</f>
        <v>129.19</v>
      </c>
      <c r="J38" s="789" t="n">
        <f aca="false">J31+J37</f>
        <v>0</v>
      </c>
    </row>
    <row r="39" customFormat="false" ht="19.5" hidden="false" customHeight="true" outlineLevel="0" collapsed="false">
      <c r="A39" s="790" t="s">
        <v>738</v>
      </c>
      <c r="B39" s="790"/>
      <c r="C39" s="790"/>
      <c r="D39" s="790"/>
      <c r="E39" s="790"/>
      <c r="F39" s="790"/>
      <c r="G39" s="790"/>
      <c r="H39" s="790"/>
      <c r="I39" s="790"/>
      <c r="J39" s="790"/>
    </row>
    <row r="40" customFormat="false" ht="19.5" hidden="false" customHeight="true" outlineLevel="0" collapsed="false">
      <c r="A40" s="759" t="s">
        <v>264</v>
      </c>
      <c r="B40" s="759"/>
      <c r="C40" s="759"/>
      <c r="D40" s="776" t="n">
        <f aca="false">Dados!G57</f>
        <v>0.076</v>
      </c>
      <c r="E40" s="791"/>
      <c r="F40" s="738" t="n">
        <f aca="false">ROUND(($F$46*D40),2)</f>
        <v>482.95</v>
      </c>
      <c r="G40" s="738" t="n">
        <f aca="false">ROUND((G46*$D$40),2)</f>
        <v>454.09</v>
      </c>
      <c r="H40" s="738" t="n">
        <f aca="false">ROUND((H46*$D$40),2)</f>
        <v>37.26</v>
      </c>
      <c r="I40" s="738" t="n">
        <f aca="false">ROUND((I46*$D$40),2)</f>
        <v>11.19</v>
      </c>
      <c r="J40" s="739" t="n">
        <f aca="false">ROUND((J46*$D$40),2)</f>
        <v>0</v>
      </c>
    </row>
    <row r="41" customFormat="false" ht="19.5" hidden="false" customHeight="true" outlineLevel="0" collapsed="false">
      <c r="A41" s="759" t="s">
        <v>266</v>
      </c>
      <c r="B41" s="759"/>
      <c r="C41" s="759"/>
      <c r="D41" s="776" t="n">
        <f aca="false">Dados!G58</f>
        <v>0.0165</v>
      </c>
      <c r="E41" s="791"/>
      <c r="F41" s="738" t="n">
        <f aca="false">ROUND((F46*$D$41),2)</f>
        <v>104.85</v>
      </c>
      <c r="G41" s="738" t="n">
        <f aca="false">ROUND((G46*$D$41),2)</f>
        <v>98.58</v>
      </c>
      <c r="H41" s="738" t="n">
        <f aca="false">ROUND((H46*$D$41),2)</f>
        <v>8.09</v>
      </c>
      <c r="I41" s="738" t="n">
        <f aca="false">ROUND((I46*$D$41),2)</f>
        <v>2.43</v>
      </c>
      <c r="J41" s="739" t="n">
        <f aca="false">ROUND((J46*$D$41),2)</f>
        <v>0</v>
      </c>
    </row>
    <row r="42" customFormat="false" ht="19.5" hidden="false" customHeight="true" outlineLevel="0" collapsed="false">
      <c r="A42" s="759" t="str">
        <f aca="false">Dados!B59</f>
        <v>ISSQN 7.10 - Limpeza</v>
      </c>
      <c r="B42" s="759"/>
      <c r="C42" s="759"/>
      <c r="D42" s="776" t="n">
        <f aca="false">Dados!G59</f>
        <v>0.03</v>
      </c>
      <c r="E42" s="791"/>
      <c r="F42" s="738" t="n">
        <f aca="false">ROUND((F46*$D$42),2)</f>
        <v>190.64</v>
      </c>
      <c r="G42" s="738" t="n">
        <f aca="false">ROUND((G46*$D$42),2)</f>
        <v>179.24</v>
      </c>
      <c r="H42" s="738" t="n">
        <f aca="false">ROUND((H46*$D$42),2)</f>
        <v>14.71</v>
      </c>
      <c r="I42" s="738" t="n">
        <f aca="false">ROUND((I46*$D$42),2)</f>
        <v>4.42</v>
      </c>
      <c r="J42" s="739" t="n">
        <f aca="false">ROUND((J46*$D$42),2)</f>
        <v>0</v>
      </c>
    </row>
    <row r="43" customFormat="false" ht="19.5" hidden="false" customHeight="true" outlineLevel="0" collapsed="false">
      <c r="A43" s="759" t="str">
        <f aca="false">Dados!B60</f>
        <v>ISSQN 17.05 - Fornecimento de mão-de-obra</v>
      </c>
      <c r="B43" s="759"/>
      <c r="C43" s="759"/>
      <c r="D43" s="776" t="n">
        <v>0</v>
      </c>
      <c r="E43" s="791"/>
      <c r="F43" s="738" t="n">
        <f aca="false">ROUND((F46*$D$43),2)</f>
        <v>0</v>
      </c>
      <c r="G43" s="738" t="n">
        <f aca="false">ROUND((G46*$D$43),2)</f>
        <v>0</v>
      </c>
      <c r="H43" s="738" t="n">
        <f aca="false">ROUND((H46*$D$43),2)</f>
        <v>0</v>
      </c>
      <c r="I43" s="738" t="n">
        <f aca="false">ROUND((I46*$D$43),2)</f>
        <v>0</v>
      </c>
      <c r="J43" s="739" t="n">
        <f aca="false">ROUND((J46*$D$43),2)</f>
        <v>0</v>
      </c>
    </row>
    <row r="44" customFormat="false" ht="19.5" hidden="false" customHeight="true" outlineLevel="0" collapsed="false">
      <c r="A44" s="792" t="s">
        <v>739</v>
      </c>
      <c r="B44" s="792"/>
      <c r="C44" s="792"/>
      <c r="D44" s="793" t="n">
        <f aca="false">SUM(D40:D43)</f>
        <v>0.1225</v>
      </c>
      <c r="E44" s="794"/>
      <c r="F44" s="795" t="n">
        <f aca="false">SUM(F40:F43)</f>
        <v>778.44</v>
      </c>
      <c r="G44" s="795" t="n">
        <f aca="false">SUM(G40:G43)</f>
        <v>731.91</v>
      </c>
      <c r="H44" s="795" t="n">
        <f aca="false">SUM(H40:H43)</f>
        <v>60.06</v>
      </c>
      <c r="I44" s="795" t="n">
        <f aca="false">SUM(I40:I43)</f>
        <v>18.04</v>
      </c>
      <c r="J44" s="796" t="n">
        <f aca="false">SUM(J40:J42)</f>
        <v>0</v>
      </c>
    </row>
    <row r="45" customFormat="false" ht="19.5" hidden="false" customHeight="true" outlineLevel="0" collapsed="false">
      <c r="A45" s="797" t="str">
        <f aca="false">CONCATENATE("Custo Mensal - ",A7)</f>
        <v>Custo Mensal - Zelador acúmulo de função Lavador de Carro e Jardineiro</v>
      </c>
      <c r="B45" s="797"/>
      <c r="C45" s="797"/>
      <c r="D45" s="797"/>
      <c r="E45" s="797"/>
      <c r="F45" s="798" t="n">
        <f aca="false">ROUND(F38/(1-D44),2)</f>
        <v>6354.55</v>
      </c>
      <c r="G45" s="798" t="n">
        <f aca="false">ROUND(G38/(1-D44),2)</f>
        <v>5974.81</v>
      </c>
      <c r="H45" s="798" t="n">
        <f aca="false">ROUND(H38/(1-D44),2)</f>
        <v>490.31</v>
      </c>
      <c r="I45" s="798" t="n">
        <f aca="false">ROUND(I38/(1-D44),2)</f>
        <v>147.23</v>
      </c>
      <c r="J45" s="799" t="n">
        <f aca="false">ROUND(J38/(1-D44),2)</f>
        <v>0</v>
      </c>
    </row>
    <row r="46" customFormat="false" ht="19.5" hidden="false" customHeight="true" outlineLevel="0" collapsed="false">
      <c r="A46" s="797" t="str">
        <f aca="false">CONCATENATE("Valor do Custo Mensal - ",A7)</f>
        <v>Valor do Custo Mensal - Zelador acúmulo de função Lavador de Carro e Jardineiro</v>
      </c>
      <c r="B46" s="797"/>
      <c r="C46" s="797"/>
      <c r="D46" s="797"/>
      <c r="E46" s="797"/>
      <c r="F46" s="798" t="n">
        <f aca="false">F45</f>
        <v>6354.55</v>
      </c>
      <c r="G46" s="798" t="n">
        <f aca="false">G45</f>
        <v>5974.81</v>
      </c>
      <c r="H46" s="798" t="n">
        <f aca="false">H45</f>
        <v>490.31</v>
      </c>
      <c r="I46" s="798" t="n">
        <f aca="false">I45</f>
        <v>147.23</v>
      </c>
      <c r="J46" s="799" t="n">
        <f aca="false">J45</f>
        <v>0</v>
      </c>
      <c r="K46" s="800"/>
      <c r="L46" s="800"/>
    </row>
    <row r="47" customFormat="false" ht="27.75" hidden="false" customHeight="true" outlineLevel="0" collapsed="false">
      <c r="A47" s="801" t="s">
        <v>740</v>
      </c>
      <c r="B47" s="801"/>
      <c r="C47" s="801"/>
      <c r="D47" s="801"/>
      <c r="E47" s="801"/>
      <c r="F47" s="802" t="n">
        <f aca="false">(F46/F14)</f>
        <v>2.73906559136541</v>
      </c>
      <c r="G47" s="802" t="n">
        <f aca="false">(G46/G14)</f>
        <v>2.57538244029018</v>
      </c>
      <c r="H47" s="803" t="s">
        <v>741</v>
      </c>
      <c r="I47" s="803"/>
      <c r="J47" s="804" t="n">
        <v>0</v>
      </c>
    </row>
    <row r="48" customFormat="false" ht="19.5" hidden="false" customHeight="true" outlineLevel="0" collapsed="false"/>
  </sheetData>
  <sheetProtection algorithmName="SHA-512" hashValue="WDrdhdGP2PyIg8ASi1mQK2wEjNk3O6dcbJYq9lXmJpX/W3kJ8/THdwmwFKFgtomptIT1fdmOYlqMnBhm/v4hyQ==" saltValue="afaY21msCVF+vsCBORErfQ=="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false" verticalCentered="false"/>
  <pageMargins left="0.511805555555556" right="0.511805555555556" top="0.7875" bottom="0.7875" header="0.511811023622047" footer="0.511811023622047"/>
  <pageSetup paperSize="9" scale="6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9D9D9"/>
    <pageSetUpPr fitToPage="true"/>
  </sheetPr>
  <dimension ref="A1:AI23"/>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71484375" defaultRowHeight="15" customHeight="true" zeroHeight="false" outlineLevelRow="0" outlineLevelCol="0"/>
  <cols>
    <col collapsed="false" customWidth="true" hidden="false" outlineLevel="0" max="1" min="1" style="0" width="7.86"/>
    <col collapsed="false" customWidth="true" hidden="false" outlineLevel="0" max="2" min="2" style="0" width="7.29"/>
    <col collapsed="false" customWidth="true" hidden="false" outlineLevel="0" max="3" min="3" style="0" width="4.42"/>
    <col collapsed="false" customWidth="true" hidden="false" outlineLevel="0" max="4" min="4" style="0" width="7.57"/>
    <col collapsed="false" customWidth="true" hidden="false" outlineLevel="0" max="5" min="5" style="0" width="5.42"/>
    <col collapsed="false" customWidth="true" hidden="false" outlineLevel="0" max="6" min="6" style="0" width="8.29"/>
    <col collapsed="false" customWidth="true" hidden="false" outlineLevel="0" max="7" min="7" style="0" width="7.42"/>
    <col collapsed="false" customWidth="true" hidden="false" outlineLevel="0" max="8" min="8" style="0" width="3.29"/>
    <col collapsed="false" customWidth="true" hidden="false" outlineLevel="0" max="9" min="9" style="0" width="7.29"/>
    <col collapsed="false" customWidth="true" hidden="false" outlineLevel="0" max="10" min="10" style="0" width="4.42"/>
    <col collapsed="false" customWidth="true" hidden="false" outlineLevel="0" max="11" min="11" style="0" width="7.57"/>
    <col collapsed="false" customWidth="true" hidden="false" outlineLevel="0" max="12" min="12" style="0" width="5.42"/>
    <col collapsed="false" customWidth="true" hidden="false" outlineLevel="0" max="13" min="13" style="0" width="8.29"/>
    <col collapsed="false" customWidth="true" hidden="false" outlineLevel="0" max="14" min="14" style="0" width="7.42"/>
    <col collapsed="false" customWidth="true" hidden="false" outlineLevel="0" max="15" min="15" style="0" width="3"/>
    <col collapsed="false" customWidth="true" hidden="false" outlineLevel="0" max="16" min="16" style="0" width="7.29"/>
    <col collapsed="false" customWidth="true" hidden="false" outlineLevel="0" max="17" min="17" style="0" width="4.42"/>
    <col collapsed="false" customWidth="true" hidden="false" outlineLevel="0" max="18" min="18" style="0" width="7.57"/>
    <col collapsed="false" customWidth="true" hidden="false" outlineLevel="0" max="19" min="19" style="0" width="5.42"/>
    <col collapsed="false" customWidth="true" hidden="false" outlineLevel="0" max="20" min="20" style="0" width="8.29"/>
    <col collapsed="false" customWidth="true" hidden="false" outlineLevel="0" max="21" min="21" style="0" width="7.42"/>
    <col collapsed="false" customWidth="true" hidden="false" outlineLevel="0" max="22" min="22" style="0" width="3"/>
    <col collapsed="false" customWidth="true" hidden="false" outlineLevel="0" max="23" min="23" style="0" width="7.29"/>
    <col collapsed="false" customWidth="true" hidden="false" outlineLevel="0" max="24" min="24" style="0" width="4.42"/>
    <col collapsed="false" customWidth="true" hidden="false" outlineLevel="0" max="25" min="25" style="0" width="7.57"/>
    <col collapsed="false" customWidth="true" hidden="false" outlineLevel="0" max="26" min="26" style="0" width="5.42"/>
    <col collapsed="false" customWidth="true" hidden="false" outlineLevel="0" max="27" min="27" style="0" width="8.29"/>
    <col collapsed="false" customWidth="true" hidden="false" outlineLevel="0" max="28" min="28" style="0" width="7.42"/>
    <col collapsed="false" customWidth="true" hidden="false" outlineLevel="0" max="29" min="29" style="0" width="3"/>
    <col collapsed="false" customWidth="true" hidden="false" outlineLevel="0" max="30" min="30" style="0" width="7.29"/>
    <col collapsed="false" customWidth="true" hidden="false" outlineLevel="0" max="31" min="31" style="0" width="4.42"/>
    <col collapsed="false" customWidth="true" hidden="false" outlineLevel="0" max="257" min="257" style="0" width="1.42"/>
    <col collapsed="false" customWidth="true" hidden="false" outlineLevel="0" max="258" min="258" style="0" width="7.29"/>
    <col collapsed="false" customWidth="true" hidden="false" outlineLevel="0" max="259" min="259" style="0" width="4.42"/>
    <col collapsed="false" customWidth="true" hidden="false" outlineLevel="0" max="260" min="260" style="0" width="7.57"/>
    <col collapsed="false" customWidth="true" hidden="false" outlineLevel="0" max="261" min="261" style="0" width="5.42"/>
    <col collapsed="false" customWidth="true" hidden="false" outlineLevel="0" max="262" min="262" style="0" width="8.29"/>
    <col collapsed="false" customWidth="true" hidden="false" outlineLevel="0" max="263" min="263" style="0" width="7.42"/>
    <col collapsed="false" customWidth="true" hidden="false" outlineLevel="0" max="264" min="264" style="0" width="3.29"/>
    <col collapsed="false" customWidth="true" hidden="false" outlineLevel="0" max="265" min="265" style="0" width="7.29"/>
    <col collapsed="false" customWidth="true" hidden="false" outlineLevel="0" max="266" min="266" style="0" width="4.42"/>
    <col collapsed="false" customWidth="true" hidden="false" outlineLevel="0" max="267" min="267" style="0" width="7.57"/>
    <col collapsed="false" customWidth="true" hidden="false" outlineLevel="0" max="268" min="268" style="0" width="5.42"/>
    <col collapsed="false" customWidth="true" hidden="false" outlineLevel="0" max="269" min="269" style="0" width="8.29"/>
    <col collapsed="false" customWidth="true" hidden="false" outlineLevel="0" max="270" min="270" style="0" width="7.42"/>
    <col collapsed="false" customWidth="true" hidden="false" outlineLevel="0" max="271" min="271" style="0" width="3"/>
    <col collapsed="false" customWidth="true" hidden="false" outlineLevel="0" max="272" min="272" style="0" width="7.29"/>
    <col collapsed="false" customWidth="true" hidden="false" outlineLevel="0" max="273" min="273" style="0" width="4.42"/>
    <col collapsed="false" customWidth="true" hidden="false" outlineLevel="0" max="274" min="274" style="0" width="7.57"/>
    <col collapsed="false" customWidth="true" hidden="false" outlineLevel="0" max="275" min="275" style="0" width="5.42"/>
    <col collapsed="false" customWidth="true" hidden="false" outlineLevel="0" max="276" min="276" style="0" width="8.29"/>
    <col collapsed="false" customWidth="true" hidden="false" outlineLevel="0" max="277" min="277" style="0" width="7.42"/>
    <col collapsed="false" customWidth="true" hidden="false" outlineLevel="0" max="278" min="278" style="0" width="3"/>
    <col collapsed="false" customWidth="true" hidden="false" outlineLevel="0" max="279" min="279" style="0" width="7.29"/>
    <col collapsed="false" customWidth="true" hidden="false" outlineLevel="0" max="280" min="280" style="0" width="4.42"/>
    <col collapsed="false" customWidth="true" hidden="false" outlineLevel="0" max="281" min="281" style="0" width="7.57"/>
    <col collapsed="false" customWidth="true" hidden="false" outlineLevel="0" max="282" min="282" style="0" width="5.42"/>
    <col collapsed="false" customWidth="true" hidden="false" outlineLevel="0" max="283" min="283" style="0" width="8.29"/>
    <col collapsed="false" customWidth="true" hidden="false" outlineLevel="0" max="284" min="284" style="0" width="7.42"/>
    <col collapsed="false" customWidth="true" hidden="false" outlineLevel="0" max="285" min="285" style="0" width="3"/>
    <col collapsed="false" customWidth="true" hidden="false" outlineLevel="0" max="286" min="286" style="0" width="7.29"/>
    <col collapsed="false" customWidth="true" hidden="false" outlineLevel="0" max="287" min="287" style="0" width="4.42"/>
    <col collapsed="false" customWidth="true" hidden="false" outlineLevel="0" max="513" min="513" style="0" width="1.42"/>
    <col collapsed="false" customWidth="true" hidden="false" outlineLevel="0" max="514" min="514" style="0" width="7.29"/>
    <col collapsed="false" customWidth="true" hidden="false" outlineLevel="0" max="515" min="515" style="0" width="4.42"/>
    <col collapsed="false" customWidth="true" hidden="false" outlineLevel="0" max="516" min="516" style="0" width="7.57"/>
    <col collapsed="false" customWidth="true" hidden="false" outlineLevel="0" max="517" min="517" style="0" width="5.42"/>
    <col collapsed="false" customWidth="true" hidden="false" outlineLevel="0" max="518" min="518" style="0" width="8.29"/>
    <col collapsed="false" customWidth="true" hidden="false" outlineLevel="0" max="519" min="519" style="0" width="7.42"/>
    <col collapsed="false" customWidth="true" hidden="false" outlineLevel="0" max="520" min="520" style="0" width="3.29"/>
    <col collapsed="false" customWidth="true" hidden="false" outlineLevel="0" max="521" min="521" style="0" width="7.29"/>
    <col collapsed="false" customWidth="true" hidden="false" outlineLevel="0" max="522" min="522" style="0" width="4.42"/>
    <col collapsed="false" customWidth="true" hidden="false" outlineLevel="0" max="523" min="523" style="0" width="7.57"/>
    <col collapsed="false" customWidth="true" hidden="false" outlineLevel="0" max="524" min="524" style="0" width="5.42"/>
    <col collapsed="false" customWidth="true" hidden="false" outlineLevel="0" max="525" min="525" style="0" width="8.29"/>
    <col collapsed="false" customWidth="true" hidden="false" outlineLevel="0" max="526" min="526" style="0" width="7.42"/>
    <col collapsed="false" customWidth="true" hidden="false" outlineLevel="0" max="527" min="527" style="0" width="3"/>
    <col collapsed="false" customWidth="true" hidden="false" outlineLevel="0" max="528" min="528" style="0" width="7.29"/>
    <col collapsed="false" customWidth="true" hidden="false" outlineLevel="0" max="529" min="529" style="0" width="4.42"/>
    <col collapsed="false" customWidth="true" hidden="false" outlineLevel="0" max="530" min="530" style="0" width="7.57"/>
    <col collapsed="false" customWidth="true" hidden="false" outlineLevel="0" max="531" min="531" style="0" width="5.42"/>
    <col collapsed="false" customWidth="true" hidden="false" outlineLevel="0" max="532" min="532" style="0" width="8.29"/>
    <col collapsed="false" customWidth="true" hidden="false" outlineLevel="0" max="533" min="533" style="0" width="7.42"/>
    <col collapsed="false" customWidth="true" hidden="false" outlineLevel="0" max="534" min="534" style="0" width="3"/>
    <col collapsed="false" customWidth="true" hidden="false" outlineLevel="0" max="535" min="535" style="0" width="7.29"/>
    <col collapsed="false" customWidth="true" hidden="false" outlineLevel="0" max="536" min="536" style="0" width="4.42"/>
    <col collapsed="false" customWidth="true" hidden="false" outlineLevel="0" max="537" min="537" style="0" width="7.57"/>
    <col collapsed="false" customWidth="true" hidden="false" outlineLevel="0" max="538" min="538" style="0" width="5.42"/>
    <col collapsed="false" customWidth="true" hidden="false" outlineLevel="0" max="539" min="539" style="0" width="8.29"/>
    <col collapsed="false" customWidth="true" hidden="false" outlineLevel="0" max="540" min="540" style="0" width="7.42"/>
    <col collapsed="false" customWidth="true" hidden="false" outlineLevel="0" max="541" min="541" style="0" width="3"/>
    <col collapsed="false" customWidth="true" hidden="false" outlineLevel="0" max="542" min="542" style="0" width="7.29"/>
    <col collapsed="false" customWidth="true" hidden="false" outlineLevel="0" max="543" min="543" style="0" width="4.42"/>
    <col collapsed="false" customWidth="true" hidden="false" outlineLevel="0" max="769" min="769" style="0" width="1.42"/>
    <col collapsed="false" customWidth="true" hidden="false" outlineLevel="0" max="770" min="770" style="0" width="7.29"/>
    <col collapsed="false" customWidth="true" hidden="false" outlineLevel="0" max="771" min="771" style="0" width="4.42"/>
    <col collapsed="false" customWidth="true" hidden="false" outlineLevel="0" max="772" min="772" style="0" width="7.57"/>
    <col collapsed="false" customWidth="true" hidden="false" outlineLevel="0" max="773" min="773" style="0" width="5.42"/>
    <col collapsed="false" customWidth="true" hidden="false" outlineLevel="0" max="774" min="774" style="0" width="8.29"/>
    <col collapsed="false" customWidth="true" hidden="false" outlineLevel="0" max="775" min="775" style="0" width="7.42"/>
    <col collapsed="false" customWidth="true" hidden="false" outlineLevel="0" max="776" min="776" style="0" width="3.29"/>
    <col collapsed="false" customWidth="true" hidden="false" outlineLevel="0" max="777" min="777" style="0" width="7.29"/>
    <col collapsed="false" customWidth="true" hidden="false" outlineLevel="0" max="778" min="778" style="0" width="4.42"/>
    <col collapsed="false" customWidth="true" hidden="false" outlineLevel="0" max="779" min="779" style="0" width="7.57"/>
    <col collapsed="false" customWidth="true" hidden="false" outlineLevel="0" max="780" min="780" style="0" width="5.42"/>
    <col collapsed="false" customWidth="true" hidden="false" outlineLevel="0" max="781" min="781" style="0" width="8.29"/>
    <col collapsed="false" customWidth="true" hidden="false" outlineLevel="0" max="782" min="782" style="0" width="7.42"/>
    <col collapsed="false" customWidth="true" hidden="false" outlineLevel="0" max="783" min="783" style="0" width="3"/>
    <col collapsed="false" customWidth="true" hidden="false" outlineLevel="0" max="784" min="784" style="0" width="7.29"/>
    <col collapsed="false" customWidth="true" hidden="false" outlineLevel="0" max="785" min="785" style="0" width="4.42"/>
    <col collapsed="false" customWidth="true" hidden="false" outlineLevel="0" max="786" min="786" style="0" width="7.57"/>
    <col collapsed="false" customWidth="true" hidden="false" outlineLevel="0" max="787" min="787" style="0" width="5.42"/>
    <col collapsed="false" customWidth="true" hidden="false" outlineLevel="0" max="788" min="788" style="0" width="8.29"/>
    <col collapsed="false" customWidth="true" hidden="false" outlineLevel="0" max="789" min="789" style="0" width="7.42"/>
    <col collapsed="false" customWidth="true" hidden="false" outlineLevel="0" max="790" min="790" style="0" width="3"/>
    <col collapsed="false" customWidth="true" hidden="false" outlineLevel="0" max="791" min="791" style="0" width="7.29"/>
    <col collapsed="false" customWidth="true" hidden="false" outlineLevel="0" max="792" min="792" style="0" width="4.42"/>
    <col collapsed="false" customWidth="true" hidden="false" outlineLevel="0" max="793" min="793" style="0" width="7.57"/>
    <col collapsed="false" customWidth="true" hidden="false" outlineLevel="0" max="794" min="794" style="0" width="5.42"/>
    <col collapsed="false" customWidth="true" hidden="false" outlineLevel="0" max="795" min="795" style="0" width="8.29"/>
    <col collapsed="false" customWidth="true" hidden="false" outlineLevel="0" max="796" min="796" style="0" width="7.42"/>
    <col collapsed="false" customWidth="true" hidden="false" outlineLevel="0" max="797" min="797" style="0" width="3"/>
    <col collapsed="false" customWidth="true" hidden="false" outlineLevel="0" max="798" min="798" style="0" width="7.29"/>
    <col collapsed="false" customWidth="true" hidden="false" outlineLevel="0" max="799" min="799" style="0" width="4.42"/>
  </cols>
  <sheetData>
    <row r="1" customFormat="false" ht="15" hidden="false" customHeight="false" outlineLevel="0" collapsed="false">
      <c r="A1" s="136"/>
      <c r="B1" s="136" t="s">
        <v>90</v>
      </c>
    </row>
    <row r="2" customFormat="false" ht="15" hidden="false" customHeight="false" outlineLevel="0" collapsed="false">
      <c r="A2" s="136"/>
      <c r="B2" s="136" t="s">
        <v>91</v>
      </c>
    </row>
    <row r="3" customFormat="false" ht="15" hidden="false" customHeight="false" outlineLevel="0" collapsed="false">
      <c r="A3" s="655"/>
      <c r="B3" s="137" t="str">
        <f aca="false">INSTRUÇÕES!B3</f>
        <v>Subseção Judiciária de Uberlândia</v>
      </c>
    </row>
    <row r="4" customFormat="false" ht="6" hidden="false" customHeight="true" outlineLevel="0" collapsed="false"/>
    <row r="5" customFormat="false" ht="6" hidden="false" customHeight="true" outlineLevel="0" collapsed="false"/>
    <row r="6" customFormat="false" ht="15.75" hidden="false" customHeight="true" outlineLevel="0" collapsed="false">
      <c r="B6" s="807" t="s">
        <v>281</v>
      </c>
      <c r="C6" s="807"/>
      <c r="D6" s="807"/>
      <c r="E6" s="807"/>
      <c r="F6" s="807"/>
      <c r="G6" s="807"/>
      <c r="I6" s="807" t="s">
        <v>285</v>
      </c>
      <c r="J6" s="807"/>
      <c r="K6" s="807"/>
      <c r="L6" s="807"/>
      <c r="M6" s="807"/>
      <c r="N6" s="807"/>
      <c r="P6" s="807" t="s">
        <v>286</v>
      </c>
      <c r="Q6" s="807"/>
      <c r="R6" s="807"/>
      <c r="S6" s="807"/>
      <c r="T6" s="807"/>
      <c r="U6" s="807"/>
      <c r="W6" s="807" t="s">
        <v>287</v>
      </c>
      <c r="X6" s="807"/>
      <c r="Y6" s="807"/>
      <c r="Z6" s="807"/>
      <c r="AA6" s="807"/>
      <c r="AB6" s="807"/>
      <c r="AD6" s="807" t="s">
        <v>288</v>
      </c>
      <c r="AE6" s="807"/>
      <c r="AF6" s="807"/>
      <c r="AG6" s="807"/>
      <c r="AH6" s="807"/>
      <c r="AI6" s="807"/>
    </row>
    <row r="7" customFormat="false" ht="15" hidden="false" customHeight="false" outlineLevel="0" collapsed="false">
      <c r="B7" s="808" t="s">
        <v>749</v>
      </c>
      <c r="C7" s="809"/>
      <c r="D7" s="809"/>
      <c r="E7" s="809"/>
      <c r="F7" s="809"/>
      <c r="G7" s="809"/>
      <c r="I7" s="808" t="s">
        <v>749</v>
      </c>
      <c r="J7" s="809"/>
      <c r="K7" s="809"/>
      <c r="L7" s="809"/>
      <c r="M7" s="809"/>
      <c r="N7" s="809"/>
      <c r="P7" s="808" t="s">
        <v>749</v>
      </c>
      <c r="Q7" s="809"/>
      <c r="R7" s="809"/>
      <c r="S7" s="809"/>
      <c r="T7" s="809"/>
      <c r="U7" s="809"/>
      <c r="W7" s="808" t="s">
        <v>749</v>
      </c>
      <c r="X7" s="809"/>
      <c r="Y7" s="809"/>
      <c r="Z7" s="809"/>
      <c r="AA7" s="809"/>
      <c r="AB7" s="809"/>
      <c r="AD7" s="808" t="s">
        <v>749</v>
      </c>
      <c r="AE7" s="809"/>
      <c r="AF7" s="809"/>
      <c r="AG7" s="809"/>
      <c r="AH7" s="809"/>
      <c r="AI7" s="809"/>
    </row>
    <row r="8" customFormat="false" ht="25.5" hidden="false" customHeight="true" outlineLevel="0" collapsed="false">
      <c r="B8" s="356" t="s">
        <v>750</v>
      </c>
      <c r="C8" s="356"/>
      <c r="D8" s="356" t="s">
        <v>751</v>
      </c>
      <c r="E8" s="356" t="s">
        <v>752</v>
      </c>
      <c r="F8" s="356" t="s">
        <v>753</v>
      </c>
      <c r="G8" s="356" t="s">
        <v>754</v>
      </c>
      <c r="I8" s="356" t="s">
        <v>750</v>
      </c>
      <c r="J8" s="356"/>
      <c r="K8" s="356" t="s">
        <v>751</v>
      </c>
      <c r="L8" s="356" t="s">
        <v>752</v>
      </c>
      <c r="M8" s="356" t="s">
        <v>753</v>
      </c>
      <c r="N8" s="356" t="s">
        <v>754</v>
      </c>
      <c r="P8" s="356" t="s">
        <v>750</v>
      </c>
      <c r="Q8" s="356"/>
      <c r="R8" s="356" t="s">
        <v>751</v>
      </c>
      <c r="S8" s="356" t="s">
        <v>752</v>
      </c>
      <c r="T8" s="356" t="s">
        <v>753</v>
      </c>
      <c r="U8" s="356" t="s">
        <v>754</v>
      </c>
      <c r="W8" s="356" t="s">
        <v>750</v>
      </c>
      <c r="X8" s="356"/>
      <c r="Y8" s="356" t="s">
        <v>751</v>
      </c>
      <c r="Z8" s="356" t="s">
        <v>752</v>
      </c>
      <c r="AA8" s="356" t="s">
        <v>753</v>
      </c>
      <c r="AB8" s="356" t="s">
        <v>754</v>
      </c>
      <c r="AD8" s="356" t="s">
        <v>750</v>
      </c>
      <c r="AE8" s="356"/>
      <c r="AF8" s="356" t="s">
        <v>751</v>
      </c>
      <c r="AG8" s="356" t="s">
        <v>752</v>
      </c>
      <c r="AH8" s="356" t="s">
        <v>753</v>
      </c>
      <c r="AI8" s="356" t="s">
        <v>754</v>
      </c>
    </row>
    <row r="9" customFormat="false" ht="15" hidden="false" customHeight="false" outlineLevel="0" collapsed="false">
      <c r="B9" s="810" t="s">
        <v>755</v>
      </c>
      <c r="C9" s="810" t="s">
        <v>756</v>
      </c>
      <c r="D9" s="810" t="s">
        <v>757</v>
      </c>
      <c r="E9" s="810"/>
      <c r="F9" s="810" t="s">
        <v>758</v>
      </c>
      <c r="G9" s="811" t="n">
        <v>100</v>
      </c>
      <c r="I9" s="810" t="s">
        <v>755</v>
      </c>
      <c r="J9" s="810" t="s">
        <v>756</v>
      </c>
      <c r="K9" s="810" t="s">
        <v>757</v>
      </c>
      <c r="L9" s="810"/>
      <c r="M9" s="810" t="s">
        <v>758</v>
      </c>
      <c r="N9" s="811" t="n">
        <v>100</v>
      </c>
      <c r="P9" s="810" t="s">
        <v>755</v>
      </c>
      <c r="Q9" s="810" t="s">
        <v>756</v>
      </c>
      <c r="R9" s="810" t="s">
        <v>757</v>
      </c>
      <c r="S9" s="810"/>
      <c r="T9" s="810" t="s">
        <v>758</v>
      </c>
      <c r="U9" s="811" t="n">
        <v>100</v>
      </c>
      <c r="W9" s="810" t="s">
        <v>755</v>
      </c>
      <c r="X9" s="810" t="s">
        <v>756</v>
      </c>
      <c r="Y9" s="810" t="s">
        <v>757</v>
      </c>
      <c r="Z9" s="810"/>
      <c r="AA9" s="810" t="s">
        <v>758</v>
      </c>
      <c r="AB9" s="811" t="n">
        <v>100</v>
      </c>
      <c r="AD9" s="810" t="s">
        <v>755</v>
      </c>
      <c r="AE9" s="810" t="s">
        <v>756</v>
      </c>
      <c r="AF9" s="810" t="s">
        <v>757</v>
      </c>
      <c r="AG9" s="810"/>
      <c r="AH9" s="810" t="s">
        <v>758</v>
      </c>
      <c r="AI9" s="811" t="n">
        <v>100</v>
      </c>
    </row>
    <row r="10" customFormat="false" ht="15" hidden="false" customHeight="false" outlineLevel="0" collapsed="false">
      <c r="B10" s="810" t="n">
        <v>2023</v>
      </c>
      <c r="C10" s="812" t="s">
        <v>759</v>
      </c>
      <c r="D10" s="813"/>
      <c r="E10" s="814" t="n">
        <v>0</v>
      </c>
      <c r="F10" s="813" t="n">
        <f aca="false">D10/30*E10</f>
        <v>0</v>
      </c>
      <c r="G10" s="815" t="n">
        <f aca="false">(G9*F10)+G9</f>
        <v>100</v>
      </c>
      <c r="I10" s="810" t="n">
        <f aca="false">B10+1</f>
        <v>2024</v>
      </c>
      <c r="J10" s="812" t="str">
        <f aca="false">$C$10</f>
        <v>AGO</v>
      </c>
      <c r="K10" s="813"/>
      <c r="L10" s="814" t="n">
        <f aca="false">$E$10</f>
        <v>0</v>
      </c>
      <c r="M10" s="813" t="n">
        <f aca="false">K10/30*L10</f>
        <v>0</v>
      </c>
      <c r="N10" s="815" t="n">
        <f aca="false">(N9*M10)+N9</f>
        <v>100</v>
      </c>
      <c r="P10" s="810" t="n">
        <f aca="false">I10+1</f>
        <v>2025</v>
      </c>
      <c r="Q10" s="812" t="str">
        <f aca="false">$C$10</f>
        <v>AGO</v>
      </c>
      <c r="R10" s="813"/>
      <c r="S10" s="814" t="n">
        <f aca="false">$E$10</f>
        <v>0</v>
      </c>
      <c r="T10" s="813" t="n">
        <f aca="false">R10/30*S10</f>
        <v>0</v>
      </c>
      <c r="U10" s="815" t="n">
        <f aca="false">(U9*T10)+U9</f>
        <v>100</v>
      </c>
      <c r="W10" s="810" t="n">
        <f aca="false">P10+1</f>
        <v>2026</v>
      </c>
      <c r="X10" s="812" t="str">
        <f aca="false">$C$10</f>
        <v>AGO</v>
      </c>
      <c r="Y10" s="813"/>
      <c r="Z10" s="814" t="n">
        <f aca="false">$E$10</f>
        <v>0</v>
      </c>
      <c r="AA10" s="813" t="n">
        <f aca="false">Y10/30*Z10</f>
        <v>0</v>
      </c>
      <c r="AB10" s="815" t="n">
        <f aca="false">(AB9*AA10)+AB9</f>
        <v>100</v>
      </c>
      <c r="AD10" s="810" t="n">
        <f aca="false">W10+1</f>
        <v>2027</v>
      </c>
      <c r="AE10" s="812" t="str">
        <f aca="false">$C$10</f>
        <v>AGO</v>
      </c>
      <c r="AF10" s="813"/>
      <c r="AG10" s="814" t="n">
        <f aca="false">$E$10</f>
        <v>0</v>
      </c>
      <c r="AH10" s="813" t="n">
        <f aca="false">AF10/30*AG10</f>
        <v>0</v>
      </c>
      <c r="AI10" s="815" t="n">
        <f aca="false">(AI9*AH10)+AI9</f>
        <v>100</v>
      </c>
    </row>
    <row r="11" customFormat="false" ht="15" hidden="false" customHeight="false" outlineLevel="0" collapsed="false">
      <c r="B11" s="810" t="n">
        <v>2023</v>
      </c>
      <c r="C11" s="812" t="s">
        <v>760</v>
      </c>
      <c r="D11" s="813"/>
      <c r="E11" s="814"/>
      <c r="F11" s="813" t="n">
        <f aca="false">D11/30*E11</f>
        <v>0</v>
      </c>
      <c r="G11" s="815" t="n">
        <f aca="false">(G10*F11)+G10</f>
        <v>100</v>
      </c>
      <c r="I11" s="810" t="n">
        <f aca="false">B11+1</f>
        <v>2024</v>
      </c>
      <c r="J11" s="812" t="str">
        <f aca="false">$C$11</f>
        <v>SET</v>
      </c>
      <c r="K11" s="813"/>
      <c r="L11" s="814"/>
      <c r="M11" s="813" t="n">
        <f aca="false">K11/30*L11</f>
        <v>0</v>
      </c>
      <c r="N11" s="815" t="n">
        <f aca="false">(N10*M11)+N10</f>
        <v>100</v>
      </c>
      <c r="P11" s="810" t="n">
        <f aca="false">I11+1</f>
        <v>2025</v>
      </c>
      <c r="Q11" s="812" t="str">
        <f aca="false">$C$11</f>
        <v>SET</v>
      </c>
      <c r="R11" s="813"/>
      <c r="S11" s="814"/>
      <c r="T11" s="813" t="n">
        <f aca="false">R11/30*S11</f>
        <v>0</v>
      </c>
      <c r="U11" s="815" t="n">
        <f aca="false">(U10*T11)+U10</f>
        <v>100</v>
      </c>
      <c r="W11" s="810" t="n">
        <f aca="false">P11+1</f>
        <v>2026</v>
      </c>
      <c r="X11" s="812" t="str">
        <f aca="false">$C$11</f>
        <v>SET</v>
      </c>
      <c r="Y11" s="813"/>
      <c r="Z11" s="814"/>
      <c r="AA11" s="813" t="n">
        <f aca="false">Y11/30*Z11</f>
        <v>0</v>
      </c>
      <c r="AB11" s="815" t="n">
        <f aca="false">(AB10*AA11)+AB10</f>
        <v>100</v>
      </c>
      <c r="AD11" s="810" t="n">
        <f aca="false">W11+1</f>
        <v>2027</v>
      </c>
      <c r="AE11" s="812" t="str">
        <f aca="false">$C$11</f>
        <v>SET</v>
      </c>
      <c r="AF11" s="813"/>
      <c r="AG11" s="814"/>
      <c r="AH11" s="813" t="n">
        <f aca="false">AF11/30*AG11</f>
        <v>0</v>
      </c>
      <c r="AI11" s="815" t="n">
        <f aca="false">(AI10*AH11)+AI10</f>
        <v>100</v>
      </c>
    </row>
    <row r="12" customFormat="false" ht="15" hidden="false" customHeight="false" outlineLevel="0" collapsed="false">
      <c r="B12" s="810" t="n">
        <v>2023</v>
      </c>
      <c r="C12" s="812" t="s">
        <v>761</v>
      </c>
      <c r="D12" s="813"/>
      <c r="E12" s="814"/>
      <c r="F12" s="813" t="n">
        <f aca="false">D12/30*E12</f>
        <v>0</v>
      </c>
      <c r="G12" s="815" t="n">
        <f aca="false">(G11*F12)+G11</f>
        <v>100</v>
      </c>
      <c r="I12" s="810" t="n">
        <f aca="false">B12+1</f>
        <v>2024</v>
      </c>
      <c r="J12" s="812" t="str">
        <f aca="false">$C$12</f>
        <v>OUT</v>
      </c>
      <c r="K12" s="813"/>
      <c r="L12" s="814"/>
      <c r="M12" s="813" t="n">
        <f aca="false">K12/30*L12</f>
        <v>0</v>
      </c>
      <c r="N12" s="815" t="n">
        <f aca="false">(N11*M12)+N11</f>
        <v>100</v>
      </c>
      <c r="P12" s="810" t="n">
        <f aca="false">I12+1</f>
        <v>2025</v>
      </c>
      <c r="Q12" s="812" t="str">
        <f aca="false">$C$12</f>
        <v>OUT</v>
      </c>
      <c r="R12" s="813"/>
      <c r="S12" s="814"/>
      <c r="T12" s="813" t="n">
        <f aca="false">R12/30*S12</f>
        <v>0</v>
      </c>
      <c r="U12" s="815" t="n">
        <f aca="false">(U11*T12)+U11</f>
        <v>100</v>
      </c>
      <c r="W12" s="810" t="n">
        <f aca="false">P12+1</f>
        <v>2026</v>
      </c>
      <c r="X12" s="812" t="str">
        <f aca="false">$C$12</f>
        <v>OUT</v>
      </c>
      <c r="Y12" s="813"/>
      <c r="Z12" s="814"/>
      <c r="AA12" s="813" t="n">
        <f aca="false">Y12/30*Z12</f>
        <v>0</v>
      </c>
      <c r="AB12" s="815" t="n">
        <f aca="false">(AB11*AA12)+AB11</f>
        <v>100</v>
      </c>
      <c r="AD12" s="810" t="n">
        <f aca="false">W12+1</f>
        <v>2027</v>
      </c>
      <c r="AE12" s="812" t="str">
        <f aca="false">$C$12</f>
        <v>OUT</v>
      </c>
      <c r="AF12" s="813"/>
      <c r="AG12" s="814"/>
      <c r="AH12" s="813" t="n">
        <f aca="false">AF12/30*AG12</f>
        <v>0</v>
      </c>
      <c r="AI12" s="815" t="n">
        <f aca="false">(AI11*AH12)+AI11</f>
        <v>100</v>
      </c>
    </row>
    <row r="13" customFormat="false" ht="15" hidden="false" customHeight="false" outlineLevel="0" collapsed="false">
      <c r="B13" s="810" t="n">
        <v>2023</v>
      </c>
      <c r="C13" s="812" t="s">
        <v>762</v>
      </c>
      <c r="D13" s="813"/>
      <c r="E13" s="814"/>
      <c r="F13" s="813" t="n">
        <f aca="false">D13/30*E13</f>
        <v>0</v>
      </c>
      <c r="G13" s="815" t="n">
        <f aca="false">(G12*F13)+G12</f>
        <v>100</v>
      </c>
      <c r="I13" s="810" t="n">
        <f aca="false">B13+1</f>
        <v>2024</v>
      </c>
      <c r="J13" s="812" t="str">
        <f aca="false">$C$13</f>
        <v>NOV</v>
      </c>
      <c r="K13" s="813"/>
      <c r="L13" s="814"/>
      <c r="M13" s="813" t="n">
        <f aca="false">K13/30*L13</f>
        <v>0</v>
      </c>
      <c r="N13" s="815" t="n">
        <f aca="false">(N12*M13)+N12</f>
        <v>100</v>
      </c>
      <c r="P13" s="810" t="n">
        <f aca="false">I13+1</f>
        <v>2025</v>
      </c>
      <c r="Q13" s="812" t="str">
        <f aca="false">$C$13</f>
        <v>NOV</v>
      </c>
      <c r="R13" s="813"/>
      <c r="S13" s="814"/>
      <c r="T13" s="813" t="n">
        <f aca="false">R13/30*S13</f>
        <v>0</v>
      </c>
      <c r="U13" s="815" t="n">
        <f aca="false">(U12*T13)+U12</f>
        <v>100</v>
      </c>
      <c r="W13" s="810" t="n">
        <f aca="false">P13+1</f>
        <v>2026</v>
      </c>
      <c r="X13" s="812" t="str">
        <f aca="false">$C$13</f>
        <v>NOV</v>
      </c>
      <c r="Y13" s="813"/>
      <c r="Z13" s="814"/>
      <c r="AA13" s="813" t="n">
        <f aca="false">Y13/30*Z13</f>
        <v>0</v>
      </c>
      <c r="AB13" s="815" t="n">
        <f aca="false">(AB12*AA13)+AB12</f>
        <v>100</v>
      </c>
      <c r="AD13" s="810" t="n">
        <f aca="false">W13+1</f>
        <v>2027</v>
      </c>
      <c r="AE13" s="812" t="str">
        <f aca="false">$C$13</f>
        <v>NOV</v>
      </c>
      <c r="AF13" s="813"/>
      <c r="AG13" s="814"/>
      <c r="AH13" s="813" t="n">
        <f aca="false">AF13/30*AG13</f>
        <v>0</v>
      </c>
      <c r="AI13" s="815" t="n">
        <f aca="false">(AI12*AH13)+AI12</f>
        <v>100</v>
      </c>
    </row>
    <row r="14" customFormat="false" ht="15" hidden="false" customHeight="false" outlineLevel="0" collapsed="false">
      <c r="B14" s="810" t="n">
        <v>2023</v>
      </c>
      <c r="C14" s="812" t="s">
        <v>763</v>
      </c>
      <c r="D14" s="813"/>
      <c r="E14" s="814"/>
      <c r="F14" s="813" t="n">
        <f aca="false">D14/30*E14</f>
        <v>0</v>
      </c>
      <c r="G14" s="815" t="n">
        <f aca="false">(G13*F14)+G13</f>
        <v>100</v>
      </c>
      <c r="I14" s="810" t="n">
        <f aca="false">B14+1</f>
        <v>2024</v>
      </c>
      <c r="J14" s="812" t="str">
        <f aca="false">$C$14</f>
        <v>DEZ</v>
      </c>
      <c r="K14" s="813"/>
      <c r="L14" s="814"/>
      <c r="M14" s="813" t="n">
        <f aca="false">K14/30*L14</f>
        <v>0</v>
      </c>
      <c r="N14" s="815" t="n">
        <f aca="false">(N13*M14)+N13</f>
        <v>100</v>
      </c>
      <c r="P14" s="810" t="n">
        <f aca="false">I14+1</f>
        <v>2025</v>
      </c>
      <c r="Q14" s="812" t="str">
        <f aca="false">$C$14</f>
        <v>DEZ</v>
      </c>
      <c r="R14" s="813"/>
      <c r="S14" s="814"/>
      <c r="T14" s="813" t="n">
        <f aca="false">R14/30*S14</f>
        <v>0</v>
      </c>
      <c r="U14" s="815" t="n">
        <f aca="false">(U13*T14)+U13</f>
        <v>100</v>
      </c>
      <c r="W14" s="810" t="n">
        <f aca="false">P14+1</f>
        <v>2026</v>
      </c>
      <c r="X14" s="812" t="str">
        <f aca="false">$C$14</f>
        <v>DEZ</v>
      </c>
      <c r="Y14" s="813"/>
      <c r="Z14" s="814"/>
      <c r="AA14" s="813" t="n">
        <f aca="false">Y14/30*Z14</f>
        <v>0</v>
      </c>
      <c r="AB14" s="815" t="n">
        <f aca="false">(AB13*AA14)+AB13</f>
        <v>100</v>
      </c>
      <c r="AD14" s="810" t="n">
        <f aca="false">W14+1</f>
        <v>2027</v>
      </c>
      <c r="AE14" s="812" t="str">
        <f aca="false">$C$14</f>
        <v>DEZ</v>
      </c>
      <c r="AF14" s="813"/>
      <c r="AG14" s="814"/>
      <c r="AH14" s="813" t="n">
        <f aca="false">AF14/30*AG14</f>
        <v>0</v>
      </c>
      <c r="AI14" s="815" t="n">
        <f aca="false">(AI13*AH14)+AI13</f>
        <v>100</v>
      </c>
    </row>
    <row r="15" customFormat="false" ht="15" hidden="false" customHeight="false" outlineLevel="0" collapsed="false">
      <c r="B15" s="810" t="n">
        <v>2023</v>
      </c>
      <c r="C15" s="812" t="s">
        <v>763</v>
      </c>
      <c r="D15" s="813"/>
      <c r="E15" s="814"/>
      <c r="F15" s="813" t="n">
        <f aca="false">D15/30*E15</f>
        <v>0</v>
      </c>
      <c r="G15" s="815" t="n">
        <f aca="false">(G14*F15)+G14</f>
        <v>100</v>
      </c>
      <c r="I15" s="810" t="n">
        <f aca="false">B15+1</f>
        <v>2024</v>
      </c>
      <c r="J15" s="812" t="str">
        <f aca="false">$C$15</f>
        <v>DEZ</v>
      </c>
      <c r="K15" s="813"/>
      <c r="L15" s="814"/>
      <c r="M15" s="813" t="n">
        <f aca="false">K15/30*L15</f>
        <v>0</v>
      </c>
      <c r="N15" s="815" t="n">
        <f aca="false">(N14*M15)+N14</f>
        <v>100</v>
      </c>
      <c r="P15" s="810" t="n">
        <f aca="false">I15+1</f>
        <v>2025</v>
      </c>
      <c r="Q15" s="812" t="str">
        <f aca="false">$C$15</f>
        <v>DEZ</v>
      </c>
      <c r="R15" s="813"/>
      <c r="S15" s="814"/>
      <c r="T15" s="813" t="n">
        <f aca="false">R15/30*S15</f>
        <v>0</v>
      </c>
      <c r="U15" s="815" t="n">
        <f aca="false">(U14*T15)+U14</f>
        <v>100</v>
      </c>
      <c r="W15" s="810" t="n">
        <f aca="false">P15+1</f>
        <v>2026</v>
      </c>
      <c r="X15" s="812" t="str">
        <f aca="false">$C$15</f>
        <v>DEZ</v>
      </c>
      <c r="Y15" s="813"/>
      <c r="Z15" s="814"/>
      <c r="AA15" s="813" t="n">
        <f aca="false">Y15/30*Z15</f>
        <v>0</v>
      </c>
      <c r="AB15" s="815" t="n">
        <f aca="false">(AB14*AA15)+AB14</f>
        <v>100</v>
      </c>
      <c r="AD15" s="810" t="n">
        <f aca="false">W15+1</f>
        <v>2027</v>
      </c>
      <c r="AE15" s="812" t="str">
        <f aca="false">$C$15</f>
        <v>DEZ</v>
      </c>
      <c r="AF15" s="813"/>
      <c r="AG15" s="814"/>
      <c r="AH15" s="813" t="n">
        <f aca="false">AF15/30*AG15</f>
        <v>0</v>
      </c>
      <c r="AI15" s="815" t="n">
        <f aca="false">(AI14*AH15)+AI14</f>
        <v>100</v>
      </c>
    </row>
    <row r="16" customFormat="false" ht="15" hidden="false" customHeight="false" outlineLevel="0" collapsed="false">
      <c r="B16" s="810" t="n">
        <v>2024</v>
      </c>
      <c r="C16" s="816" t="s">
        <v>764</v>
      </c>
      <c r="D16" s="817"/>
      <c r="E16" s="818"/>
      <c r="F16" s="813" t="n">
        <f aca="false">D16/30*E16</f>
        <v>0</v>
      </c>
      <c r="G16" s="815" t="n">
        <f aca="false">(G15*F16)+G15</f>
        <v>100</v>
      </c>
      <c r="I16" s="810" t="n">
        <f aca="false">B16+1</f>
        <v>2025</v>
      </c>
      <c r="J16" s="812" t="str">
        <f aca="false">$C$16</f>
        <v>JAN</v>
      </c>
      <c r="K16" s="817"/>
      <c r="L16" s="814"/>
      <c r="M16" s="813" t="n">
        <f aca="false">K16/30*L16</f>
        <v>0</v>
      </c>
      <c r="N16" s="815" t="n">
        <f aca="false">(N15*M16)+N15</f>
        <v>100</v>
      </c>
      <c r="P16" s="810" t="n">
        <f aca="false">I16+1</f>
        <v>2026</v>
      </c>
      <c r="Q16" s="812" t="str">
        <f aca="false">$C$16</f>
        <v>JAN</v>
      </c>
      <c r="R16" s="817"/>
      <c r="S16" s="814"/>
      <c r="T16" s="813" t="n">
        <f aca="false">R16/30*S16</f>
        <v>0</v>
      </c>
      <c r="U16" s="815" t="n">
        <f aca="false">(U15*T16)+U15</f>
        <v>100</v>
      </c>
      <c r="W16" s="810" t="n">
        <f aca="false">P16+1</f>
        <v>2027</v>
      </c>
      <c r="X16" s="812" t="str">
        <f aca="false">$C$16</f>
        <v>JAN</v>
      </c>
      <c r="Y16" s="817"/>
      <c r="Z16" s="814"/>
      <c r="AA16" s="813" t="n">
        <f aca="false">Y16/30*Z16</f>
        <v>0</v>
      </c>
      <c r="AB16" s="815" t="n">
        <f aca="false">(AB15*AA16)+AB15</f>
        <v>100</v>
      </c>
      <c r="AD16" s="810" t="n">
        <f aca="false">W16+1</f>
        <v>2028</v>
      </c>
      <c r="AE16" s="812" t="str">
        <f aca="false">$C$16</f>
        <v>JAN</v>
      </c>
      <c r="AF16" s="817"/>
      <c r="AG16" s="814"/>
      <c r="AH16" s="813" t="n">
        <f aca="false">AF16/30*AG16</f>
        <v>0</v>
      </c>
      <c r="AI16" s="815" t="n">
        <f aca="false">(AI15*AH16)+AI15</f>
        <v>100</v>
      </c>
    </row>
    <row r="17" customFormat="false" ht="15" hidden="false" customHeight="false" outlineLevel="0" collapsed="false">
      <c r="B17" s="810" t="n">
        <v>2024</v>
      </c>
      <c r="C17" s="812" t="s">
        <v>765</v>
      </c>
      <c r="D17" s="813"/>
      <c r="E17" s="814"/>
      <c r="F17" s="813" t="n">
        <f aca="false">D17/30*E17</f>
        <v>0</v>
      </c>
      <c r="G17" s="815" t="n">
        <f aca="false">(G16*F17)+G16</f>
        <v>100</v>
      </c>
      <c r="I17" s="810" t="n">
        <f aca="false">B17+1</f>
        <v>2025</v>
      </c>
      <c r="J17" s="812" t="str">
        <f aca="false">$C$17</f>
        <v>FEV</v>
      </c>
      <c r="K17" s="813"/>
      <c r="L17" s="814"/>
      <c r="M17" s="813" t="n">
        <f aca="false">K17/30*L17</f>
        <v>0</v>
      </c>
      <c r="N17" s="815" t="n">
        <f aca="false">(N16*M17)+N16</f>
        <v>100</v>
      </c>
      <c r="P17" s="810" t="n">
        <f aca="false">I17+1</f>
        <v>2026</v>
      </c>
      <c r="Q17" s="812" t="str">
        <f aca="false">$C$17</f>
        <v>FEV</v>
      </c>
      <c r="R17" s="813"/>
      <c r="S17" s="814"/>
      <c r="T17" s="813" t="n">
        <f aca="false">R17/30*S17</f>
        <v>0</v>
      </c>
      <c r="U17" s="815" t="n">
        <f aca="false">(U16*T17)+U16</f>
        <v>100</v>
      </c>
      <c r="W17" s="810" t="n">
        <f aca="false">P17+1</f>
        <v>2027</v>
      </c>
      <c r="X17" s="812" t="str">
        <f aca="false">$C$17</f>
        <v>FEV</v>
      </c>
      <c r="Y17" s="813"/>
      <c r="Z17" s="814"/>
      <c r="AA17" s="813" t="n">
        <f aca="false">Y17/30*Z17</f>
        <v>0</v>
      </c>
      <c r="AB17" s="815" t="n">
        <f aca="false">(AB16*AA17)+AB16</f>
        <v>100</v>
      </c>
      <c r="AD17" s="810" t="n">
        <f aca="false">W17+1</f>
        <v>2028</v>
      </c>
      <c r="AE17" s="812" t="str">
        <f aca="false">$C$17</f>
        <v>FEV</v>
      </c>
      <c r="AF17" s="813"/>
      <c r="AG17" s="814"/>
      <c r="AH17" s="813" t="n">
        <f aca="false">AF17/30*AG17</f>
        <v>0</v>
      </c>
      <c r="AI17" s="815" t="n">
        <f aca="false">(AI16*AH17)+AI16</f>
        <v>100</v>
      </c>
    </row>
    <row r="18" customFormat="false" ht="15" hidden="false" customHeight="false" outlineLevel="0" collapsed="false">
      <c r="B18" s="810" t="n">
        <v>2024</v>
      </c>
      <c r="C18" s="816" t="s">
        <v>766</v>
      </c>
      <c r="D18" s="813"/>
      <c r="E18" s="814"/>
      <c r="F18" s="813" t="n">
        <f aca="false">D18/30*E18</f>
        <v>0</v>
      </c>
      <c r="G18" s="815" t="n">
        <f aca="false">(G17*F18)+G17</f>
        <v>100</v>
      </c>
      <c r="I18" s="810" t="n">
        <f aca="false">B18+1</f>
        <v>2025</v>
      </c>
      <c r="J18" s="812" t="str">
        <f aca="false">$C$18</f>
        <v>MAR</v>
      </c>
      <c r="K18" s="813"/>
      <c r="L18" s="814"/>
      <c r="M18" s="813" t="n">
        <f aca="false">K18/30*L18</f>
        <v>0</v>
      </c>
      <c r="N18" s="815" t="n">
        <f aca="false">(N17*M18)+N17</f>
        <v>100</v>
      </c>
      <c r="P18" s="810" t="n">
        <f aca="false">I18+1</f>
        <v>2026</v>
      </c>
      <c r="Q18" s="812" t="str">
        <f aca="false">$C$18</f>
        <v>MAR</v>
      </c>
      <c r="R18" s="813"/>
      <c r="S18" s="814"/>
      <c r="T18" s="813" t="n">
        <f aca="false">R18/30*S18</f>
        <v>0</v>
      </c>
      <c r="U18" s="815" t="n">
        <f aca="false">(U17*T18)+U17</f>
        <v>100</v>
      </c>
      <c r="W18" s="810" t="n">
        <f aca="false">P18+1</f>
        <v>2027</v>
      </c>
      <c r="X18" s="812" t="str">
        <f aca="false">$C$18</f>
        <v>MAR</v>
      </c>
      <c r="Y18" s="813"/>
      <c r="Z18" s="814"/>
      <c r="AA18" s="813" t="n">
        <f aca="false">Y18/30*Z18</f>
        <v>0</v>
      </c>
      <c r="AB18" s="815" t="n">
        <f aca="false">(AB17*AA18)+AB17</f>
        <v>100</v>
      </c>
      <c r="AD18" s="810" t="n">
        <f aca="false">W18+1</f>
        <v>2028</v>
      </c>
      <c r="AE18" s="812" t="str">
        <f aca="false">$C$18</f>
        <v>MAR</v>
      </c>
      <c r="AF18" s="813"/>
      <c r="AG18" s="814"/>
      <c r="AH18" s="813" t="n">
        <f aca="false">AF18/30*AG18</f>
        <v>0</v>
      </c>
      <c r="AI18" s="815" t="n">
        <f aca="false">(AI17*AH18)+AI17</f>
        <v>100</v>
      </c>
    </row>
    <row r="19" customFormat="false" ht="15" hidden="false" customHeight="false" outlineLevel="0" collapsed="false">
      <c r="B19" s="810" t="n">
        <v>2024</v>
      </c>
      <c r="C19" s="812" t="s">
        <v>767</v>
      </c>
      <c r="D19" s="813"/>
      <c r="E19" s="814"/>
      <c r="F19" s="813" t="n">
        <f aca="false">D19/30*E19</f>
        <v>0</v>
      </c>
      <c r="G19" s="815" t="n">
        <f aca="false">(G18*F19)+G18</f>
        <v>100</v>
      </c>
      <c r="I19" s="810" t="n">
        <f aca="false">B19+1</f>
        <v>2025</v>
      </c>
      <c r="J19" s="812" t="str">
        <f aca="false">$C$19</f>
        <v>ABR</v>
      </c>
      <c r="K19" s="813"/>
      <c r="L19" s="814"/>
      <c r="M19" s="813" t="n">
        <f aca="false">K19/30*L19</f>
        <v>0</v>
      </c>
      <c r="N19" s="815" t="n">
        <f aca="false">(N18*M19)+N18</f>
        <v>100</v>
      </c>
      <c r="P19" s="810" t="n">
        <f aca="false">I19+1</f>
        <v>2026</v>
      </c>
      <c r="Q19" s="812" t="str">
        <f aca="false">$C$19</f>
        <v>ABR</v>
      </c>
      <c r="R19" s="813"/>
      <c r="S19" s="814"/>
      <c r="T19" s="813" t="n">
        <f aca="false">R19/30*S19</f>
        <v>0</v>
      </c>
      <c r="U19" s="815" t="n">
        <f aca="false">(U18*T19)+U18</f>
        <v>100</v>
      </c>
      <c r="W19" s="810" t="n">
        <f aca="false">P19+1</f>
        <v>2027</v>
      </c>
      <c r="X19" s="812" t="str">
        <f aca="false">$C$19</f>
        <v>ABR</v>
      </c>
      <c r="Y19" s="813"/>
      <c r="Z19" s="814"/>
      <c r="AA19" s="813" t="n">
        <f aca="false">Y19/30*Z19</f>
        <v>0</v>
      </c>
      <c r="AB19" s="815" t="n">
        <f aca="false">(AB18*AA19)+AB18</f>
        <v>100</v>
      </c>
      <c r="AD19" s="810" t="n">
        <f aca="false">W19+1</f>
        <v>2028</v>
      </c>
      <c r="AE19" s="812" t="str">
        <f aca="false">$C$19</f>
        <v>ABR</v>
      </c>
      <c r="AF19" s="813"/>
      <c r="AG19" s="814"/>
      <c r="AH19" s="813" t="n">
        <f aca="false">AF19/30*AG19</f>
        <v>0</v>
      </c>
      <c r="AI19" s="815" t="n">
        <f aca="false">(AI18*AH19)+AI18</f>
        <v>100</v>
      </c>
    </row>
    <row r="20" customFormat="false" ht="15" hidden="false" customHeight="false" outlineLevel="0" collapsed="false">
      <c r="B20" s="810" t="n">
        <v>2024</v>
      </c>
      <c r="C20" s="816" t="s">
        <v>768</v>
      </c>
      <c r="D20" s="813"/>
      <c r="E20" s="814"/>
      <c r="F20" s="813" t="n">
        <f aca="false">D20/30*E20</f>
        <v>0</v>
      </c>
      <c r="G20" s="815" t="n">
        <f aca="false">(G19*F20)+G19</f>
        <v>100</v>
      </c>
      <c r="I20" s="810" t="n">
        <f aca="false">B20+1</f>
        <v>2025</v>
      </c>
      <c r="J20" s="812" t="str">
        <f aca="false">$C$20</f>
        <v>MAI</v>
      </c>
      <c r="K20" s="813"/>
      <c r="L20" s="814"/>
      <c r="M20" s="813" t="n">
        <f aca="false">K20/30*L20</f>
        <v>0</v>
      </c>
      <c r="N20" s="815" t="n">
        <f aca="false">(N19*M20)+N19</f>
        <v>100</v>
      </c>
      <c r="P20" s="810" t="n">
        <f aca="false">I20+1</f>
        <v>2026</v>
      </c>
      <c r="Q20" s="812" t="str">
        <f aca="false">$C$20</f>
        <v>MAI</v>
      </c>
      <c r="R20" s="813"/>
      <c r="S20" s="814"/>
      <c r="T20" s="813" t="n">
        <f aca="false">R20/30*S20</f>
        <v>0</v>
      </c>
      <c r="U20" s="815" t="n">
        <f aca="false">(U19*T20)+U19</f>
        <v>100</v>
      </c>
      <c r="W20" s="810" t="n">
        <f aca="false">P20+1</f>
        <v>2027</v>
      </c>
      <c r="X20" s="812" t="str">
        <f aca="false">$C$20</f>
        <v>MAI</v>
      </c>
      <c r="Y20" s="813"/>
      <c r="Z20" s="814"/>
      <c r="AA20" s="813" t="n">
        <f aca="false">Y20/30*Z20</f>
        <v>0</v>
      </c>
      <c r="AB20" s="815" t="n">
        <f aca="false">(AB19*AA20)+AB19</f>
        <v>100</v>
      </c>
      <c r="AD20" s="810" t="n">
        <f aca="false">W20+1</f>
        <v>2028</v>
      </c>
      <c r="AE20" s="812" t="str">
        <f aca="false">$C$20</f>
        <v>MAI</v>
      </c>
      <c r="AF20" s="813"/>
      <c r="AG20" s="814"/>
      <c r="AH20" s="813" t="n">
        <f aca="false">AF20/30*AG20</f>
        <v>0</v>
      </c>
      <c r="AI20" s="815" t="n">
        <f aca="false">(AI19*AH20)+AI19</f>
        <v>100</v>
      </c>
    </row>
    <row r="21" customFormat="false" ht="15" hidden="false" customHeight="false" outlineLevel="0" collapsed="false">
      <c r="B21" s="810" t="n">
        <v>2024</v>
      </c>
      <c r="C21" s="812" t="s">
        <v>769</v>
      </c>
      <c r="D21" s="813"/>
      <c r="E21" s="814"/>
      <c r="F21" s="813" t="n">
        <f aca="false">D21/30*E21</f>
        <v>0</v>
      </c>
      <c r="G21" s="815" t="n">
        <f aca="false">(G20*F21)+G20</f>
        <v>100</v>
      </c>
      <c r="I21" s="810" t="n">
        <f aca="false">B21+1</f>
        <v>2025</v>
      </c>
      <c r="J21" s="812" t="str">
        <f aca="false">$C$21</f>
        <v>JUN</v>
      </c>
      <c r="K21" s="813"/>
      <c r="L21" s="814"/>
      <c r="M21" s="813" t="n">
        <f aca="false">K21/30*L21</f>
        <v>0</v>
      </c>
      <c r="N21" s="815" t="n">
        <f aca="false">(N20*M21)+N20</f>
        <v>100</v>
      </c>
      <c r="P21" s="810" t="n">
        <f aca="false">I21+1</f>
        <v>2026</v>
      </c>
      <c r="Q21" s="812" t="str">
        <f aca="false">$C$21</f>
        <v>JUN</v>
      </c>
      <c r="R21" s="813"/>
      <c r="S21" s="814"/>
      <c r="T21" s="813" t="n">
        <f aca="false">R21/30*S21</f>
        <v>0</v>
      </c>
      <c r="U21" s="815" t="n">
        <f aca="false">(U20*T21)+U20</f>
        <v>100</v>
      </c>
      <c r="W21" s="810" t="n">
        <f aca="false">P21+1</f>
        <v>2027</v>
      </c>
      <c r="X21" s="812" t="str">
        <f aca="false">$C$21</f>
        <v>JUN</v>
      </c>
      <c r="Y21" s="813"/>
      <c r="Z21" s="814"/>
      <c r="AA21" s="813" t="n">
        <f aca="false">Y21/30*Z21</f>
        <v>0</v>
      </c>
      <c r="AB21" s="815" t="n">
        <f aca="false">(AB20*AA21)+AB20</f>
        <v>100</v>
      </c>
      <c r="AD21" s="810" t="n">
        <f aca="false">W21+1</f>
        <v>2028</v>
      </c>
      <c r="AE21" s="812" t="str">
        <f aca="false">$C$21</f>
        <v>JUN</v>
      </c>
      <c r="AF21" s="813"/>
      <c r="AG21" s="814"/>
      <c r="AH21" s="813" t="n">
        <f aca="false">AF21/30*AG21</f>
        <v>0</v>
      </c>
      <c r="AI21" s="815" t="n">
        <f aca="false">(AI20*AH21)+AI20</f>
        <v>100</v>
      </c>
    </row>
    <row r="22" customFormat="false" ht="15" hidden="false" customHeight="false" outlineLevel="0" collapsed="false">
      <c r="B22" s="810" t="n">
        <v>2024</v>
      </c>
      <c r="C22" s="816" t="s">
        <v>770</v>
      </c>
      <c r="D22" s="813"/>
      <c r="E22" s="814" t="n">
        <v>0</v>
      </c>
      <c r="F22" s="813" t="n">
        <f aca="false">D22/30*E22</f>
        <v>0</v>
      </c>
      <c r="G22" s="815" t="n">
        <f aca="false">(G21*F22)+G21</f>
        <v>100</v>
      </c>
      <c r="I22" s="810" t="n">
        <f aca="false">B22+1</f>
        <v>2025</v>
      </c>
      <c r="J22" s="812" t="str">
        <f aca="false">$C$22</f>
        <v>JUL</v>
      </c>
      <c r="K22" s="813"/>
      <c r="L22" s="814" t="n">
        <f aca="false">$E$22</f>
        <v>0</v>
      </c>
      <c r="M22" s="813" t="n">
        <f aca="false">K22/30*L22</f>
        <v>0</v>
      </c>
      <c r="N22" s="815" t="n">
        <f aca="false">(N21*M22)+N21</f>
        <v>100</v>
      </c>
      <c r="P22" s="810" t="n">
        <f aca="false">I22+1</f>
        <v>2026</v>
      </c>
      <c r="Q22" s="812" t="str">
        <f aca="false">$C$22</f>
        <v>JUL</v>
      </c>
      <c r="R22" s="813"/>
      <c r="S22" s="814" t="n">
        <f aca="false">$E$22</f>
        <v>0</v>
      </c>
      <c r="T22" s="813" t="n">
        <f aca="false">R22/30*S22</f>
        <v>0</v>
      </c>
      <c r="U22" s="815" t="n">
        <f aca="false">(U21*T22)+U21</f>
        <v>100</v>
      </c>
      <c r="W22" s="810" t="n">
        <f aca="false">P22+1</f>
        <v>2027</v>
      </c>
      <c r="X22" s="812" t="str">
        <f aca="false">$C$22</f>
        <v>JUL</v>
      </c>
      <c r="Y22" s="813"/>
      <c r="Z22" s="814" t="n">
        <f aca="false">$E$22</f>
        <v>0</v>
      </c>
      <c r="AA22" s="813" t="n">
        <f aca="false">Y22/30*Z22</f>
        <v>0</v>
      </c>
      <c r="AB22" s="815" t="n">
        <f aca="false">(AB21*AA22)+AB21</f>
        <v>100</v>
      </c>
      <c r="AD22" s="810" t="n">
        <f aca="false">W22+1</f>
        <v>2028</v>
      </c>
      <c r="AE22" s="812" t="str">
        <f aca="false">$C$22</f>
        <v>JUL</v>
      </c>
      <c r="AF22" s="813"/>
      <c r="AG22" s="814" t="n">
        <f aca="false">$E$22</f>
        <v>0</v>
      </c>
      <c r="AH22" s="813" t="n">
        <f aca="false">AF22/30*AG22</f>
        <v>0</v>
      </c>
      <c r="AI22" s="815" t="n">
        <f aca="false">(AI21*AH22)+AI21</f>
        <v>100</v>
      </c>
    </row>
    <row r="23" customFormat="false" ht="15" hidden="false" customHeight="false" outlineLevel="0" collapsed="false">
      <c r="B23" s="810" t="s">
        <v>771</v>
      </c>
      <c r="C23" s="810"/>
      <c r="D23" s="810"/>
      <c r="E23" s="810"/>
      <c r="F23" s="810"/>
      <c r="G23" s="819" t="n">
        <f aca="false">ROUND(((G22-G9)/G9),4)</f>
        <v>0</v>
      </c>
      <c r="I23" s="810" t="s">
        <v>771</v>
      </c>
      <c r="J23" s="810"/>
      <c r="K23" s="810"/>
      <c r="L23" s="810"/>
      <c r="M23" s="810"/>
      <c r="N23" s="819" t="n">
        <f aca="false">ROUND(((N22-N9)/N9),4)</f>
        <v>0</v>
      </c>
      <c r="P23" s="810" t="s">
        <v>771</v>
      </c>
      <c r="Q23" s="810"/>
      <c r="R23" s="810"/>
      <c r="S23" s="810"/>
      <c r="T23" s="810"/>
      <c r="U23" s="819" t="n">
        <f aca="false">ROUND(((U22-U9)/U9),4)</f>
        <v>0</v>
      </c>
      <c r="W23" s="810" t="s">
        <v>771</v>
      </c>
      <c r="X23" s="810"/>
      <c r="Y23" s="810"/>
      <c r="Z23" s="810"/>
      <c r="AA23" s="810"/>
      <c r="AB23" s="819" t="n">
        <f aca="false">ROUND(((AB22-AB9)/AB9),4)</f>
        <v>0</v>
      </c>
      <c r="AD23" s="810" t="s">
        <v>771</v>
      </c>
      <c r="AE23" s="810"/>
      <c r="AF23" s="810"/>
      <c r="AG23" s="810"/>
      <c r="AH23" s="810"/>
      <c r="AI23" s="819" t="n">
        <f aca="false">ROUND(((AI22-AI9)/AI9),4)</f>
        <v>0</v>
      </c>
    </row>
  </sheetData>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MK90"/>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1" width="13.86"/>
    <col collapsed="false" customWidth="true" hidden="false" outlineLevel="0" max="2" min="2" style="1" width="10.42"/>
    <col collapsed="false" customWidth="true" hidden="false" outlineLevel="0" max="3" min="3" style="1" width="45.43"/>
    <col collapsed="false" customWidth="true" hidden="false" outlineLevel="0" max="4" min="4" style="1" width="12"/>
    <col collapsed="false" customWidth="true" hidden="false" outlineLevel="0" max="5" min="5" style="1" width="15.71"/>
    <col collapsed="false" customWidth="true" hidden="false" outlineLevel="0" max="6" min="6" style="1" width="14.86"/>
    <col collapsed="false" customWidth="true" hidden="false" outlineLevel="0" max="7" min="7" style="1" width="14"/>
    <col collapsed="false" customWidth="true" hidden="false" outlineLevel="0" max="8" min="8" style="1" width="13.57"/>
    <col collapsed="false" customWidth="true" hidden="false" outlineLevel="0" max="9" min="9" style="1" width="13.42"/>
    <col collapsed="false" customWidth="true" hidden="false" outlineLevel="0" max="10" min="10" style="3" width="13.57"/>
    <col collapsed="false" customWidth="true" hidden="false" outlineLevel="0" max="11" min="11" style="3" width="18.29"/>
    <col collapsed="false" customWidth="true" hidden="false" outlineLevel="0" max="12" min="12" style="1" width="13.29"/>
    <col collapsed="false" customWidth="true" hidden="false" outlineLevel="0" max="13" min="13" style="1" width="15.14"/>
    <col collapsed="false" customWidth="true" hidden="false" outlineLevel="0" max="14" min="14" style="1" width="22.86"/>
    <col collapsed="false" customWidth="true" hidden="false" outlineLevel="0" max="17" min="15" style="1" width="14.86"/>
    <col collapsed="false" customWidth="true" hidden="false" outlineLevel="0" max="21" min="18" style="1" width="13.57"/>
    <col collapsed="false" customWidth="true" hidden="false" outlineLevel="0" max="22" min="22" style="1" width="15"/>
    <col collapsed="false" customWidth="false" hidden="false" outlineLevel="0" max="258" min="23" style="1" width="9.14"/>
    <col collapsed="false" customWidth="true" hidden="false" outlineLevel="0" max="259" min="259" style="1" width="9.86"/>
    <col collapsed="false" customWidth="true" hidden="false" outlineLevel="0" max="260" min="260" style="1" width="10.42"/>
    <col collapsed="false" customWidth="true" hidden="false" outlineLevel="0" max="261" min="261" style="1" width="39.29"/>
    <col collapsed="false" customWidth="true" hidden="false" outlineLevel="0" max="262" min="262" style="1" width="15"/>
    <col collapsed="false" customWidth="true" hidden="false" outlineLevel="0" max="263" min="263" style="1" width="11"/>
    <col collapsed="false" customWidth="true" hidden="false" outlineLevel="0" max="264" min="264" style="1" width="11.14"/>
    <col collapsed="false" customWidth="true" hidden="false" outlineLevel="0" max="265" min="265" style="1" width="12.86"/>
    <col collapsed="false" customWidth="true" hidden="false" outlineLevel="0" max="266" min="266" style="1" width="13.15"/>
    <col collapsed="false" customWidth="true" hidden="false" outlineLevel="0" max="270" min="267" style="1" width="14.14"/>
    <col collapsed="false" customWidth="true" hidden="false" outlineLevel="0" max="271" min="271" style="1" width="14.42"/>
    <col collapsed="false" customWidth="true" hidden="false" outlineLevel="0" max="272" min="272" style="1" width="9.71"/>
    <col collapsed="false" customWidth="true" hidden="false" outlineLevel="0" max="273" min="273" style="1" width="12.71"/>
    <col collapsed="false" customWidth="true" hidden="false" outlineLevel="0" max="276" min="274" style="1" width="13.57"/>
    <col collapsed="false" customWidth="true" hidden="false" outlineLevel="0" max="277" min="277" style="1" width="12.15"/>
    <col collapsed="false" customWidth="true" hidden="false" outlineLevel="0" max="278" min="278" style="1" width="15"/>
    <col collapsed="false" customWidth="false" hidden="false" outlineLevel="0" max="514" min="279" style="1" width="9.14"/>
    <col collapsed="false" customWidth="true" hidden="false" outlineLevel="0" max="515" min="515" style="1" width="9.86"/>
    <col collapsed="false" customWidth="true" hidden="false" outlineLevel="0" max="516" min="516" style="1" width="10.42"/>
    <col collapsed="false" customWidth="true" hidden="false" outlineLevel="0" max="517" min="517" style="1" width="39.29"/>
    <col collapsed="false" customWidth="true" hidden="false" outlineLevel="0" max="518" min="518" style="1" width="15"/>
    <col collapsed="false" customWidth="true" hidden="false" outlineLevel="0" max="519" min="519" style="1" width="11"/>
    <col collapsed="false" customWidth="true" hidden="false" outlineLevel="0" max="520" min="520" style="1" width="11.14"/>
    <col collapsed="false" customWidth="true" hidden="false" outlineLevel="0" max="521" min="521" style="1" width="12.86"/>
    <col collapsed="false" customWidth="true" hidden="false" outlineLevel="0" max="522" min="522" style="1" width="13.15"/>
    <col collapsed="false" customWidth="true" hidden="false" outlineLevel="0" max="526" min="523" style="1" width="14.14"/>
    <col collapsed="false" customWidth="true" hidden="false" outlineLevel="0" max="527" min="527" style="1" width="14.42"/>
    <col collapsed="false" customWidth="true" hidden="false" outlineLevel="0" max="528" min="528" style="1" width="9.71"/>
    <col collapsed="false" customWidth="true" hidden="false" outlineLevel="0" max="529" min="529" style="1" width="12.71"/>
    <col collapsed="false" customWidth="true" hidden="false" outlineLevel="0" max="532" min="530" style="1" width="13.57"/>
    <col collapsed="false" customWidth="true" hidden="false" outlineLevel="0" max="533" min="533" style="1" width="12.15"/>
    <col collapsed="false" customWidth="true" hidden="false" outlineLevel="0" max="534" min="534" style="1" width="15"/>
    <col collapsed="false" customWidth="false" hidden="false" outlineLevel="0" max="770" min="535" style="1" width="9.14"/>
    <col collapsed="false" customWidth="true" hidden="false" outlineLevel="0" max="771" min="771" style="1" width="9.86"/>
    <col collapsed="false" customWidth="true" hidden="false" outlineLevel="0" max="772" min="772" style="1" width="10.42"/>
    <col collapsed="false" customWidth="true" hidden="false" outlineLevel="0" max="773" min="773" style="1" width="39.29"/>
    <col collapsed="false" customWidth="true" hidden="false" outlineLevel="0" max="774" min="774" style="1" width="15"/>
    <col collapsed="false" customWidth="true" hidden="false" outlineLevel="0" max="775" min="775" style="1" width="11"/>
    <col collapsed="false" customWidth="true" hidden="false" outlineLevel="0" max="776" min="776" style="1" width="11.14"/>
    <col collapsed="false" customWidth="true" hidden="false" outlineLevel="0" max="777" min="777" style="1" width="12.86"/>
    <col collapsed="false" customWidth="true" hidden="false" outlineLevel="0" max="778" min="778" style="1" width="13.15"/>
    <col collapsed="false" customWidth="true" hidden="false" outlineLevel="0" max="782" min="779" style="1" width="14.14"/>
    <col collapsed="false" customWidth="true" hidden="false" outlineLevel="0" max="783" min="783" style="1" width="14.42"/>
    <col collapsed="false" customWidth="true" hidden="false" outlineLevel="0" max="784" min="784" style="1" width="9.71"/>
    <col collapsed="false" customWidth="true" hidden="false" outlineLevel="0" max="785" min="785" style="1" width="12.71"/>
    <col collapsed="false" customWidth="true" hidden="false" outlineLevel="0" max="788" min="786" style="1" width="13.57"/>
    <col collapsed="false" customWidth="true" hidden="false" outlineLevel="0" max="789" min="789" style="1" width="12.15"/>
    <col collapsed="false" customWidth="true" hidden="false" outlineLevel="0" max="790" min="790" style="1" width="15"/>
    <col collapsed="false" customWidth="false" hidden="false" outlineLevel="0" max="1025" min="791" style="1" width="9.14"/>
  </cols>
  <sheetData>
    <row r="1" customFormat="false" ht="15" hidden="false" customHeight="false" outlineLevel="0" collapsed="false">
      <c r="A1" s="155"/>
      <c r="B1" s="156" t="str">
        <f aca="false">INSTRUÇÕES!B1</f>
        <v>Tribunal Regional Federal da 6ª Região</v>
      </c>
      <c r="D1" s="108"/>
      <c r="E1" s="108"/>
      <c r="F1" s="108"/>
      <c r="G1" s="108"/>
      <c r="H1" s="108"/>
      <c r="I1" s="108"/>
      <c r="J1" s="157"/>
      <c r="K1" s="157"/>
      <c r="L1" s="108"/>
      <c r="M1" s="108"/>
      <c r="N1" s="108"/>
    </row>
    <row r="2" customFormat="false" ht="15" hidden="false" customHeight="false" outlineLevel="0" collapsed="false">
      <c r="A2" s="155"/>
      <c r="B2" s="156" t="str">
        <f aca="false">INSTRUÇÕES!B2</f>
        <v>Seção Judiciária de Minas Gerais</v>
      </c>
      <c r="D2" s="108"/>
      <c r="E2" s="108"/>
      <c r="F2" s="108"/>
      <c r="G2" s="108"/>
      <c r="H2" s="108"/>
      <c r="I2" s="108"/>
      <c r="J2" s="157"/>
      <c r="K2" s="157"/>
      <c r="L2" s="108"/>
      <c r="M2" s="108"/>
      <c r="N2" s="108"/>
    </row>
    <row r="3" customFormat="false" ht="17.35" hidden="false" customHeight="false" outlineLevel="0" collapsed="false">
      <c r="A3" s="155"/>
      <c r="B3" s="156" t="str">
        <f aca="false">INSTRUÇÕES!B3</f>
        <v>Subseção Judiciária de Uberlândia</v>
      </c>
      <c r="D3" s="108"/>
      <c r="E3" s="158" t="s">
        <v>170</v>
      </c>
      <c r="F3" s="108"/>
      <c r="G3" s="108"/>
      <c r="H3" s="108"/>
      <c r="I3" s="108"/>
      <c r="J3" s="157"/>
      <c r="K3" s="157"/>
      <c r="L3" s="108"/>
      <c r="M3" s="108"/>
      <c r="N3" s="108"/>
      <c r="U3" s="159"/>
    </row>
    <row r="4" s="21" customFormat="true" ht="24.75" hidden="false" customHeight="true" outlineLevel="0" collapsed="false">
      <c r="A4" s="160" t="str">
        <f aca="false">CONCATENATE("Sindicato utilizado - ",E20,". Vigência: ",E22,". Sendo a data base da categoria ",E23,". Com número de registro no MTE ",E21,".")</f>
        <v>Sindicato utilizado - SEAC/MG x SINDEACO/MG. Vigência: 01/01/2025 à 31/12/2025. Sendo a data base da categoria 01º Janeiro. Com número de registro no MTE MG001252/2025.</v>
      </c>
      <c r="B4" s="160"/>
      <c r="C4" s="161"/>
      <c r="D4" s="162"/>
      <c r="E4" s="160"/>
      <c r="F4" s="163"/>
      <c r="G4" s="163"/>
      <c r="H4" s="163"/>
      <c r="I4" s="163"/>
      <c r="J4" s="163"/>
      <c r="K4" s="163"/>
      <c r="L4" s="163"/>
      <c r="M4" s="163"/>
      <c r="N4" s="163"/>
      <c r="O4" s="163"/>
      <c r="P4" s="163"/>
      <c r="Q4" s="163"/>
      <c r="R4" s="163"/>
      <c r="S4" s="163"/>
      <c r="T4" s="163"/>
      <c r="U4" s="163"/>
      <c r="V4" s="163"/>
    </row>
    <row r="5" s="21" customFormat="true" ht="66.75" hidden="false" customHeight="true" outlineLevel="0" collapsed="false">
      <c r="A5" s="164" t="s">
        <v>171</v>
      </c>
      <c r="B5" s="164" t="s">
        <v>172</v>
      </c>
      <c r="C5" s="164" t="s">
        <v>22</v>
      </c>
      <c r="D5" s="164" t="s">
        <v>173</v>
      </c>
      <c r="E5" s="164" t="s">
        <v>174</v>
      </c>
      <c r="F5" s="164" t="s">
        <v>175</v>
      </c>
      <c r="G5" s="164" t="s">
        <v>176</v>
      </c>
      <c r="H5" s="164" t="s">
        <v>177</v>
      </c>
      <c r="I5" s="164" t="s">
        <v>178</v>
      </c>
      <c r="J5" s="164" t="s">
        <v>179</v>
      </c>
      <c r="K5" s="164" t="s">
        <v>180</v>
      </c>
      <c r="L5" s="164" t="s">
        <v>181</v>
      </c>
      <c r="M5" s="165" t="s">
        <v>182</v>
      </c>
      <c r="N5" s="164" t="s">
        <v>183</v>
      </c>
      <c r="O5" s="164" t="s">
        <v>184</v>
      </c>
      <c r="P5" s="164" t="s">
        <v>185</v>
      </c>
      <c r="Q5" s="164" t="s">
        <v>186</v>
      </c>
      <c r="R5" s="164" t="s">
        <v>187</v>
      </c>
      <c r="S5" s="164" t="s">
        <v>188</v>
      </c>
      <c r="T5" s="164" t="s">
        <v>189</v>
      </c>
      <c r="U5" s="164" t="s">
        <v>190</v>
      </c>
      <c r="V5" s="164" t="s">
        <v>191</v>
      </c>
      <c r="X5" s="166"/>
    </row>
    <row r="6" s="21" customFormat="true" ht="23.85" hidden="false" customHeight="false" outlineLevel="0" collapsed="false">
      <c r="A6" s="164"/>
      <c r="B6" s="164"/>
      <c r="C6" s="164"/>
      <c r="D6" s="164"/>
      <c r="E6" s="164"/>
      <c r="F6" s="164"/>
      <c r="G6" s="164"/>
      <c r="H6" s="164"/>
      <c r="I6" s="164"/>
      <c r="J6" s="164"/>
      <c r="K6" s="164"/>
      <c r="L6" s="164"/>
      <c r="M6" s="165"/>
      <c r="N6" s="167" t="s">
        <v>192</v>
      </c>
      <c r="O6" s="168" t="n">
        <v>11</v>
      </c>
      <c r="P6" s="168" t="n">
        <f aca="false">B11</f>
        <v>1</v>
      </c>
      <c r="Q6" s="168" t="n">
        <f aca="false">B16</f>
        <v>1</v>
      </c>
      <c r="R6" s="168" t="n">
        <f aca="false">B10</f>
        <v>1</v>
      </c>
      <c r="S6" s="168" t="n">
        <f aca="false">B14</f>
        <v>1</v>
      </c>
      <c r="T6" s="168" t="n">
        <f aca="false">B10+B11+B12+B13+B14</f>
        <v>13</v>
      </c>
      <c r="U6" s="164"/>
      <c r="V6" s="164"/>
      <c r="X6" s="166"/>
    </row>
    <row r="7" s="21" customFormat="true" ht="24.75" hidden="false" customHeight="true" outlineLevel="0" collapsed="false">
      <c r="A7" s="169" t="s">
        <v>193</v>
      </c>
      <c r="B7" s="168" t="n">
        <v>10</v>
      </c>
      <c r="C7" s="170" t="s">
        <v>194</v>
      </c>
      <c r="D7" s="168" t="n">
        <v>150</v>
      </c>
      <c r="E7" s="171" t="n">
        <v>2426.6</v>
      </c>
      <c r="F7" s="172" t="n">
        <f aca="false">ROUND(((E7/220)*D7),2)</f>
        <v>1654.5</v>
      </c>
      <c r="G7" s="173"/>
      <c r="H7" s="174"/>
      <c r="I7" s="58" t="n">
        <v>0</v>
      </c>
      <c r="J7" s="58" t="n">
        <v>0</v>
      </c>
      <c r="K7" s="58"/>
      <c r="L7" s="58" t="n">
        <v>0</v>
      </c>
      <c r="M7" s="175" t="n">
        <f aca="false">F7+H7+L7</f>
        <v>1654.5</v>
      </c>
      <c r="N7" s="172" t="n">
        <f aca="false">Uniformes!H38</f>
        <v>49.96</v>
      </c>
      <c r="O7" s="172"/>
      <c r="P7" s="172"/>
      <c r="Q7" s="172"/>
      <c r="R7" s="172"/>
      <c r="S7" s="172"/>
      <c r="T7" s="172"/>
      <c r="U7" s="172"/>
      <c r="V7" s="176" t="n">
        <v>1</v>
      </c>
      <c r="X7" s="166"/>
    </row>
    <row r="8" s="21" customFormat="true" ht="24.75" hidden="false" customHeight="true" outlineLevel="0" collapsed="false">
      <c r="A8" s="169"/>
      <c r="B8" s="168" t="n">
        <v>3</v>
      </c>
      <c r="C8" s="170" t="s">
        <v>194</v>
      </c>
      <c r="D8" s="168" t="n">
        <v>200</v>
      </c>
      <c r="E8" s="171" t="n">
        <v>2426.6</v>
      </c>
      <c r="F8" s="172" t="n">
        <f aca="false">ROUND(((E8/220)*D8),2)</f>
        <v>2206</v>
      </c>
      <c r="G8" s="173"/>
      <c r="H8" s="174"/>
      <c r="I8" s="58"/>
      <c r="J8" s="58"/>
      <c r="K8" s="58"/>
      <c r="L8" s="58"/>
      <c r="M8" s="175" t="n">
        <f aca="false">F8+H8+L8</f>
        <v>2206</v>
      </c>
      <c r="N8" s="172" t="n">
        <f aca="false">Uniformes!H38</f>
        <v>49.96</v>
      </c>
      <c r="O8" s="172"/>
      <c r="P8" s="172"/>
      <c r="Q8" s="172"/>
      <c r="R8" s="172"/>
      <c r="S8" s="172"/>
      <c r="T8" s="172"/>
      <c r="U8" s="172"/>
      <c r="V8" s="176" t="n">
        <v>1</v>
      </c>
      <c r="X8" s="166"/>
    </row>
    <row r="9" s="21" customFormat="true" ht="24" hidden="false" customHeight="true" outlineLevel="0" collapsed="false">
      <c r="A9" s="169"/>
      <c r="B9" s="168" t="n">
        <v>2</v>
      </c>
      <c r="C9" s="170" t="s">
        <v>195</v>
      </c>
      <c r="D9" s="168" t="n">
        <v>150</v>
      </c>
      <c r="E9" s="171" t="n">
        <v>2830.97</v>
      </c>
      <c r="F9" s="172" t="n">
        <f aca="false">ROUND(((E9/220)*D9),2)</f>
        <v>1930.21</v>
      </c>
      <c r="G9" s="177" t="n">
        <v>0</v>
      </c>
      <c r="H9" s="58" t="n">
        <v>0</v>
      </c>
      <c r="I9" s="178"/>
      <c r="J9" s="178"/>
      <c r="K9" s="179"/>
      <c r="L9" s="180"/>
      <c r="M9" s="175" t="n">
        <f aca="false">F9+H9+L9</f>
        <v>1930.21</v>
      </c>
      <c r="N9" s="172" t="n">
        <f aca="false">Uniformes!H55</f>
        <v>56.93</v>
      </c>
      <c r="O9" s="172"/>
      <c r="P9" s="172"/>
      <c r="Q9" s="172"/>
      <c r="R9" s="172"/>
      <c r="S9" s="172"/>
      <c r="T9" s="172"/>
      <c r="U9" s="172"/>
      <c r="V9" s="176" t="n">
        <v>1</v>
      </c>
      <c r="X9" s="166"/>
    </row>
    <row r="10" s="21" customFormat="true" ht="24" hidden="false" customHeight="true" outlineLevel="0" collapsed="false">
      <c r="A10" s="169" t="s">
        <v>196</v>
      </c>
      <c r="B10" s="168" t="n">
        <v>1</v>
      </c>
      <c r="C10" s="170" t="s">
        <v>197</v>
      </c>
      <c r="D10" s="168" t="n">
        <v>200</v>
      </c>
      <c r="E10" s="171" t="n">
        <v>1649.12</v>
      </c>
      <c r="F10" s="172" t="n">
        <f aca="false">ROUND(((E10/220)*D10),2)</f>
        <v>1499.2</v>
      </c>
      <c r="G10" s="181" t="n">
        <v>0.2</v>
      </c>
      <c r="H10" s="172" t="n">
        <f aca="false">G10*G33</f>
        <v>303.6</v>
      </c>
      <c r="I10" s="178"/>
      <c r="J10" s="178"/>
      <c r="K10" s="179"/>
      <c r="L10" s="182"/>
      <c r="M10" s="175" t="n">
        <f aca="false">F10+H10+L10</f>
        <v>1802.8</v>
      </c>
      <c r="N10" s="172" t="n">
        <f aca="false">Uniformes!H13</f>
        <v>27.83</v>
      </c>
      <c r="O10" s="172" t="n">
        <f aca="false">ROUND((Insumos!K62/$O$6),2)</f>
        <v>1017.12</v>
      </c>
      <c r="P10" s="172"/>
      <c r="Q10" s="172"/>
      <c r="R10" s="172"/>
      <c r="S10" s="172"/>
      <c r="T10" s="172" t="n">
        <f aca="false">EPI!$G$9/Dados!$T$6</f>
        <v>4.94083333333333</v>
      </c>
      <c r="U10" s="172" t="n">
        <f aca="false">(Equipamentos!G20/Equipamentos!H20)+(Equipamentos!G24/Equipamentos!H24)+(Equipamentos!G28/Equipamentos!H28)</f>
        <v>4.54473776223776</v>
      </c>
      <c r="V10" s="176" t="n">
        <v>2</v>
      </c>
      <c r="X10" s="166"/>
    </row>
    <row r="11" s="21" customFormat="true" ht="24" hidden="false" customHeight="true" outlineLevel="0" collapsed="false">
      <c r="A11" s="169"/>
      <c r="B11" s="168" t="n">
        <v>1</v>
      </c>
      <c r="C11" s="170" t="s">
        <v>198</v>
      </c>
      <c r="D11" s="168" t="n">
        <v>200</v>
      </c>
      <c r="E11" s="171" t="n">
        <v>1805.94</v>
      </c>
      <c r="F11" s="172" t="n">
        <f aca="false">ROUND(((E11/220)*D11),2)</f>
        <v>1641.76</v>
      </c>
      <c r="G11" s="173"/>
      <c r="H11" s="174"/>
      <c r="I11" s="178"/>
      <c r="J11" s="178"/>
      <c r="K11" s="179"/>
      <c r="L11" s="182"/>
      <c r="M11" s="175" t="n">
        <f aca="false">F11+H11+L11</f>
        <v>1641.76</v>
      </c>
      <c r="N11" s="172" t="n">
        <f aca="false">Uniformes!H22</f>
        <v>31.18</v>
      </c>
      <c r="O11" s="172"/>
      <c r="P11" s="172"/>
      <c r="Q11" s="172"/>
      <c r="R11" s="172"/>
      <c r="S11" s="172"/>
      <c r="T11" s="172" t="n">
        <f aca="false">EPI!$G$9/Dados!$T$6</f>
        <v>4.94083333333333</v>
      </c>
      <c r="U11" s="172" t="n">
        <f aca="false">(Equipamentos!G24/Equipamentos!H24)+(Equipamentos!G32/Equipamentos!H32)</f>
        <v>4.24269230769231</v>
      </c>
      <c r="V11" s="176" t="n">
        <v>2</v>
      </c>
      <c r="X11" s="166"/>
    </row>
    <row r="12" s="21" customFormat="true" ht="24" hidden="false" customHeight="true" outlineLevel="0" collapsed="false">
      <c r="A12" s="169"/>
      <c r="B12" s="168" t="n">
        <v>8</v>
      </c>
      <c r="C12" s="170" t="s">
        <v>199</v>
      </c>
      <c r="D12" s="168" t="n">
        <v>200</v>
      </c>
      <c r="E12" s="171" t="n">
        <v>1649.12</v>
      </c>
      <c r="F12" s="172" t="n">
        <f aca="false">ROUND(((E12/220)*D12),2)</f>
        <v>1499.2</v>
      </c>
      <c r="G12" s="177"/>
      <c r="H12" s="58"/>
      <c r="I12" s="178"/>
      <c r="J12" s="178"/>
      <c r="K12" s="179"/>
      <c r="L12" s="182"/>
      <c r="M12" s="175" t="n">
        <f aca="false">F12+H12+L12</f>
        <v>1499.2</v>
      </c>
      <c r="N12" s="172" t="n">
        <f aca="false">Uniformes!H13</f>
        <v>27.83</v>
      </c>
      <c r="O12" s="172" t="n">
        <f aca="false">ROUND((Insumos!K62/$O$6),2)</f>
        <v>1017.12</v>
      </c>
      <c r="P12" s="172"/>
      <c r="Q12" s="172"/>
      <c r="R12" s="172"/>
      <c r="S12" s="172"/>
      <c r="T12" s="172" t="n">
        <f aca="false">EPI!$G$9/Dados!$T$6</f>
        <v>4.94083333333333</v>
      </c>
      <c r="U12" s="172" t="n">
        <f aca="false">(Equipamentos!G20/Equipamentos!H20)+(Equipamentos!G24/Equipamentos!H24)+(Equipamentos!G28/Equipamentos!H28)</f>
        <v>4.54473776223776</v>
      </c>
      <c r="V12" s="176" t="n">
        <v>2</v>
      </c>
      <c r="X12" s="166"/>
    </row>
    <row r="13" s="21" customFormat="true" ht="24" hidden="false" customHeight="true" outlineLevel="0" collapsed="false">
      <c r="A13" s="169"/>
      <c r="B13" s="168" t="n">
        <v>2</v>
      </c>
      <c r="C13" s="170" t="s">
        <v>200</v>
      </c>
      <c r="D13" s="168" t="n">
        <v>200</v>
      </c>
      <c r="E13" s="171" t="n">
        <v>1649.12</v>
      </c>
      <c r="F13" s="172" t="n">
        <f aca="false">ROUND(((E13/220)*D13),2)</f>
        <v>1499.2</v>
      </c>
      <c r="G13" s="181" t="n">
        <v>0.4</v>
      </c>
      <c r="H13" s="172" t="n">
        <f aca="false">G13*G33</f>
        <v>607.2</v>
      </c>
      <c r="I13" s="178"/>
      <c r="J13" s="178"/>
      <c r="K13" s="179"/>
      <c r="L13" s="182"/>
      <c r="M13" s="175" t="n">
        <f aca="false">F13+H13+L13</f>
        <v>2106.4</v>
      </c>
      <c r="N13" s="172" t="n">
        <f aca="false">Uniformes!H13</f>
        <v>27.83</v>
      </c>
      <c r="O13" s="172" t="n">
        <f aca="false">ROUND((Insumos!K62/$O$6),2)</f>
        <v>1017.12</v>
      </c>
      <c r="P13" s="172"/>
      <c r="Q13" s="172"/>
      <c r="R13" s="172"/>
      <c r="S13" s="172"/>
      <c r="T13" s="172" t="n">
        <f aca="false">EPI!$G$9/Dados!$T$6</f>
        <v>4.94083333333333</v>
      </c>
      <c r="U13" s="172" t="n">
        <f aca="false">(Equipamentos!G20/Equipamentos!H20)+(Equipamentos!G24/Equipamentos!H24)+(Equipamentos!G28/Equipamentos!H28)</f>
        <v>4.54473776223776</v>
      </c>
      <c r="V13" s="176" t="n">
        <v>2</v>
      </c>
      <c r="X13" s="166"/>
    </row>
    <row r="14" s="21" customFormat="true" ht="28.5" hidden="false" customHeight="true" outlineLevel="0" collapsed="false">
      <c r="A14" s="169"/>
      <c r="B14" s="168" t="n">
        <v>1</v>
      </c>
      <c r="C14" s="170" t="s">
        <v>201</v>
      </c>
      <c r="D14" s="168" t="n">
        <v>200</v>
      </c>
      <c r="E14" s="171" t="n">
        <v>2463.29</v>
      </c>
      <c r="F14" s="172" t="n">
        <f aca="false">ROUND(((E14/220)*D14),2)</f>
        <v>2239.35</v>
      </c>
      <c r="G14" s="177"/>
      <c r="H14" s="58"/>
      <c r="I14" s="183" t="n">
        <v>0.12</v>
      </c>
      <c r="J14" s="184" t="n">
        <v>0.3</v>
      </c>
      <c r="K14" s="185" t="n">
        <f aca="false">F14</f>
        <v>2239.35</v>
      </c>
      <c r="L14" s="182" t="n">
        <f aca="false">ROUND((K14*I14*J14),2)</f>
        <v>80.62</v>
      </c>
      <c r="M14" s="175" t="n">
        <f aca="false">F14+H14+L14</f>
        <v>2319.97</v>
      </c>
      <c r="N14" s="172" t="n">
        <f aca="false">Uniformes!H31</f>
        <v>31.18</v>
      </c>
      <c r="O14" s="172"/>
      <c r="P14" s="172"/>
      <c r="Q14" s="172"/>
      <c r="R14" s="172" t="n">
        <f aca="false">ROUND((Insumos!K99/$R$6),2)</f>
        <v>144.52</v>
      </c>
      <c r="S14" s="172" t="n">
        <f aca="false">ROUND((Insumos!K111/$S$6),2)</f>
        <v>155.82</v>
      </c>
      <c r="T14" s="172" t="n">
        <f aca="false">EPI!$G$9/Dados!$T$6</f>
        <v>4.94083333333333</v>
      </c>
      <c r="U14" s="172" t="n">
        <f aca="false">(Equipamentos!G17/Equipamentos!H17)+(Equipamentos!G24/Equipamentos!H24)+(Equipamentos!G28/Equipamentos!H28)+(Equipamentos!G32/Equipamentos!H32)</f>
        <v>44.5051923076923</v>
      </c>
      <c r="V14" s="176" t="n">
        <v>2</v>
      </c>
      <c r="X14" s="166"/>
    </row>
    <row r="15" customFormat="false" ht="24" hidden="false" customHeight="true" outlineLevel="0" collapsed="false">
      <c r="A15" s="169"/>
      <c r="B15" s="168" t="n">
        <v>1</v>
      </c>
      <c r="C15" s="170" t="s">
        <v>202</v>
      </c>
      <c r="D15" s="168" t="n">
        <v>200</v>
      </c>
      <c r="E15" s="171" t="n">
        <v>2463.29</v>
      </c>
      <c r="F15" s="172" t="n">
        <f aca="false">ROUND(((E15/220)*D15),2)</f>
        <v>2239.35</v>
      </c>
      <c r="G15" s="177"/>
      <c r="H15" s="58"/>
      <c r="I15" s="178"/>
      <c r="J15" s="178"/>
      <c r="K15" s="179"/>
      <c r="L15" s="182"/>
      <c r="M15" s="175" t="n">
        <f aca="false">F15+H15+L15</f>
        <v>2239.35</v>
      </c>
      <c r="N15" s="172" t="n">
        <f aca="false">Uniformes!H64</f>
        <v>64.49</v>
      </c>
      <c r="O15" s="172"/>
      <c r="P15" s="172"/>
      <c r="Q15" s="172"/>
      <c r="R15" s="172"/>
      <c r="S15" s="172"/>
      <c r="T15" s="172"/>
      <c r="U15" s="172"/>
      <c r="V15" s="176" t="n">
        <v>2</v>
      </c>
      <c r="W15" s="21"/>
      <c r="X15" s="166"/>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21"/>
      <c r="SL15" s="21"/>
      <c r="SM15" s="21"/>
      <c r="SN15" s="21"/>
      <c r="SO15" s="21"/>
      <c r="SP15" s="21"/>
      <c r="SQ15" s="21"/>
      <c r="SR15" s="21"/>
      <c r="SS15" s="21"/>
      <c r="ST15" s="21"/>
      <c r="SU15" s="21"/>
      <c r="SV15" s="21"/>
      <c r="SW15" s="21"/>
      <c r="SX15" s="21"/>
      <c r="SY15" s="21"/>
      <c r="SZ15" s="21"/>
      <c r="TA15" s="21"/>
      <c r="TB15" s="21"/>
      <c r="TC15" s="21"/>
      <c r="TD15" s="21"/>
      <c r="TE15" s="21"/>
      <c r="TF15" s="21"/>
      <c r="TG15" s="21"/>
      <c r="TH15" s="21"/>
      <c r="TI15" s="21"/>
      <c r="TJ15" s="21"/>
      <c r="TK15" s="21"/>
      <c r="TL15" s="21"/>
      <c r="TM15" s="21"/>
      <c r="TN15" s="21"/>
      <c r="TO15" s="21"/>
      <c r="TP15" s="21"/>
      <c r="TQ15" s="21"/>
      <c r="TR15" s="21"/>
      <c r="TS15" s="21"/>
      <c r="TT15" s="21"/>
      <c r="TU15" s="21"/>
      <c r="TV15" s="21"/>
      <c r="TW15" s="21"/>
      <c r="TX15" s="21"/>
      <c r="TY15" s="21"/>
      <c r="TZ15" s="21"/>
      <c r="UA15" s="21"/>
      <c r="UB15" s="21"/>
      <c r="UC15" s="21"/>
      <c r="UD15" s="21"/>
      <c r="UE15" s="21"/>
      <c r="UF15" s="21"/>
      <c r="UG15" s="21"/>
      <c r="UH15" s="21"/>
      <c r="UI15" s="21"/>
      <c r="UJ15" s="21"/>
      <c r="UK15" s="21"/>
      <c r="UL15" s="21"/>
      <c r="UM15" s="21"/>
      <c r="UN15" s="21"/>
      <c r="UO15" s="21"/>
      <c r="UP15" s="21"/>
      <c r="UQ15" s="21"/>
      <c r="UR15" s="21"/>
      <c r="US15" s="21"/>
      <c r="UT15" s="21"/>
      <c r="UU15" s="21"/>
      <c r="UV15" s="21"/>
      <c r="UW15" s="21"/>
      <c r="UX15" s="21"/>
      <c r="UY15" s="21"/>
      <c r="UZ15" s="21"/>
      <c r="VA15" s="21"/>
      <c r="VB15" s="21"/>
      <c r="VC15" s="21"/>
      <c r="VD15" s="21"/>
      <c r="VE15" s="21"/>
      <c r="VF15" s="21"/>
      <c r="VG15" s="21"/>
      <c r="VH15" s="21"/>
      <c r="VI15" s="21"/>
      <c r="VJ15" s="21"/>
      <c r="VK15" s="21"/>
      <c r="VL15" s="21"/>
      <c r="VM15" s="21"/>
      <c r="VN15" s="21"/>
      <c r="VO15" s="21"/>
      <c r="VP15" s="21"/>
      <c r="VQ15" s="21"/>
      <c r="VR15" s="21"/>
      <c r="VS15" s="21"/>
      <c r="VT15" s="21"/>
      <c r="VU15" s="21"/>
      <c r="VV15" s="21"/>
      <c r="VW15" s="21"/>
      <c r="VX15" s="21"/>
      <c r="VY15" s="21"/>
      <c r="VZ15" s="21"/>
      <c r="WA15" s="21"/>
      <c r="WB15" s="21"/>
      <c r="WC15" s="21"/>
      <c r="WD15" s="21"/>
      <c r="WE15" s="21"/>
      <c r="WF15" s="21"/>
      <c r="WG15" s="21"/>
      <c r="WH15" s="21"/>
      <c r="WI15" s="21"/>
      <c r="WJ15" s="21"/>
      <c r="WK15" s="21"/>
      <c r="WL15" s="21"/>
      <c r="WM15" s="21"/>
      <c r="WN15" s="21"/>
      <c r="WO15" s="21"/>
      <c r="WP15" s="21"/>
      <c r="WQ15" s="21"/>
      <c r="WR15" s="21"/>
      <c r="WS15" s="21"/>
      <c r="WT15" s="21"/>
      <c r="WU15" s="21"/>
      <c r="WV15" s="21"/>
      <c r="WW15" s="21"/>
      <c r="WX15" s="21"/>
      <c r="WY15" s="21"/>
      <c r="WZ15" s="21"/>
      <c r="XA15" s="21"/>
      <c r="XB15" s="21"/>
      <c r="XC15" s="21"/>
      <c r="XD15" s="21"/>
      <c r="XE15" s="21"/>
      <c r="XF15" s="21"/>
      <c r="XG15" s="21"/>
      <c r="XH15" s="21"/>
      <c r="XI15" s="21"/>
      <c r="XJ15" s="21"/>
      <c r="XK15" s="21"/>
      <c r="XL15" s="21"/>
      <c r="XM15" s="21"/>
      <c r="XN15" s="21"/>
      <c r="XO15" s="21"/>
      <c r="XP15" s="21"/>
      <c r="XQ15" s="21"/>
      <c r="XR15" s="21"/>
      <c r="XS15" s="21"/>
      <c r="XT15" s="21"/>
      <c r="XU15" s="21"/>
      <c r="XV15" s="21"/>
      <c r="XW15" s="21"/>
      <c r="XX15" s="21"/>
      <c r="XY15" s="21"/>
      <c r="XZ15" s="21"/>
      <c r="YA15" s="21"/>
      <c r="YB15" s="21"/>
      <c r="YC15" s="21"/>
      <c r="YD15" s="21"/>
      <c r="YE15" s="21"/>
      <c r="YF15" s="21"/>
      <c r="YG15" s="21"/>
      <c r="YH15" s="21"/>
      <c r="YI15" s="21"/>
      <c r="YJ15" s="21"/>
      <c r="YK15" s="21"/>
      <c r="YL15" s="21"/>
      <c r="YM15" s="21"/>
      <c r="YN15" s="21"/>
      <c r="YO15" s="21"/>
      <c r="YP15" s="21"/>
      <c r="YQ15" s="21"/>
      <c r="YR15" s="21"/>
      <c r="YS15" s="21"/>
      <c r="YT15" s="21"/>
      <c r="YU15" s="21"/>
      <c r="YV15" s="21"/>
      <c r="YW15" s="21"/>
      <c r="YX15" s="21"/>
      <c r="YY15" s="21"/>
      <c r="YZ15" s="21"/>
      <c r="ZA15" s="21"/>
      <c r="ZB15" s="21"/>
      <c r="ZC15" s="21"/>
      <c r="ZD15" s="21"/>
      <c r="ZE15" s="21"/>
      <c r="ZF15" s="21"/>
      <c r="ZG15" s="21"/>
      <c r="ZH15" s="21"/>
      <c r="ZI15" s="21"/>
      <c r="ZJ15" s="21"/>
      <c r="ZK15" s="21"/>
      <c r="ZL15" s="21"/>
      <c r="ZM15" s="21"/>
      <c r="ZN15" s="21"/>
      <c r="ZO15" s="21"/>
      <c r="ZP15" s="21"/>
      <c r="ZQ15" s="21"/>
      <c r="ZR15" s="21"/>
      <c r="ZS15" s="21"/>
      <c r="ZT15" s="21"/>
      <c r="ZU15" s="21"/>
      <c r="ZV15" s="21"/>
      <c r="ZW15" s="21"/>
      <c r="ZX15" s="21"/>
      <c r="ZY15" s="21"/>
      <c r="ZZ15" s="21"/>
      <c r="AAA15" s="21"/>
      <c r="AAB15" s="21"/>
      <c r="AAC15" s="21"/>
      <c r="AAD15" s="21"/>
      <c r="AAE15" s="21"/>
      <c r="AAF15" s="21"/>
      <c r="AAG15" s="21"/>
      <c r="AAH15" s="21"/>
      <c r="AAI15" s="21"/>
      <c r="AAJ15" s="21"/>
      <c r="AAK15" s="21"/>
      <c r="AAL15" s="21"/>
      <c r="AAM15" s="21"/>
      <c r="AAN15" s="21"/>
      <c r="AAO15" s="21"/>
      <c r="AAP15" s="21"/>
      <c r="AAQ15" s="21"/>
      <c r="AAR15" s="21"/>
      <c r="AAS15" s="21"/>
      <c r="AAT15" s="21"/>
      <c r="AAU15" s="21"/>
      <c r="AAV15" s="21"/>
      <c r="AAW15" s="21"/>
      <c r="AAX15" s="21"/>
      <c r="AAY15" s="21"/>
      <c r="AAZ15" s="21"/>
      <c r="ABA15" s="21"/>
      <c r="ABB15" s="21"/>
      <c r="ABC15" s="21"/>
      <c r="ABD15" s="21"/>
      <c r="ABE15" s="21"/>
      <c r="ABF15" s="21"/>
      <c r="ABG15" s="21"/>
      <c r="ABH15" s="21"/>
      <c r="ABI15" s="21"/>
      <c r="ABJ15" s="21"/>
      <c r="ABK15" s="21"/>
      <c r="ABL15" s="21"/>
      <c r="ABM15" s="21"/>
      <c r="ABN15" s="21"/>
      <c r="ABO15" s="21"/>
      <c r="ABP15" s="21"/>
      <c r="ABQ15" s="21"/>
      <c r="ABR15" s="21"/>
      <c r="ABS15" s="21"/>
      <c r="ABT15" s="21"/>
      <c r="ABU15" s="21"/>
      <c r="ABV15" s="21"/>
      <c r="ABW15" s="21"/>
      <c r="ABX15" s="21"/>
      <c r="ABY15" s="21"/>
      <c r="ABZ15" s="21"/>
      <c r="ACA15" s="21"/>
      <c r="ACB15" s="21"/>
      <c r="ACC15" s="21"/>
      <c r="ACD15" s="21"/>
      <c r="ACE15" s="21"/>
      <c r="ACF15" s="21"/>
      <c r="ACG15" s="21"/>
      <c r="ACH15" s="21"/>
      <c r="ACI15" s="21"/>
      <c r="ACJ15" s="21"/>
      <c r="ACK15" s="21"/>
      <c r="ACL15" s="21"/>
      <c r="ACM15" s="21"/>
      <c r="ACN15" s="21"/>
      <c r="ACO15" s="21"/>
      <c r="ACP15" s="21"/>
      <c r="ACQ15" s="21"/>
      <c r="ACR15" s="21"/>
      <c r="ACS15" s="21"/>
      <c r="ACT15" s="21"/>
      <c r="ACU15" s="21"/>
      <c r="ACV15" s="21"/>
      <c r="ACW15" s="21"/>
      <c r="ACX15" s="21"/>
      <c r="ACY15" s="21"/>
      <c r="ACZ15" s="21"/>
      <c r="ADA15" s="21"/>
      <c r="ADB15" s="21"/>
      <c r="ADC15" s="21"/>
      <c r="ADD15" s="21"/>
      <c r="ADE15" s="21"/>
      <c r="ADF15" s="21"/>
      <c r="ADG15" s="21"/>
      <c r="ADH15" s="21"/>
      <c r="ADI15" s="21"/>
      <c r="ADJ15" s="21"/>
      <c r="ADK15" s="21"/>
      <c r="ADL15" s="21"/>
      <c r="ADM15" s="21"/>
      <c r="ADN15" s="21"/>
      <c r="ADO15" s="21"/>
      <c r="ADP15" s="21"/>
      <c r="ADQ15" s="21"/>
      <c r="ADR15" s="21"/>
      <c r="ADS15" s="21"/>
      <c r="ADT15" s="21"/>
      <c r="ADU15" s="21"/>
      <c r="ADV15" s="21"/>
      <c r="ADW15" s="21"/>
      <c r="ADX15" s="21"/>
      <c r="ADY15" s="21"/>
      <c r="ADZ15" s="21"/>
      <c r="AEA15" s="21"/>
      <c r="AEB15" s="21"/>
      <c r="AEC15" s="21"/>
      <c r="AED15" s="21"/>
      <c r="AEE15" s="21"/>
      <c r="AEF15" s="21"/>
      <c r="AEG15" s="21"/>
      <c r="AEH15" s="21"/>
      <c r="AEI15" s="21"/>
      <c r="AEJ15" s="21"/>
      <c r="AEK15" s="21"/>
      <c r="AEL15" s="21"/>
      <c r="AEM15" s="21"/>
      <c r="AEN15" s="21"/>
      <c r="AEO15" s="21"/>
      <c r="AEP15" s="21"/>
      <c r="AEQ15" s="21"/>
      <c r="AER15" s="21"/>
      <c r="AES15" s="21"/>
      <c r="AET15" s="21"/>
      <c r="AEU15" s="21"/>
      <c r="AEV15" s="21"/>
      <c r="AEW15" s="21"/>
      <c r="AEX15" s="21"/>
      <c r="AEY15" s="21"/>
      <c r="AEZ15" s="21"/>
      <c r="AFA15" s="21"/>
      <c r="AFB15" s="21"/>
      <c r="AFC15" s="21"/>
      <c r="AFD15" s="21"/>
      <c r="AFE15" s="21"/>
      <c r="AFF15" s="21"/>
      <c r="AFG15" s="21"/>
      <c r="AFH15" s="21"/>
      <c r="AFI15" s="21"/>
      <c r="AFJ15" s="21"/>
      <c r="AFK15" s="21"/>
      <c r="AFL15" s="21"/>
      <c r="AFM15" s="21"/>
      <c r="AFN15" s="21"/>
      <c r="AFO15" s="21"/>
      <c r="AFP15" s="21"/>
      <c r="AFQ15" s="21"/>
      <c r="AFR15" s="21"/>
      <c r="AFS15" s="21"/>
      <c r="AFT15" s="21"/>
      <c r="AFU15" s="21"/>
      <c r="AFV15" s="21"/>
      <c r="AFW15" s="21"/>
      <c r="AFX15" s="21"/>
      <c r="AFY15" s="21"/>
      <c r="AFZ15" s="21"/>
      <c r="AGA15" s="21"/>
      <c r="AGB15" s="21"/>
      <c r="AGC15" s="21"/>
      <c r="AGD15" s="21"/>
      <c r="AGE15" s="21"/>
      <c r="AGF15" s="21"/>
      <c r="AGG15" s="21"/>
      <c r="AGH15" s="21"/>
      <c r="AGI15" s="21"/>
      <c r="AGJ15" s="21"/>
      <c r="AGK15" s="21"/>
      <c r="AGL15" s="21"/>
      <c r="AGM15" s="21"/>
      <c r="AGN15" s="21"/>
      <c r="AGO15" s="21"/>
      <c r="AGP15" s="21"/>
      <c r="AGQ15" s="21"/>
      <c r="AGR15" s="21"/>
      <c r="AGS15" s="21"/>
      <c r="AGT15" s="21"/>
      <c r="AGU15" s="21"/>
      <c r="AGV15" s="21"/>
      <c r="AGW15" s="21"/>
      <c r="AGX15" s="21"/>
      <c r="AGY15" s="21"/>
      <c r="AGZ15" s="21"/>
      <c r="AHA15" s="21"/>
      <c r="AHB15" s="21"/>
      <c r="AHC15" s="21"/>
      <c r="AHD15" s="21"/>
      <c r="AHE15" s="21"/>
      <c r="AHF15" s="21"/>
      <c r="AHG15" s="21"/>
      <c r="AHH15" s="21"/>
      <c r="AHI15" s="21"/>
      <c r="AHJ15" s="21"/>
      <c r="AHK15" s="21"/>
      <c r="AHL15" s="21"/>
      <c r="AHM15" s="21"/>
      <c r="AHN15" s="21"/>
      <c r="AHO15" s="21"/>
      <c r="AHP15" s="21"/>
      <c r="AHQ15" s="21"/>
      <c r="AHR15" s="21"/>
      <c r="AHS15" s="21"/>
      <c r="AHT15" s="21"/>
      <c r="AHU15" s="21"/>
      <c r="AHV15" s="21"/>
      <c r="AHW15" s="21"/>
      <c r="AHX15" s="21"/>
      <c r="AHY15" s="21"/>
      <c r="AHZ15" s="21"/>
      <c r="AIA15" s="21"/>
      <c r="AIB15" s="21"/>
      <c r="AIC15" s="21"/>
      <c r="AID15" s="21"/>
      <c r="AIE15" s="21"/>
      <c r="AIF15" s="21"/>
      <c r="AIG15" s="21"/>
      <c r="AIH15" s="21"/>
      <c r="AII15" s="21"/>
      <c r="AIJ15" s="21"/>
      <c r="AIK15" s="21"/>
      <c r="AIL15" s="21"/>
      <c r="AIM15" s="21"/>
      <c r="AIN15" s="21"/>
      <c r="AIO15" s="21"/>
      <c r="AIP15" s="21"/>
      <c r="AIQ15" s="21"/>
      <c r="AIR15" s="21"/>
      <c r="AIS15" s="21"/>
      <c r="AIT15" s="21"/>
      <c r="AIU15" s="21"/>
      <c r="AIV15" s="21"/>
      <c r="AIW15" s="21"/>
      <c r="AIX15" s="21"/>
      <c r="AIY15" s="21"/>
      <c r="AIZ15" s="21"/>
      <c r="AJA15" s="21"/>
      <c r="AJB15" s="21"/>
      <c r="AJC15" s="21"/>
      <c r="AJD15" s="21"/>
      <c r="AJE15" s="21"/>
      <c r="AJF15" s="21"/>
      <c r="AJG15" s="21"/>
      <c r="AJH15" s="21"/>
      <c r="AJI15" s="21"/>
      <c r="AJJ15" s="21"/>
      <c r="AJK15" s="21"/>
      <c r="AJL15" s="21"/>
      <c r="AJM15" s="21"/>
      <c r="AJN15" s="21"/>
      <c r="AJO15" s="21"/>
      <c r="AJP15" s="21"/>
      <c r="AJQ15" s="21"/>
      <c r="AJR15" s="21"/>
      <c r="AJS15" s="21"/>
      <c r="AJT15" s="21"/>
      <c r="AJU15" s="21"/>
      <c r="AJV15" s="21"/>
      <c r="AJW15" s="21"/>
      <c r="AJX15" s="21"/>
      <c r="AJY15" s="21"/>
      <c r="AJZ15" s="21"/>
      <c r="AKA15" s="21"/>
      <c r="AKB15" s="21"/>
      <c r="AKC15" s="21"/>
      <c r="AKD15" s="21"/>
      <c r="AKE15" s="21"/>
      <c r="AKF15" s="21"/>
      <c r="AKG15" s="21"/>
      <c r="AKH15" s="21"/>
      <c r="AKI15" s="21"/>
      <c r="AKJ15" s="21"/>
      <c r="AKK15" s="21"/>
      <c r="AKL15" s="21"/>
      <c r="AKM15" s="21"/>
      <c r="AKN15" s="21"/>
      <c r="AKO15" s="21"/>
      <c r="AKP15" s="21"/>
      <c r="AKQ15" s="21"/>
      <c r="AKR15" s="21"/>
      <c r="AKS15" s="21"/>
      <c r="AKT15" s="21"/>
      <c r="AKU15" s="21"/>
      <c r="AKV15" s="21"/>
      <c r="AKW15" s="21"/>
      <c r="AKX15" s="21"/>
      <c r="AKY15" s="21"/>
      <c r="AKZ15" s="21"/>
      <c r="ALA15" s="21"/>
      <c r="ALB15" s="21"/>
      <c r="ALC15" s="21"/>
      <c r="ALD15" s="21"/>
      <c r="ALE15" s="21"/>
      <c r="ALF15" s="21"/>
      <c r="ALG15" s="21"/>
      <c r="ALH15" s="21"/>
      <c r="ALI15" s="21"/>
      <c r="ALJ15" s="21"/>
      <c r="ALK15" s="21"/>
      <c r="ALL15" s="21"/>
      <c r="ALM15" s="21"/>
      <c r="ALN15" s="21"/>
      <c r="ALO15" s="21"/>
      <c r="ALP15" s="21"/>
      <c r="ALQ15" s="21"/>
      <c r="ALR15" s="21"/>
      <c r="ALS15" s="21"/>
      <c r="ALT15" s="21"/>
      <c r="ALU15" s="21"/>
      <c r="ALV15" s="21"/>
      <c r="ALW15" s="21"/>
      <c r="ALX15" s="21"/>
      <c r="ALY15" s="21"/>
      <c r="ALZ15" s="21"/>
      <c r="AMA15" s="21"/>
      <c r="AMB15" s="21"/>
      <c r="AMC15" s="21"/>
      <c r="AMD15" s="21"/>
      <c r="AME15" s="21"/>
      <c r="AMF15" s="21"/>
      <c r="AMG15" s="21"/>
      <c r="AMH15" s="21"/>
      <c r="AMI15" s="21"/>
      <c r="AMJ15" s="21"/>
      <c r="AMK15" s="21"/>
    </row>
    <row r="16" customFormat="false" ht="24" hidden="false" customHeight="true" outlineLevel="0" collapsed="false">
      <c r="A16" s="169" t="s">
        <v>203</v>
      </c>
      <c r="B16" s="168" t="n">
        <v>1</v>
      </c>
      <c r="C16" s="170" t="s">
        <v>204</v>
      </c>
      <c r="D16" s="168" t="n">
        <v>200</v>
      </c>
      <c r="E16" s="171" t="n">
        <v>1649.12</v>
      </c>
      <c r="F16" s="172" t="n">
        <f aca="false">ROUND(((E16/220)*D16),2)</f>
        <v>1499.2</v>
      </c>
      <c r="G16" s="177"/>
      <c r="H16" s="58"/>
      <c r="I16" s="178"/>
      <c r="J16" s="178"/>
      <c r="K16" s="179"/>
      <c r="L16" s="182"/>
      <c r="M16" s="175" t="n">
        <f aca="false">F16+H16+L16</f>
        <v>1499.2</v>
      </c>
      <c r="N16" s="172" t="n">
        <f aca="false">Uniformes!H47</f>
        <v>64.49</v>
      </c>
      <c r="O16" s="172"/>
      <c r="P16" s="172"/>
      <c r="Q16" s="172" t="n">
        <f aca="false">ROUND((Insumos!K83/$Q$6),2)</f>
        <v>269.75</v>
      </c>
      <c r="R16" s="172"/>
      <c r="S16" s="172"/>
      <c r="T16" s="172"/>
      <c r="U16" s="172"/>
      <c r="V16" s="176" t="n">
        <v>5</v>
      </c>
      <c r="W16" s="21"/>
      <c r="X16" s="166"/>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c r="SD16" s="21"/>
      <c r="SE16" s="21"/>
      <c r="SF16" s="21"/>
      <c r="SG16" s="21"/>
      <c r="SH16" s="21"/>
      <c r="SI16" s="21"/>
      <c r="SJ16" s="21"/>
      <c r="SK16" s="21"/>
      <c r="SL16" s="21"/>
      <c r="SM16" s="21"/>
      <c r="SN16" s="21"/>
      <c r="SO16" s="21"/>
      <c r="SP16" s="21"/>
      <c r="SQ16" s="21"/>
      <c r="SR16" s="21"/>
      <c r="SS16" s="21"/>
      <c r="ST16" s="21"/>
      <c r="SU16" s="21"/>
      <c r="SV16" s="21"/>
      <c r="SW16" s="21"/>
      <c r="SX16" s="21"/>
      <c r="SY16" s="21"/>
      <c r="SZ16" s="21"/>
      <c r="TA16" s="21"/>
      <c r="TB16" s="21"/>
      <c r="TC16" s="21"/>
      <c r="TD16" s="21"/>
      <c r="TE16" s="21"/>
      <c r="TF16" s="21"/>
      <c r="TG16" s="21"/>
      <c r="TH16" s="21"/>
      <c r="TI16" s="21"/>
      <c r="TJ16" s="21"/>
      <c r="TK16" s="21"/>
      <c r="TL16" s="21"/>
      <c r="TM16" s="21"/>
      <c r="TN16" s="21"/>
      <c r="TO16" s="21"/>
      <c r="TP16" s="21"/>
      <c r="TQ16" s="21"/>
      <c r="TR16" s="21"/>
      <c r="TS16" s="21"/>
      <c r="TT16" s="21"/>
      <c r="TU16" s="21"/>
      <c r="TV16" s="21"/>
      <c r="TW16" s="21"/>
      <c r="TX16" s="21"/>
      <c r="TY16" s="21"/>
      <c r="TZ16" s="21"/>
      <c r="UA16" s="21"/>
      <c r="UB16" s="21"/>
      <c r="UC16" s="21"/>
      <c r="UD16" s="21"/>
      <c r="UE16" s="21"/>
      <c r="UF16" s="21"/>
      <c r="UG16" s="21"/>
      <c r="UH16" s="21"/>
      <c r="UI16" s="21"/>
      <c r="UJ16" s="21"/>
      <c r="UK16" s="21"/>
      <c r="UL16" s="21"/>
      <c r="UM16" s="21"/>
      <c r="UN16" s="21"/>
      <c r="UO16" s="21"/>
      <c r="UP16" s="21"/>
      <c r="UQ16" s="21"/>
      <c r="UR16" s="21"/>
      <c r="US16" s="21"/>
      <c r="UT16" s="21"/>
      <c r="UU16" s="21"/>
      <c r="UV16" s="21"/>
      <c r="UW16" s="21"/>
      <c r="UX16" s="21"/>
      <c r="UY16" s="21"/>
      <c r="UZ16" s="21"/>
      <c r="VA16" s="21"/>
      <c r="VB16" s="21"/>
      <c r="VC16" s="21"/>
      <c r="VD16" s="21"/>
      <c r="VE16" s="21"/>
      <c r="VF16" s="21"/>
      <c r="VG16" s="21"/>
      <c r="VH16" s="21"/>
      <c r="VI16" s="21"/>
      <c r="VJ16" s="21"/>
      <c r="VK16" s="21"/>
      <c r="VL16" s="21"/>
      <c r="VM16" s="21"/>
      <c r="VN16" s="21"/>
      <c r="VO16" s="21"/>
      <c r="VP16" s="21"/>
      <c r="VQ16" s="21"/>
      <c r="VR16" s="21"/>
      <c r="VS16" s="21"/>
      <c r="VT16" s="21"/>
      <c r="VU16" s="21"/>
      <c r="VV16" s="21"/>
      <c r="VW16" s="21"/>
      <c r="VX16" s="21"/>
      <c r="VY16" s="21"/>
      <c r="VZ16" s="21"/>
      <c r="WA16" s="21"/>
      <c r="WB16" s="21"/>
      <c r="WC16" s="21"/>
      <c r="WD16" s="21"/>
      <c r="WE16" s="21"/>
      <c r="WF16" s="21"/>
      <c r="WG16" s="21"/>
      <c r="WH16" s="21"/>
      <c r="WI16" s="21"/>
      <c r="WJ16" s="21"/>
      <c r="WK16" s="21"/>
      <c r="WL16" s="21"/>
      <c r="WM16" s="21"/>
      <c r="WN16" s="21"/>
      <c r="WO16" s="21"/>
      <c r="WP16" s="21"/>
      <c r="WQ16" s="21"/>
      <c r="WR16" s="21"/>
      <c r="WS16" s="21"/>
      <c r="WT16" s="21"/>
      <c r="WU16" s="21"/>
      <c r="WV16" s="21"/>
      <c r="WW16" s="21"/>
      <c r="WX16" s="21"/>
      <c r="WY16" s="21"/>
      <c r="WZ16" s="21"/>
      <c r="XA16" s="21"/>
      <c r="XB16" s="21"/>
      <c r="XC16" s="21"/>
      <c r="XD16" s="21"/>
      <c r="XE16" s="21"/>
      <c r="XF16" s="21"/>
      <c r="XG16" s="21"/>
      <c r="XH16" s="21"/>
      <c r="XI16" s="21"/>
      <c r="XJ16" s="21"/>
      <c r="XK16" s="21"/>
      <c r="XL16" s="21"/>
      <c r="XM16" s="21"/>
      <c r="XN16" s="21"/>
      <c r="XO16" s="21"/>
      <c r="XP16" s="21"/>
      <c r="XQ16" s="21"/>
      <c r="XR16" s="21"/>
      <c r="XS16" s="21"/>
      <c r="XT16" s="21"/>
      <c r="XU16" s="21"/>
      <c r="XV16" s="21"/>
      <c r="XW16" s="21"/>
      <c r="XX16" s="21"/>
      <c r="XY16" s="21"/>
      <c r="XZ16" s="21"/>
      <c r="YA16" s="21"/>
      <c r="YB16" s="21"/>
      <c r="YC16" s="21"/>
      <c r="YD16" s="21"/>
      <c r="YE16" s="21"/>
      <c r="YF16" s="21"/>
      <c r="YG16" s="21"/>
      <c r="YH16" s="21"/>
      <c r="YI16" s="21"/>
      <c r="YJ16" s="21"/>
      <c r="YK16" s="21"/>
      <c r="YL16" s="21"/>
      <c r="YM16" s="21"/>
      <c r="YN16" s="21"/>
      <c r="YO16" s="21"/>
      <c r="YP16" s="21"/>
      <c r="YQ16" s="21"/>
      <c r="YR16" s="21"/>
      <c r="YS16" s="21"/>
      <c r="YT16" s="21"/>
      <c r="YU16" s="21"/>
      <c r="YV16" s="21"/>
      <c r="YW16" s="21"/>
      <c r="YX16" s="21"/>
      <c r="YY16" s="21"/>
      <c r="YZ16" s="21"/>
      <c r="ZA16" s="21"/>
      <c r="ZB16" s="21"/>
      <c r="ZC16" s="21"/>
      <c r="ZD16" s="21"/>
      <c r="ZE16" s="21"/>
      <c r="ZF16" s="21"/>
      <c r="ZG16" s="21"/>
      <c r="ZH16" s="21"/>
      <c r="ZI16" s="21"/>
      <c r="ZJ16" s="21"/>
      <c r="ZK16" s="21"/>
      <c r="ZL16" s="21"/>
      <c r="ZM16" s="21"/>
      <c r="ZN16" s="21"/>
      <c r="ZO16" s="21"/>
      <c r="ZP16" s="21"/>
      <c r="ZQ16" s="21"/>
      <c r="ZR16" s="21"/>
      <c r="ZS16" s="21"/>
      <c r="ZT16" s="21"/>
      <c r="ZU16" s="21"/>
      <c r="ZV16" s="21"/>
      <c r="ZW16" s="21"/>
      <c r="ZX16" s="21"/>
      <c r="ZY16" s="21"/>
      <c r="ZZ16" s="21"/>
      <c r="AAA16" s="21"/>
      <c r="AAB16" s="21"/>
      <c r="AAC16" s="21"/>
      <c r="AAD16" s="21"/>
      <c r="AAE16" s="21"/>
      <c r="AAF16" s="21"/>
      <c r="AAG16" s="21"/>
      <c r="AAH16" s="21"/>
      <c r="AAI16" s="21"/>
      <c r="AAJ16" s="21"/>
      <c r="AAK16" s="21"/>
      <c r="AAL16" s="21"/>
      <c r="AAM16" s="21"/>
      <c r="AAN16" s="21"/>
      <c r="AAO16" s="21"/>
      <c r="AAP16" s="21"/>
      <c r="AAQ16" s="21"/>
      <c r="AAR16" s="21"/>
      <c r="AAS16" s="21"/>
      <c r="AAT16" s="21"/>
      <c r="AAU16" s="21"/>
      <c r="AAV16" s="21"/>
      <c r="AAW16" s="21"/>
      <c r="AAX16" s="21"/>
      <c r="AAY16" s="21"/>
      <c r="AAZ16" s="21"/>
      <c r="ABA16" s="21"/>
      <c r="ABB16" s="21"/>
      <c r="ABC16" s="21"/>
      <c r="ABD16" s="21"/>
      <c r="ABE16" s="21"/>
      <c r="ABF16" s="21"/>
      <c r="ABG16" s="21"/>
      <c r="ABH16" s="21"/>
      <c r="ABI16" s="21"/>
      <c r="ABJ16" s="21"/>
      <c r="ABK16" s="21"/>
      <c r="ABL16" s="21"/>
      <c r="ABM16" s="21"/>
      <c r="ABN16" s="21"/>
      <c r="ABO16" s="21"/>
      <c r="ABP16" s="21"/>
      <c r="ABQ16" s="21"/>
      <c r="ABR16" s="21"/>
      <c r="ABS16" s="21"/>
      <c r="ABT16" s="21"/>
      <c r="ABU16" s="21"/>
      <c r="ABV16" s="21"/>
      <c r="ABW16" s="21"/>
      <c r="ABX16" s="21"/>
      <c r="ABY16" s="21"/>
      <c r="ABZ16" s="21"/>
      <c r="ACA16" s="21"/>
      <c r="ACB16" s="21"/>
      <c r="ACC16" s="21"/>
      <c r="ACD16" s="21"/>
      <c r="ACE16" s="21"/>
      <c r="ACF16" s="21"/>
      <c r="ACG16" s="21"/>
      <c r="ACH16" s="21"/>
      <c r="ACI16" s="21"/>
      <c r="ACJ16" s="21"/>
      <c r="ACK16" s="21"/>
      <c r="ACL16" s="21"/>
      <c r="ACM16" s="21"/>
      <c r="ACN16" s="21"/>
      <c r="ACO16" s="21"/>
      <c r="ACP16" s="21"/>
      <c r="ACQ16" s="21"/>
      <c r="ACR16" s="21"/>
      <c r="ACS16" s="21"/>
      <c r="ACT16" s="21"/>
      <c r="ACU16" s="21"/>
      <c r="ACV16" s="21"/>
      <c r="ACW16" s="21"/>
      <c r="ACX16" s="21"/>
      <c r="ACY16" s="21"/>
      <c r="ACZ16" s="21"/>
      <c r="ADA16" s="21"/>
      <c r="ADB16" s="21"/>
      <c r="ADC16" s="21"/>
      <c r="ADD16" s="21"/>
      <c r="ADE16" s="21"/>
      <c r="ADF16" s="21"/>
      <c r="ADG16" s="21"/>
      <c r="ADH16" s="21"/>
      <c r="ADI16" s="21"/>
      <c r="ADJ16" s="21"/>
      <c r="ADK16" s="21"/>
      <c r="ADL16" s="21"/>
      <c r="ADM16" s="21"/>
      <c r="ADN16" s="21"/>
      <c r="ADO16" s="21"/>
      <c r="ADP16" s="21"/>
      <c r="ADQ16" s="21"/>
      <c r="ADR16" s="21"/>
      <c r="ADS16" s="21"/>
      <c r="ADT16" s="21"/>
      <c r="ADU16" s="21"/>
      <c r="ADV16" s="21"/>
      <c r="ADW16" s="21"/>
      <c r="ADX16" s="21"/>
      <c r="ADY16" s="21"/>
      <c r="ADZ16" s="21"/>
      <c r="AEA16" s="21"/>
      <c r="AEB16" s="21"/>
      <c r="AEC16" s="21"/>
      <c r="AED16" s="21"/>
      <c r="AEE16" s="21"/>
      <c r="AEF16" s="21"/>
      <c r="AEG16" s="21"/>
      <c r="AEH16" s="21"/>
      <c r="AEI16" s="21"/>
      <c r="AEJ16" s="21"/>
      <c r="AEK16" s="21"/>
      <c r="AEL16" s="21"/>
      <c r="AEM16" s="21"/>
      <c r="AEN16" s="21"/>
      <c r="AEO16" s="21"/>
      <c r="AEP16" s="21"/>
      <c r="AEQ16" s="21"/>
      <c r="AER16" s="21"/>
      <c r="AES16" s="21"/>
      <c r="AET16" s="21"/>
      <c r="AEU16" s="21"/>
      <c r="AEV16" s="21"/>
      <c r="AEW16" s="21"/>
      <c r="AEX16" s="21"/>
      <c r="AEY16" s="21"/>
      <c r="AEZ16" s="21"/>
      <c r="AFA16" s="21"/>
      <c r="AFB16" s="21"/>
      <c r="AFC16" s="21"/>
      <c r="AFD16" s="21"/>
      <c r="AFE16" s="21"/>
      <c r="AFF16" s="21"/>
      <c r="AFG16" s="21"/>
      <c r="AFH16" s="21"/>
      <c r="AFI16" s="21"/>
      <c r="AFJ16" s="21"/>
      <c r="AFK16" s="21"/>
      <c r="AFL16" s="21"/>
      <c r="AFM16" s="21"/>
      <c r="AFN16" s="21"/>
      <c r="AFO16" s="21"/>
      <c r="AFP16" s="21"/>
      <c r="AFQ16" s="21"/>
      <c r="AFR16" s="21"/>
      <c r="AFS16" s="21"/>
      <c r="AFT16" s="21"/>
      <c r="AFU16" s="21"/>
      <c r="AFV16" s="21"/>
      <c r="AFW16" s="21"/>
      <c r="AFX16" s="21"/>
      <c r="AFY16" s="21"/>
      <c r="AFZ16" s="21"/>
      <c r="AGA16" s="21"/>
      <c r="AGB16" s="21"/>
      <c r="AGC16" s="21"/>
      <c r="AGD16" s="21"/>
      <c r="AGE16" s="21"/>
      <c r="AGF16" s="21"/>
      <c r="AGG16" s="21"/>
      <c r="AGH16" s="21"/>
      <c r="AGI16" s="21"/>
      <c r="AGJ16" s="21"/>
      <c r="AGK16" s="21"/>
      <c r="AGL16" s="21"/>
      <c r="AGM16" s="21"/>
      <c r="AGN16" s="21"/>
      <c r="AGO16" s="21"/>
      <c r="AGP16" s="21"/>
      <c r="AGQ16" s="21"/>
      <c r="AGR16" s="21"/>
      <c r="AGS16" s="21"/>
      <c r="AGT16" s="21"/>
      <c r="AGU16" s="21"/>
      <c r="AGV16" s="21"/>
      <c r="AGW16" s="21"/>
      <c r="AGX16" s="21"/>
      <c r="AGY16" s="21"/>
      <c r="AGZ16" s="21"/>
      <c r="AHA16" s="21"/>
      <c r="AHB16" s="21"/>
      <c r="AHC16" s="21"/>
      <c r="AHD16" s="21"/>
      <c r="AHE16" s="21"/>
      <c r="AHF16" s="21"/>
      <c r="AHG16" s="21"/>
      <c r="AHH16" s="21"/>
      <c r="AHI16" s="21"/>
      <c r="AHJ16" s="21"/>
      <c r="AHK16" s="21"/>
      <c r="AHL16" s="21"/>
      <c r="AHM16" s="21"/>
      <c r="AHN16" s="21"/>
      <c r="AHO16" s="21"/>
      <c r="AHP16" s="21"/>
      <c r="AHQ16" s="21"/>
      <c r="AHR16" s="21"/>
      <c r="AHS16" s="21"/>
      <c r="AHT16" s="21"/>
      <c r="AHU16" s="21"/>
      <c r="AHV16" s="21"/>
      <c r="AHW16" s="21"/>
      <c r="AHX16" s="21"/>
      <c r="AHY16" s="21"/>
      <c r="AHZ16" s="21"/>
      <c r="AIA16" s="21"/>
      <c r="AIB16" s="21"/>
      <c r="AIC16" s="21"/>
      <c r="AID16" s="21"/>
      <c r="AIE16" s="21"/>
      <c r="AIF16" s="21"/>
      <c r="AIG16" s="21"/>
      <c r="AIH16" s="21"/>
      <c r="AII16" s="21"/>
      <c r="AIJ16" s="21"/>
      <c r="AIK16" s="21"/>
      <c r="AIL16" s="21"/>
      <c r="AIM16" s="21"/>
      <c r="AIN16" s="21"/>
      <c r="AIO16" s="21"/>
      <c r="AIP16" s="21"/>
      <c r="AIQ16" s="21"/>
      <c r="AIR16" s="21"/>
      <c r="AIS16" s="21"/>
      <c r="AIT16" s="21"/>
      <c r="AIU16" s="21"/>
      <c r="AIV16" s="21"/>
      <c r="AIW16" s="21"/>
      <c r="AIX16" s="21"/>
      <c r="AIY16" s="21"/>
      <c r="AIZ16" s="21"/>
      <c r="AJA16" s="21"/>
      <c r="AJB16" s="21"/>
      <c r="AJC16" s="21"/>
      <c r="AJD16" s="21"/>
      <c r="AJE16" s="21"/>
      <c r="AJF16" s="21"/>
      <c r="AJG16" s="21"/>
      <c r="AJH16" s="21"/>
      <c r="AJI16" s="21"/>
      <c r="AJJ16" s="21"/>
      <c r="AJK16" s="21"/>
      <c r="AJL16" s="21"/>
      <c r="AJM16" s="21"/>
      <c r="AJN16" s="21"/>
      <c r="AJO16" s="21"/>
      <c r="AJP16" s="21"/>
      <c r="AJQ16" s="21"/>
      <c r="AJR16" s="21"/>
      <c r="AJS16" s="21"/>
      <c r="AJT16" s="21"/>
      <c r="AJU16" s="21"/>
      <c r="AJV16" s="21"/>
      <c r="AJW16" s="21"/>
      <c r="AJX16" s="21"/>
      <c r="AJY16" s="21"/>
      <c r="AJZ16" s="21"/>
      <c r="AKA16" s="21"/>
      <c r="AKB16" s="21"/>
      <c r="AKC16" s="21"/>
      <c r="AKD16" s="21"/>
      <c r="AKE16" s="21"/>
      <c r="AKF16" s="21"/>
      <c r="AKG16" s="21"/>
      <c r="AKH16" s="21"/>
      <c r="AKI16" s="21"/>
      <c r="AKJ16" s="21"/>
      <c r="AKK16" s="21"/>
      <c r="AKL16" s="21"/>
      <c r="AKM16" s="21"/>
      <c r="AKN16" s="21"/>
      <c r="AKO16" s="21"/>
      <c r="AKP16" s="21"/>
      <c r="AKQ16" s="21"/>
      <c r="AKR16" s="21"/>
      <c r="AKS16" s="21"/>
      <c r="AKT16" s="21"/>
      <c r="AKU16" s="21"/>
      <c r="AKV16" s="21"/>
      <c r="AKW16" s="21"/>
      <c r="AKX16" s="21"/>
      <c r="AKY16" s="21"/>
      <c r="AKZ16" s="21"/>
      <c r="ALA16" s="21"/>
      <c r="ALB16" s="21"/>
      <c r="ALC16" s="21"/>
      <c r="ALD16" s="21"/>
      <c r="ALE16" s="21"/>
      <c r="ALF16" s="21"/>
      <c r="ALG16" s="21"/>
      <c r="ALH16" s="21"/>
      <c r="ALI16" s="21"/>
      <c r="ALJ16" s="21"/>
      <c r="ALK16" s="21"/>
      <c r="ALL16" s="21"/>
      <c r="ALM16" s="21"/>
      <c r="ALN16" s="21"/>
      <c r="ALO16" s="21"/>
      <c r="ALP16" s="21"/>
      <c r="ALQ16" s="21"/>
      <c r="ALR16" s="21"/>
      <c r="ALS16" s="21"/>
      <c r="ALT16" s="21"/>
      <c r="ALU16" s="21"/>
      <c r="ALV16" s="21"/>
      <c r="ALW16" s="21"/>
      <c r="ALX16" s="21"/>
      <c r="ALY16" s="21"/>
      <c r="ALZ16" s="21"/>
      <c r="AMA16" s="21"/>
      <c r="AMB16" s="21"/>
      <c r="AMC16" s="21"/>
      <c r="AMD16" s="21"/>
      <c r="AME16" s="21"/>
      <c r="AMF16" s="21"/>
      <c r="AMG16" s="21"/>
      <c r="AMH16" s="21"/>
      <c r="AMI16" s="21"/>
      <c r="AMJ16" s="21"/>
      <c r="AMK16" s="21"/>
    </row>
    <row r="17" customFormat="false" ht="34.5" hidden="false" customHeight="true" outlineLevel="0" collapsed="false">
      <c r="A17" s="163" t="s">
        <v>205</v>
      </c>
      <c r="B17" s="3"/>
      <c r="C17" s="3"/>
      <c r="D17" s="163"/>
      <c r="F17" s="163"/>
      <c r="G17" s="163" t="s">
        <v>206</v>
      </c>
      <c r="H17" s="163"/>
      <c r="I17" s="163"/>
      <c r="J17" s="163"/>
      <c r="K17" s="160"/>
      <c r="L17" s="186" t="s">
        <v>207</v>
      </c>
      <c r="M17" s="187" t="n">
        <f aca="false">SUM(M7:M16)</f>
        <v>18899.39</v>
      </c>
      <c r="N17" s="160"/>
      <c r="O17" s="160"/>
      <c r="P17" s="160"/>
      <c r="Q17" s="160"/>
      <c r="R17" s="160"/>
      <c r="S17" s="160"/>
      <c r="T17" s="160"/>
      <c r="U17" s="160"/>
      <c r="V17" s="160"/>
    </row>
    <row r="18" customFormat="false" ht="24.75" hidden="false" customHeight="true" outlineLevel="0" collapsed="false">
      <c r="A18" s="188" t="s">
        <v>208</v>
      </c>
      <c r="B18" s="188"/>
      <c r="C18" s="188"/>
      <c r="D18" s="188"/>
      <c r="E18" s="188"/>
      <c r="F18" s="188"/>
      <c r="G18" s="188"/>
      <c r="N18" s="160"/>
      <c r="O18" s="160"/>
      <c r="P18" s="160"/>
      <c r="Q18" s="160"/>
      <c r="R18" s="160"/>
      <c r="S18" s="160"/>
      <c r="T18" s="160"/>
      <c r="U18" s="160"/>
      <c r="V18" s="160"/>
    </row>
    <row r="19" customFormat="false" ht="24" hidden="false" customHeight="true" outlineLevel="0" collapsed="false">
      <c r="A19" s="189" t="n">
        <v>1</v>
      </c>
      <c r="B19" s="190" t="s">
        <v>209</v>
      </c>
      <c r="C19" s="190"/>
      <c r="D19" s="190"/>
      <c r="E19" s="191" t="s">
        <v>210</v>
      </c>
      <c r="F19" s="191"/>
      <c r="G19" s="191"/>
      <c r="H19" s="19" t="s">
        <v>211</v>
      </c>
      <c r="N19" s="160"/>
      <c r="O19" s="160"/>
      <c r="P19" s="160"/>
      <c r="Q19" s="160"/>
      <c r="R19" s="160"/>
      <c r="S19" s="160"/>
      <c r="T19" s="160"/>
      <c r="U19" s="160"/>
      <c r="V19" s="62"/>
    </row>
    <row r="20" customFormat="false" ht="24" hidden="false" customHeight="true" outlineLevel="0" collapsed="false">
      <c r="A20" s="189" t="n">
        <v>2</v>
      </c>
      <c r="B20" s="190" t="s">
        <v>212</v>
      </c>
      <c r="C20" s="190"/>
      <c r="D20" s="190"/>
      <c r="E20" s="191" t="s">
        <v>213</v>
      </c>
      <c r="F20" s="191"/>
      <c r="G20" s="191"/>
      <c r="H20" s="19" t="s">
        <v>214</v>
      </c>
      <c r="N20" s="160"/>
      <c r="O20" s="160"/>
      <c r="P20" s="160"/>
      <c r="Q20" s="160"/>
      <c r="R20" s="160"/>
      <c r="S20" s="160"/>
      <c r="T20" s="160"/>
      <c r="U20" s="160"/>
      <c r="V20" s="62"/>
    </row>
    <row r="21" s="1" customFormat="true" ht="24" hidden="false" customHeight="true" outlineLevel="0" collapsed="false">
      <c r="A21" s="189" t="n">
        <v>3</v>
      </c>
      <c r="B21" s="190" t="s">
        <v>215</v>
      </c>
      <c r="C21" s="190"/>
      <c r="D21" s="190"/>
      <c r="E21" s="191" t="s">
        <v>216</v>
      </c>
      <c r="F21" s="191"/>
      <c r="G21" s="191"/>
      <c r="H21" s="19" t="s">
        <v>217</v>
      </c>
      <c r="J21" s="3"/>
      <c r="K21" s="3"/>
      <c r="N21" s="160"/>
      <c r="O21" s="160"/>
      <c r="P21" s="160"/>
      <c r="Q21" s="160"/>
      <c r="R21" s="160"/>
      <c r="S21" s="160"/>
      <c r="T21" s="160"/>
      <c r="U21" s="160"/>
      <c r="V21" s="62"/>
    </row>
    <row r="22" s="62" customFormat="true" ht="24" hidden="false" customHeight="true" outlineLevel="0" collapsed="false">
      <c r="A22" s="189" t="n">
        <v>4</v>
      </c>
      <c r="B22" s="190" t="s">
        <v>218</v>
      </c>
      <c r="C22" s="190"/>
      <c r="D22" s="190"/>
      <c r="E22" s="191" t="s">
        <v>219</v>
      </c>
      <c r="F22" s="191"/>
      <c r="G22" s="191"/>
      <c r="H22" s="19" t="s">
        <v>220</v>
      </c>
      <c r="I22" s="1"/>
      <c r="J22" s="3"/>
      <c r="K22" s="3"/>
      <c r="L22" s="1"/>
      <c r="M22" s="1"/>
      <c r="N22" s="160"/>
      <c r="O22" s="160"/>
      <c r="P22" s="160"/>
      <c r="Q22" s="160"/>
      <c r="R22" s="160"/>
      <c r="S22" s="160"/>
      <c r="T22" s="160"/>
      <c r="U22" s="160"/>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1" customFormat="true" ht="24" hidden="false" customHeight="true" outlineLevel="0" collapsed="false">
      <c r="A23" s="189" t="n">
        <v>5</v>
      </c>
      <c r="B23" s="190" t="s">
        <v>221</v>
      </c>
      <c r="C23" s="190"/>
      <c r="D23" s="190"/>
      <c r="E23" s="191" t="s">
        <v>222</v>
      </c>
      <c r="F23" s="191"/>
      <c r="G23" s="191"/>
      <c r="H23" s="19" t="s">
        <v>223</v>
      </c>
      <c r="J23" s="3"/>
      <c r="K23" s="3"/>
      <c r="N23" s="160"/>
      <c r="O23" s="160"/>
      <c r="P23" s="160"/>
      <c r="Q23" s="160"/>
      <c r="R23" s="160"/>
      <c r="S23" s="160"/>
      <c r="T23" s="160"/>
      <c r="U23" s="160"/>
      <c r="V23" s="62"/>
    </row>
    <row r="24" s="1" customFormat="true" ht="12.75" hidden="false" customHeight="true" outlineLevel="0" collapsed="false">
      <c r="A24" s="192"/>
      <c r="H24" s="19"/>
    </row>
    <row r="25" s="1" customFormat="true" ht="24.75" hidden="false" customHeight="true" outlineLevel="0" collapsed="false">
      <c r="A25" s="188" t="s">
        <v>224</v>
      </c>
      <c r="B25" s="188"/>
      <c r="C25" s="188"/>
      <c r="D25" s="188"/>
      <c r="E25" s="188"/>
      <c r="F25" s="188"/>
      <c r="G25" s="188"/>
      <c r="H25" s="19"/>
      <c r="I25" s="160"/>
      <c r="J25" s="160"/>
      <c r="K25" s="160"/>
      <c r="L25" s="160"/>
      <c r="M25" s="160"/>
      <c r="N25" s="160"/>
      <c r="O25" s="160"/>
      <c r="P25" s="160"/>
      <c r="Q25" s="160"/>
      <c r="R25" s="160"/>
      <c r="S25" s="160"/>
      <c r="T25" s="160"/>
      <c r="U25" s="160"/>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62"/>
      <c r="ON25" s="62"/>
      <c r="OO25" s="62"/>
      <c r="OP25" s="62"/>
      <c r="OQ25" s="62"/>
      <c r="OR25" s="62"/>
      <c r="OS25" s="62"/>
      <c r="OT25" s="62"/>
      <c r="OU25" s="62"/>
      <c r="OV25" s="62"/>
      <c r="OW25" s="62"/>
      <c r="OX25" s="62"/>
      <c r="OY25" s="62"/>
      <c r="OZ25" s="62"/>
      <c r="PA25" s="62"/>
      <c r="PB25" s="62"/>
      <c r="PC25" s="62"/>
      <c r="PD25" s="62"/>
      <c r="PE25" s="62"/>
      <c r="PF25" s="62"/>
      <c r="PG25" s="62"/>
      <c r="PH25" s="62"/>
      <c r="PI25" s="62"/>
      <c r="PJ25" s="62"/>
      <c r="PK25" s="62"/>
      <c r="PL25" s="62"/>
      <c r="PM25" s="62"/>
      <c r="PN25" s="62"/>
      <c r="PO25" s="62"/>
      <c r="PP25" s="62"/>
      <c r="PQ25" s="62"/>
      <c r="PR25" s="62"/>
      <c r="PS25" s="62"/>
      <c r="PT25" s="62"/>
      <c r="PU25" s="62"/>
      <c r="PV25" s="62"/>
      <c r="PW25" s="62"/>
      <c r="PX25" s="62"/>
      <c r="PY25" s="62"/>
      <c r="PZ25" s="62"/>
      <c r="QA25" s="62"/>
      <c r="QB25" s="62"/>
      <c r="QC25" s="62"/>
      <c r="QD25" s="62"/>
      <c r="QE25" s="62"/>
      <c r="QF25" s="62"/>
      <c r="QG25" s="62"/>
      <c r="QH25" s="62"/>
      <c r="QI25" s="62"/>
      <c r="QJ25" s="62"/>
      <c r="QK25" s="62"/>
      <c r="QL25" s="62"/>
      <c r="QM25" s="62"/>
      <c r="QN25" s="62"/>
      <c r="QO25" s="62"/>
      <c r="QP25" s="62"/>
      <c r="QQ25" s="62"/>
      <c r="QR25" s="62"/>
      <c r="QS25" s="62"/>
      <c r="QT25" s="62"/>
      <c r="QU25" s="62"/>
      <c r="QV25" s="62"/>
      <c r="QW25" s="62"/>
      <c r="QX25" s="62"/>
      <c r="QY25" s="62"/>
      <c r="QZ25" s="62"/>
      <c r="RA25" s="62"/>
      <c r="RB25" s="62"/>
      <c r="RC25" s="62"/>
      <c r="RD25" s="62"/>
      <c r="RE25" s="62"/>
      <c r="RF25" s="62"/>
      <c r="RG25" s="62"/>
      <c r="RH25" s="62"/>
      <c r="RI25" s="62"/>
      <c r="RJ25" s="62"/>
      <c r="RK25" s="62"/>
      <c r="RL25" s="62"/>
      <c r="RM25" s="62"/>
      <c r="RN25" s="62"/>
      <c r="RO25" s="62"/>
      <c r="RP25" s="62"/>
      <c r="RQ25" s="62"/>
      <c r="RR25" s="62"/>
      <c r="RS25" s="62"/>
      <c r="RT25" s="62"/>
      <c r="RU25" s="62"/>
      <c r="RV25" s="62"/>
      <c r="RW25" s="62"/>
      <c r="RX25" s="62"/>
      <c r="RY25" s="62"/>
      <c r="RZ25" s="62"/>
      <c r="SA25" s="62"/>
      <c r="SB25" s="62"/>
      <c r="SC25" s="62"/>
      <c r="SD25" s="62"/>
      <c r="SE25" s="62"/>
      <c r="SF25" s="62"/>
      <c r="SG25" s="62"/>
      <c r="SH25" s="62"/>
      <c r="SI25" s="62"/>
      <c r="SJ25" s="62"/>
      <c r="SK25" s="62"/>
      <c r="SL25" s="62"/>
      <c r="SM25" s="62"/>
      <c r="SN25" s="62"/>
      <c r="SO25" s="62"/>
      <c r="SP25" s="62"/>
      <c r="SQ25" s="62"/>
      <c r="SR25" s="62"/>
      <c r="SS25" s="62"/>
      <c r="ST25" s="62"/>
      <c r="SU25" s="62"/>
      <c r="SV25" s="62"/>
      <c r="SW25" s="62"/>
      <c r="SX25" s="62"/>
      <c r="SY25" s="62"/>
      <c r="SZ25" s="62"/>
      <c r="TA25" s="62"/>
      <c r="TB25" s="62"/>
      <c r="TC25" s="62"/>
      <c r="TD25" s="62"/>
      <c r="TE25" s="62"/>
      <c r="TF25" s="62"/>
      <c r="TG25" s="62"/>
      <c r="TH25" s="62"/>
      <c r="TI25" s="62"/>
      <c r="TJ25" s="62"/>
      <c r="TK25" s="62"/>
      <c r="TL25" s="62"/>
      <c r="TM25" s="62"/>
      <c r="TN25" s="62"/>
      <c r="TO25" s="62"/>
      <c r="TP25" s="62"/>
      <c r="TQ25" s="62"/>
      <c r="TR25" s="62"/>
      <c r="TS25" s="62"/>
      <c r="TT25" s="62"/>
      <c r="TU25" s="62"/>
      <c r="TV25" s="62"/>
      <c r="TW25" s="62"/>
      <c r="TX25" s="62"/>
      <c r="TY25" s="62"/>
      <c r="TZ25" s="62"/>
      <c r="UA25" s="62"/>
      <c r="UB25" s="62"/>
      <c r="UC25" s="62"/>
      <c r="UD25" s="62"/>
      <c r="UE25" s="62"/>
      <c r="UF25" s="62"/>
      <c r="UG25" s="62"/>
      <c r="UH25" s="62"/>
      <c r="UI25" s="62"/>
      <c r="UJ25" s="62"/>
      <c r="UK25" s="62"/>
      <c r="UL25" s="62"/>
      <c r="UM25" s="62"/>
      <c r="UN25" s="62"/>
      <c r="UO25" s="62"/>
      <c r="UP25" s="62"/>
      <c r="UQ25" s="62"/>
      <c r="UR25" s="62"/>
      <c r="US25" s="62"/>
      <c r="UT25" s="62"/>
      <c r="UU25" s="62"/>
      <c r="UV25" s="62"/>
      <c r="UW25" s="62"/>
      <c r="UX25" s="62"/>
      <c r="UY25" s="62"/>
      <c r="UZ25" s="62"/>
      <c r="VA25" s="62"/>
      <c r="VB25" s="62"/>
      <c r="VC25" s="62"/>
      <c r="VD25" s="62"/>
      <c r="VE25" s="62"/>
      <c r="VF25" s="62"/>
      <c r="VG25" s="62"/>
      <c r="VH25" s="62"/>
      <c r="VI25" s="62"/>
      <c r="VJ25" s="62"/>
      <c r="VK25" s="62"/>
      <c r="VL25" s="62"/>
      <c r="VM25" s="62"/>
      <c r="VN25" s="62"/>
      <c r="VO25" s="62"/>
      <c r="VP25" s="62"/>
      <c r="VQ25" s="62"/>
      <c r="VR25" s="62"/>
      <c r="VS25" s="62"/>
      <c r="VT25" s="62"/>
      <c r="VU25" s="62"/>
      <c r="VV25" s="62"/>
      <c r="VW25" s="62"/>
      <c r="VX25" s="62"/>
      <c r="VY25" s="62"/>
      <c r="VZ25" s="62"/>
      <c r="WA25" s="62"/>
      <c r="WB25" s="62"/>
      <c r="WC25" s="62"/>
      <c r="WD25" s="62"/>
      <c r="WE25" s="62"/>
      <c r="WF25" s="62"/>
      <c r="WG25" s="62"/>
      <c r="WH25" s="62"/>
      <c r="WI25" s="62"/>
      <c r="WJ25" s="62"/>
      <c r="WK25" s="62"/>
      <c r="WL25" s="62"/>
      <c r="WM25" s="62"/>
      <c r="WN25" s="62"/>
      <c r="WO25" s="62"/>
      <c r="WP25" s="62"/>
      <c r="WQ25" s="62"/>
      <c r="WR25" s="62"/>
      <c r="WS25" s="62"/>
      <c r="WT25" s="62"/>
      <c r="WU25" s="62"/>
      <c r="WV25" s="62"/>
      <c r="WW25" s="62"/>
      <c r="WX25" s="62"/>
      <c r="WY25" s="62"/>
      <c r="WZ25" s="62"/>
      <c r="XA25" s="62"/>
      <c r="XB25" s="62"/>
      <c r="XC25" s="62"/>
      <c r="XD25" s="62"/>
      <c r="XE25" s="62"/>
      <c r="XF25" s="62"/>
      <c r="XG25" s="62"/>
      <c r="XH25" s="62"/>
      <c r="XI25" s="62"/>
      <c r="XJ25" s="62"/>
      <c r="XK25" s="62"/>
      <c r="XL25" s="62"/>
      <c r="XM25" s="62"/>
      <c r="XN25" s="62"/>
      <c r="XO25" s="62"/>
      <c r="XP25" s="62"/>
      <c r="XQ25" s="62"/>
      <c r="XR25" s="62"/>
      <c r="XS25" s="62"/>
      <c r="XT25" s="62"/>
      <c r="XU25" s="62"/>
      <c r="XV25" s="62"/>
      <c r="XW25" s="62"/>
      <c r="XX25" s="62"/>
      <c r="XY25" s="62"/>
      <c r="XZ25" s="62"/>
      <c r="YA25" s="62"/>
      <c r="YB25" s="62"/>
      <c r="YC25" s="62"/>
      <c r="YD25" s="62"/>
      <c r="YE25" s="62"/>
      <c r="YF25" s="62"/>
      <c r="YG25" s="62"/>
      <c r="YH25" s="62"/>
      <c r="YI25" s="62"/>
      <c r="YJ25" s="62"/>
      <c r="YK25" s="62"/>
      <c r="YL25" s="62"/>
      <c r="YM25" s="62"/>
      <c r="YN25" s="62"/>
      <c r="YO25" s="62"/>
      <c r="YP25" s="62"/>
      <c r="YQ25" s="62"/>
      <c r="YR25" s="62"/>
      <c r="YS25" s="62"/>
      <c r="YT25" s="62"/>
      <c r="YU25" s="62"/>
      <c r="YV25" s="62"/>
      <c r="YW25" s="62"/>
      <c r="YX25" s="62"/>
      <c r="YY25" s="62"/>
      <c r="YZ25" s="62"/>
      <c r="ZA25" s="62"/>
      <c r="ZB25" s="62"/>
      <c r="ZC25" s="62"/>
      <c r="ZD25" s="62"/>
      <c r="ZE25" s="62"/>
      <c r="ZF25" s="62"/>
      <c r="ZG25" s="62"/>
      <c r="ZH25" s="62"/>
      <c r="ZI25" s="62"/>
      <c r="ZJ25" s="62"/>
      <c r="ZK25" s="62"/>
      <c r="ZL25" s="62"/>
      <c r="ZM25" s="62"/>
      <c r="ZN25" s="62"/>
      <c r="ZO25" s="62"/>
      <c r="ZP25" s="62"/>
      <c r="ZQ25" s="62"/>
      <c r="ZR25" s="62"/>
      <c r="ZS25" s="62"/>
      <c r="ZT25" s="62"/>
      <c r="ZU25" s="62"/>
      <c r="ZV25" s="62"/>
      <c r="ZW25" s="62"/>
      <c r="ZX25" s="62"/>
      <c r="ZY25" s="62"/>
      <c r="ZZ25" s="62"/>
      <c r="AAA25" s="62"/>
      <c r="AAB25" s="62"/>
      <c r="AAC25" s="62"/>
      <c r="AAD25" s="62"/>
      <c r="AAE25" s="62"/>
      <c r="AAF25" s="62"/>
      <c r="AAG25" s="62"/>
      <c r="AAH25" s="62"/>
      <c r="AAI25" s="62"/>
      <c r="AAJ25" s="62"/>
      <c r="AAK25" s="62"/>
      <c r="AAL25" s="62"/>
      <c r="AAM25" s="62"/>
      <c r="AAN25" s="62"/>
      <c r="AAO25" s="62"/>
      <c r="AAP25" s="62"/>
      <c r="AAQ25" s="62"/>
      <c r="AAR25" s="62"/>
      <c r="AAS25" s="62"/>
      <c r="AAT25" s="62"/>
      <c r="AAU25" s="62"/>
      <c r="AAV25" s="62"/>
      <c r="AAW25" s="62"/>
      <c r="AAX25" s="62"/>
      <c r="AAY25" s="62"/>
      <c r="AAZ25" s="62"/>
      <c r="ABA25" s="62"/>
      <c r="ABB25" s="62"/>
      <c r="ABC25" s="62"/>
      <c r="ABD25" s="62"/>
      <c r="ABE25" s="62"/>
      <c r="ABF25" s="62"/>
      <c r="ABG25" s="62"/>
      <c r="ABH25" s="62"/>
      <c r="ABI25" s="62"/>
      <c r="ABJ25" s="62"/>
      <c r="ABK25" s="62"/>
      <c r="ABL25" s="62"/>
      <c r="ABM25" s="62"/>
      <c r="ABN25" s="62"/>
      <c r="ABO25" s="62"/>
      <c r="ABP25" s="62"/>
      <c r="ABQ25" s="62"/>
      <c r="ABR25" s="62"/>
      <c r="ABS25" s="62"/>
      <c r="ABT25" s="62"/>
      <c r="ABU25" s="62"/>
      <c r="ABV25" s="62"/>
      <c r="ABW25" s="62"/>
      <c r="ABX25" s="62"/>
      <c r="ABY25" s="62"/>
      <c r="ABZ25" s="62"/>
      <c r="ACA25" s="62"/>
      <c r="ACB25" s="62"/>
      <c r="ACC25" s="62"/>
      <c r="ACD25" s="62"/>
      <c r="ACE25" s="62"/>
      <c r="ACF25" s="62"/>
      <c r="ACG25" s="62"/>
      <c r="ACH25" s="62"/>
      <c r="ACI25" s="62"/>
      <c r="ACJ25" s="62"/>
      <c r="ACK25" s="62"/>
      <c r="ACL25" s="62"/>
      <c r="ACM25" s="62"/>
      <c r="ACN25" s="62"/>
      <c r="ACO25" s="62"/>
      <c r="ACP25" s="62"/>
      <c r="ACQ25" s="62"/>
      <c r="ACR25" s="62"/>
      <c r="ACS25" s="62"/>
      <c r="ACT25" s="62"/>
      <c r="ACU25" s="62"/>
      <c r="ACV25" s="62"/>
      <c r="ACW25" s="62"/>
      <c r="ACX25" s="62"/>
      <c r="ACY25" s="62"/>
      <c r="ACZ25" s="62"/>
      <c r="ADA25" s="62"/>
      <c r="ADB25" s="62"/>
      <c r="ADC25" s="62"/>
      <c r="ADD25" s="62"/>
      <c r="ADE25" s="62"/>
      <c r="ADF25" s="62"/>
      <c r="ADG25" s="62"/>
      <c r="ADH25" s="62"/>
      <c r="ADI25" s="62"/>
      <c r="ADJ25" s="62"/>
      <c r="ADK25" s="62"/>
      <c r="ADL25" s="62"/>
      <c r="ADM25" s="62"/>
      <c r="ADN25" s="62"/>
      <c r="ADO25" s="62"/>
      <c r="ADP25" s="62"/>
      <c r="ADQ25" s="62"/>
      <c r="ADR25" s="62"/>
      <c r="ADS25" s="62"/>
      <c r="ADT25" s="62"/>
      <c r="ADU25" s="62"/>
      <c r="ADV25" s="62"/>
      <c r="ADW25" s="62"/>
      <c r="ADX25" s="62"/>
      <c r="ADY25" s="62"/>
      <c r="ADZ25" s="62"/>
      <c r="AEA25" s="62"/>
      <c r="AEB25" s="62"/>
      <c r="AEC25" s="62"/>
      <c r="AED25" s="62"/>
      <c r="AEE25" s="62"/>
      <c r="AEF25" s="62"/>
      <c r="AEG25" s="62"/>
      <c r="AEH25" s="62"/>
      <c r="AEI25" s="62"/>
      <c r="AEJ25" s="62"/>
      <c r="AEK25" s="62"/>
      <c r="AEL25" s="62"/>
      <c r="AEM25" s="62"/>
      <c r="AEN25" s="62"/>
      <c r="AEO25" s="62"/>
      <c r="AEP25" s="62"/>
      <c r="AEQ25" s="62"/>
      <c r="AER25" s="62"/>
      <c r="AES25" s="62"/>
      <c r="AET25" s="62"/>
      <c r="AEU25" s="62"/>
      <c r="AEV25" s="62"/>
      <c r="AEW25" s="62"/>
      <c r="AEX25" s="62"/>
      <c r="AEY25" s="62"/>
      <c r="AEZ25" s="62"/>
      <c r="AFA25" s="62"/>
      <c r="AFB25" s="62"/>
      <c r="AFC25" s="62"/>
      <c r="AFD25" s="62"/>
      <c r="AFE25" s="62"/>
      <c r="AFF25" s="62"/>
      <c r="AFG25" s="62"/>
      <c r="AFH25" s="62"/>
      <c r="AFI25" s="62"/>
      <c r="AFJ25" s="62"/>
      <c r="AFK25" s="62"/>
      <c r="AFL25" s="62"/>
      <c r="AFM25" s="62"/>
      <c r="AFN25" s="62"/>
      <c r="AFO25" s="62"/>
      <c r="AFP25" s="62"/>
      <c r="AFQ25" s="62"/>
      <c r="AFR25" s="62"/>
      <c r="AFS25" s="62"/>
      <c r="AFT25" s="62"/>
      <c r="AFU25" s="62"/>
      <c r="AFV25" s="62"/>
      <c r="AFW25" s="62"/>
      <c r="AFX25" s="62"/>
      <c r="AFY25" s="62"/>
      <c r="AFZ25" s="62"/>
      <c r="AGA25" s="62"/>
      <c r="AGB25" s="62"/>
      <c r="AGC25" s="62"/>
      <c r="AGD25" s="62"/>
      <c r="AGE25" s="62"/>
      <c r="AGF25" s="62"/>
      <c r="AGG25" s="62"/>
      <c r="AGH25" s="62"/>
      <c r="AGI25" s="62"/>
      <c r="AGJ25" s="62"/>
      <c r="AGK25" s="62"/>
      <c r="AGL25" s="62"/>
      <c r="AGM25" s="62"/>
      <c r="AGN25" s="62"/>
      <c r="AGO25" s="62"/>
      <c r="AGP25" s="62"/>
      <c r="AGQ25" s="62"/>
      <c r="AGR25" s="62"/>
      <c r="AGS25" s="62"/>
      <c r="AGT25" s="62"/>
      <c r="AGU25" s="62"/>
      <c r="AGV25" s="62"/>
      <c r="AGW25" s="62"/>
      <c r="AGX25" s="62"/>
      <c r="AGY25" s="62"/>
      <c r="AGZ25" s="62"/>
      <c r="AHA25" s="62"/>
      <c r="AHB25" s="62"/>
      <c r="AHC25" s="62"/>
      <c r="AHD25" s="62"/>
      <c r="AHE25" s="62"/>
      <c r="AHF25" s="62"/>
      <c r="AHG25" s="62"/>
      <c r="AHH25" s="62"/>
      <c r="AHI25" s="62"/>
      <c r="AHJ25" s="62"/>
      <c r="AHK25" s="62"/>
      <c r="AHL25" s="62"/>
      <c r="AHM25" s="62"/>
      <c r="AHN25" s="62"/>
      <c r="AHO25" s="62"/>
      <c r="AHP25" s="62"/>
      <c r="AHQ25" s="62"/>
      <c r="AHR25" s="62"/>
      <c r="AHS25" s="62"/>
      <c r="AHT25" s="62"/>
      <c r="AHU25" s="62"/>
      <c r="AHV25" s="62"/>
      <c r="AHW25" s="62"/>
      <c r="AHX25" s="62"/>
      <c r="AHY25" s="62"/>
      <c r="AHZ25" s="62"/>
      <c r="AIA25" s="62"/>
      <c r="AIB25" s="62"/>
      <c r="AIC25" s="62"/>
      <c r="AID25" s="62"/>
      <c r="AIE25" s="62"/>
      <c r="AIF25" s="62"/>
      <c r="AIG25" s="62"/>
      <c r="AIH25" s="62"/>
      <c r="AII25" s="62"/>
      <c r="AIJ25" s="62"/>
      <c r="AIK25" s="62"/>
      <c r="AIL25" s="62"/>
      <c r="AIM25" s="62"/>
      <c r="AIN25" s="62"/>
      <c r="AIO25" s="62"/>
      <c r="AIP25" s="62"/>
      <c r="AIQ25" s="62"/>
      <c r="AIR25" s="62"/>
      <c r="AIS25" s="62"/>
      <c r="AIT25" s="62"/>
      <c r="AIU25" s="62"/>
      <c r="AIV25" s="62"/>
      <c r="AIW25" s="62"/>
      <c r="AIX25" s="62"/>
      <c r="AIY25" s="62"/>
      <c r="AIZ25" s="62"/>
      <c r="AJA25" s="62"/>
      <c r="AJB25" s="62"/>
      <c r="AJC25" s="62"/>
      <c r="AJD25" s="62"/>
      <c r="AJE25" s="62"/>
      <c r="AJF25" s="62"/>
      <c r="AJG25" s="62"/>
      <c r="AJH25" s="62"/>
      <c r="AJI25" s="62"/>
      <c r="AJJ25" s="62"/>
      <c r="AJK25" s="62"/>
      <c r="AJL25" s="62"/>
      <c r="AJM25" s="62"/>
      <c r="AJN25" s="62"/>
      <c r="AJO25" s="62"/>
      <c r="AJP25" s="62"/>
      <c r="AJQ25" s="62"/>
      <c r="AJR25" s="62"/>
      <c r="AJS25" s="62"/>
      <c r="AJT25" s="62"/>
      <c r="AJU25" s="62"/>
      <c r="AJV25" s="62"/>
      <c r="AJW25" s="62"/>
      <c r="AJX25" s="62"/>
      <c r="AJY25" s="62"/>
      <c r="AJZ25" s="62"/>
      <c r="AKA25" s="62"/>
      <c r="AKB25" s="62"/>
      <c r="AKC25" s="62"/>
      <c r="AKD25" s="62"/>
      <c r="AKE25" s="62"/>
      <c r="AKF25" s="62"/>
      <c r="AKG25" s="62"/>
      <c r="AKH25" s="62"/>
      <c r="AKI25" s="62"/>
      <c r="AKJ25" s="62"/>
      <c r="AKK25" s="62"/>
      <c r="AKL25" s="62"/>
      <c r="AKM25" s="62"/>
      <c r="AKN25" s="62"/>
      <c r="AKO25" s="62"/>
      <c r="AKP25" s="62"/>
      <c r="AKQ25" s="62"/>
      <c r="AKR25" s="62"/>
      <c r="AKS25" s="62"/>
      <c r="AKT25" s="62"/>
      <c r="AKU25" s="62"/>
      <c r="AKV25" s="62"/>
      <c r="AKW25" s="62"/>
      <c r="AKX25" s="62"/>
      <c r="AKY25" s="62"/>
      <c r="AKZ25" s="62"/>
      <c r="ALA25" s="62"/>
      <c r="ALB25" s="62"/>
      <c r="ALC25" s="62"/>
      <c r="ALD25" s="62"/>
      <c r="ALE25" s="62"/>
      <c r="ALF25" s="62"/>
      <c r="ALG25" s="62"/>
      <c r="ALH25" s="62"/>
      <c r="ALI25" s="62"/>
      <c r="ALJ25" s="62"/>
      <c r="ALK25" s="62"/>
      <c r="ALL25" s="62"/>
      <c r="ALM25" s="62"/>
      <c r="ALN25" s="62"/>
      <c r="ALO25" s="62"/>
      <c r="ALP25" s="62"/>
      <c r="ALQ25" s="62"/>
      <c r="ALR25" s="62"/>
      <c r="ALS25" s="62"/>
      <c r="ALT25" s="62"/>
      <c r="ALU25" s="62"/>
      <c r="ALV25" s="62"/>
      <c r="ALW25" s="62"/>
      <c r="ALX25" s="62"/>
      <c r="ALY25" s="62"/>
      <c r="ALZ25" s="62"/>
      <c r="AMA25" s="62"/>
      <c r="AMB25" s="62"/>
      <c r="AMC25" s="62"/>
      <c r="AMD25" s="62"/>
      <c r="AME25" s="62"/>
      <c r="AMF25" s="62"/>
      <c r="AMG25" s="62"/>
      <c r="AMH25" s="62"/>
      <c r="AMI25" s="62"/>
      <c r="AMJ25" s="62"/>
      <c r="AMK25" s="62"/>
    </row>
    <row r="26" s="1" customFormat="true" ht="24" hidden="false" customHeight="true" outlineLevel="0" collapsed="false">
      <c r="A26" s="189" t="s">
        <v>225</v>
      </c>
      <c r="B26" s="190" t="s">
        <v>226</v>
      </c>
      <c r="C26" s="190"/>
      <c r="D26" s="190"/>
      <c r="E26" s="190"/>
      <c r="F26" s="190"/>
      <c r="G26" s="181" t="n">
        <f aca="false">Encargos!C57</f>
        <v>0.764</v>
      </c>
      <c r="H26" s="19"/>
    </row>
    <row r="27" s="1" customFormat="true" ht="12.75" hidden="false" customHeight="true" outlineLevel="0" collapsed="false">
      <c r="A27" s="192"/>
      <c r="G27" s="3"/>
      <c r="H27" s="19"/>
    </row>
    <row r="28" s="1" customFormat="true" ht="24.75" hidden="false" customHeight="true" outlineLevel="0" collapsed="false">
      <c r="A28" s="129" t="n">
        <v>1</v>
      </c>
      <c r="B28" s="190" t="s">
        <v>227</v>
      </c>
      <c r="C28" s="190"/>
      <c r="D28" s="190"/>
      <c r="E28" s="190"/>
      <c r="F28" s="190"/>
      <c r="G28" s="193" t="n">
        <f aca="false">G29*G30</f>
        <v>0.06</v>
      </c>
      <c r="H28" s="19"/>
    </row>
    <row r="29" s="1" customFormat="true" ht="24.75" hidden="false" customHeight="true" outlineLevel="0" collapsed="false">
      <c r="A29" s="129" t="n">
        <v>2</v>
      </c>
      <c r="B29" s="190" t="s">
        <v>228</v>
      </c>
      <c r="C29" s="190"/>
      <c r="D29" s="190"/>
      <c r="E29" s="190"/>
      <c r="F29" s="190"/>
      <c r="G29" s="194" t="n">
        <v>0.03</v>
      </c>
      <c r="H29" s="19" t="s">
        <v>229</v>
      </c>
    </row>
    <row r="30" s="1" customFormat="true" ht="24.75" hidden="false" customHeight="true" outlineLevel="0" collapsed="false">
      <c r="A30" s="129" t="n">
        <v>3</v>
      </c>
      <c r="B30" s="190" t="s">
        <v>230</v>
      </c>
      <c r="C30" s="190"/>
      <c r="D30" s="190"/>
      <c r="E30" s="190"/>
      <c r="F30" s="190"/>
      <c r="G30" s="195" t="n">
        <v>2</v>
      </c>
      <c r="H30" s="19" t="s">
        <v>231</v>
      </c>
    </row>
    <row r="31" s="1" customFormat="true" ht="12.75" hidden="false" customHeight="true" outlineLevel="0" collapsed="false">
      <c r="A31" s="192"/>
      <c r="B31" s="160"/>
      <c r="C31" s="160"/>
      <c r="D31" s="160"/>
      <c r="E31" s="160"/>
      <c r="F31" s="160"/>
      <c r="H31" s="19"/>
    </row>
    <row r="32" s="62" customFormat="true" ht="24.75" hidden="false" customHeight="true" outlineLevel="0" collapsed="false">
      <c r="A32" s="188" t="s">
        <v>232</v>
      </c>
      <c r="B32" s="188"/>
      <c r="C32" s="188"/>
      <c r="D32" s="188"/>
      <c r="E32" s="188"/>
      <c r="F32" s="188"/>
      <c r="G32" s="188"/>
      <c r="H32" s="19"/>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1" customFormat="true" ht="24.75" hidden="false" customHeight="true" outlineLevel="0" collapsed="false">
      <c r="A33" s="129" t="n">
        <v>1</v>
      </c>
      <c r="B33" s="190" t="s">
        <v>233</v>
      </c>
      <c r="C33" s="190"/>
      <c r="D33" s="190"/>
      <c r="E33" s="190"/>
      <c r="F33" s="190"/>
      <c r="G33" s="171" t="n">
        <v>1518</v>
      </c>
      <c r="H33" s="19" t="s">
        <v>234</v>
      </c>
    </row>
    <row r="34" s="1" customFormat="true" ht="12.75" hidden="false" customHeight="true" outlineLevel="0" collapsed="false">
      <c r="A34" s="196"/>
      <c r="B34" s="197"/>
      <c r="C34" s="197"/>
      <c r="D34" s="197"/>
      <c r="E34" s="197"/>
      <c r="F34" s="197"/>
      <c r="G34" s="198"/>
      <c r="H34" s="19"/>
    </row>
    <row r="35" s="1" customFormat="true" ht="24.75" hidden="false" customHeight="true" outlineLevel="0" collapsed="false">
      <c r="A35" s="188" t="s">
        <v>235</v>
      </c>
      <c r="B35" s="188"/>
      <c r="C35" s="188"/>
      <c r="D35" s="188"/>
      <c r="E35" s="188"/>
      <c r="F35" s="188"/>
      <c r="G35" s="188"/>
      <c r="H35" s="19"/>
      <c r="K35" s="160"/>
      <c r="L35" s="160"/>
      <c r="M35" s="160"/>
      <c r="N35" s="160"/>
      <c r="O35" s="160"/>
      <c r="P35" s="160"/>
      <c r="Q35" s="160"/>
      <c r="R35" s="160"/>
      <c r="S35" s="160"/>
      <c r="T35" s="160"/>
      <c r="U35" s="160"/>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2"/>
      <c r="LQ35" s="62"/>
      <c r="LR35" s="62"/>
      <c r="LS35" s="62"/>
      <c r="LT35" s="62"/>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62"/>
      <c r="ON35" s="62"/>
      <c r="OO35" s="62"/>
      <c r="OP35" s="62"/>
      <c r="OQ35" s="62"/>
      <c r="OR35" s="62"/>
      <c r="OS35" s="62"/>
      <c r="OT35" s="62"/>
      <c r="OU35" s="62"/>
      <c r="OV35" s="62"/>
      <c r="OW35" s="62"/>
      <c r="OX35" s="62"/>
      <c r="OY35" s="62"/>
      <c r="OZ35" s="62"/>
      <c r="PA35" s="62"/>
      <c r="PB35" s="62"/>
      <c r="PC35" s="62"/>
      <c r="PD35" s="62"/>
      <c r="PE35" s="62"/>
      <c r="PF35" s="62"/>
      <c r="PG35" s="62"/>
      <c r="PH35" s="62"/>
      <c r="PI35" s="62"/>
      <c r="PJ35" s="62"/>
      <c r="PK35" s="62"/>
      <c r="PL35" s="62"/>
      <c r="PM35" s="62"/>
      <c r="PN35" s="62"/>
      <c r="PO35" s="62"/>
      <c r="PP35" s="62"/>
      <c r="PQ35" s="62"/>
      <c r="PR35" s="62"/>
      <c r="PS35" s="62"/>
      <c r="PT35" s="62"/>
      <c r="PU35" s="62"/>
      <c r="PV35" s="62"/>
      <c r="PW35" s="62"/>
      <c r="PX35" s="62"/>
      <c r="PY35" s="62"/>
      <c r="PZ35" s="62"/>
      <c r="QA35" s="62"/>
      <c r="QB35" s="62"/>
      <c r="QC35" s="62"/>
      <c r="QD35" s="62"/>
      <c r="QE35" s="62"/>
      <c r="QF35" s="62"/>
      <c r="QG35" s="62"/>
      <c r="QH35" s="62"/>
      <c r="QI35" s="62"/>
      <c r="QJ35" s="62"/>
      <c r="QK35" s="62"/>
      <c r="QL35" s="62"/>
      <c r="QM35" s="62"/>
      <c r="QN35" s="62"/>
      <c r="QO35" s="62"/>
      <c r="QP35" s="62"/>
      <c r="QQ35" s="62"/>
      <c r="QR35" s="62"/>
      <c r="QS35" s="62"/>
      <c r="QT35" s="62"/>
      <c r="QU35" s="62"/>
      <c r="QV35" s="62"/>
      <c r="QW35" s="62"/>
      <c r="QX35" s="62"/>
      <c r="QY35" s="62"/>
      <c r="QZ35" s="62"/>
      <c r="RA35" s="62"/>
      <c r="RB35" s="62"/>
      <c r="RC35" s="62"/>
      <c r="RD35" s="62"/>
      <c r="RE35" s="62"/>
      <c r="RF35" s="62"/>
      <c r="RG35" s="62"/>
      <c r="RH35" s="62"/>
      <c r="RI35" s="62"/>
      <c r="RJ35" s="62"/>
      <c r="RK35" s="62"/>
      <c r="RL35" s="62"/>
      <c r="RM35" s="62"/>
      <c r="RN35" s="62"/>
      <c r="RO35" s="62"/>
      <c r="RP35" s="62"/>
      <c r="RQ35" s="62"/>
      <c r="RR35" s="62"/>
      <c r="RS35" s="62"/>
      <c r="RT35" s="62"/>
      <c r="RU35" s="62"/>
      <c r="RV35" s="62"/>
      <c r="RW35" s="62"/>
      <c r="RX35" s="62"/>
      <c r="RY35" s="62"/>
      <c r="RZ35" s="62"/>
      <c r="SA35" s="62"/>
      <c r="SB35" s="62"/>
      <c r="SC35" s="62"/>
      <c r="SD35" s="62"/>
      <c r="SE35" s="62"/>
      <c r="SF35" s="62"/>
      <c r="SG35" s="62"/>
      <c r="SH35" s="62"/>
      <c r="SI35" s="62"/>
      <c r="SJ35" s="62"/>
      <c r="SK35" s="62"/>
      <c r="SL35" s="62"/>
      <c r="SM35" s="62"/>
      <c r="SN35" s="62"/>
      <c r="SO35" s="62"/>
      <c r="SP35" s="62"/>
      <c r="SQ35" s="62"/>
      <c r="SR35" s="62"/>
      <c r="SS35" s="62"/>
      <c r="ST35" s="62"/>
      <c r="SU35" s="62"/>
      <c r="SV35" s="62"/>
      <c r="SW35" s="62"/>
      <c r="SX35" s="62"/>
      <c r="SY35" s="62"/>
      <c r="SZ35" s="62"/>
      <c r="TA35" s="62"/>
      <c r="TB35" s="62"/>
      <c r="TC35" s="62"/>
      <c r="TD35" s="62"/>
      <c r="TE35" s="62"/>
      <c r="TF35" s="62"/>
      <c r="TG35" s="62"/>
      <c r="TH35" s="62"/>
      <c r="TI35" s="62"/>
      <c r="TJ35" s="62"/>
      <c r="TK35" s="62"/>
      <c r="TL35" s="62"/>
      <c r="TM35" s="62"/>
      <c r="TN35" s="62"/>
      <c r="TO35" s="62"/>
      <c r="TP35" s="62"/>
      <c r="TQ35" s="62"/>
      <c r="TR35" s="62"/>
      <c r="TS35" s="62"/>
      <c r="TT35" s="62"/>
      <c r="TU35" s="62"/>
      <c r="TV35" s="62"/>
      <c r="TW35" s="62"/>
      <c r="TX35" s="62"/>
      <c r="TY35" s="62"/>
      <c r="TZ35" s="62"/>
      <c r="UA35" s="62"/>
      <c r="UB35" s="62"/>
      <c r="UC35" s="62"/>
      <c r="UD35" s="62"/>
      <c r="UE35" s="62"/>
      <c r="UF35" s="62"/>
      <c r="UG35" s="62"/>
      <c r="UH35" s="62"/>
      <c r="UI35" s="62"/>
      <c r="UJ35" s="62"/>
      <c r="UK35" s="62"/>
      <c r="UL35" s="62"/>
      <c r="UM35" s="62"/>
      <c r="UN35" s="62"/>
      <c r="UO35" s="62"/>
      <c r="UP35" s="62"/>
      <c r="UQ35" s="62"/>
      <c r="UR35" s="62"/>
      <c r="US35" s="62"/>
      <c r="UT35" s="62"/>
      <c r="UU35" s="62"/>
      <c r="UV35" s="62"/>
      <c r="UW35" s="62"/>
      <c r="UX35" s="62"/>
      <c r="UY35" s="62"/>
      <c r="UZ35" s="62"/>
      <c r="VA35" s="62"/>
      <c r="VB35" s="62"/>
      <c r="VC35" s="62"/>
      <c r="VD35" s="62"/>
      <c r="VE35" s="62"/>
      <c r="VF35" s="62"/>
      <c r="VG35" s="62"/>
      <c r="VH35" s="62"/>
      <c r="VI35" s="62"/>
      <c r="VJ35" s="62"/>
      <c r="VK35" s="62"/>
      <c r="VL35" s="62"/>
      <c r="VM35" s="62"/>
      <c r="VN35" s="62"/>
      <c r="VO35" s="62"/>
      <c r="VP35" s="62"/>
      <c r="VQ35" s="62"/>
      <c r="VR35" s="62"/>
      <c r="VS35" s="62"/>
      <c r="VT35" s="62"/>
      <c r="VU35" s="62"/>
      <c r="VV35" s="62"/>
      <c r="VW35" s="62"/>
      <c r="VX35" s="62"/>
      <c r="VY35" s="62"/>
      <c r="VZ35" s="62"/>
      <c r="WA35" s="62"/>
      <c r="WB35" s="62"/>
      <c r="WC35" s="62"/>
      <c r="WD35" s="62"/>
      <c r="WE35" s="62"/>
      <c r="WF35" s="62"/>
      <c r="WG35" s="62"/>
      <c r="WH35" s="62"/>
      <c r="WI35" s="62"/>
      <c r="WJ35" s="62"/>
      <c r="WK35" s="62"/>
      <c r="WL35" s="62"/>
      <c r="WM35" s="62"/>
      <c r="WN35" s="62"/>
      <c r="WO35" s="62"/>
      <c r="WP35" s="62"/>
      <c r="WQ35" s="62"/>
      <c r="WR35" s="62"/>
      <c r="WS35" s="62"/>
      <c r="WT35" s="62"/>
      <c r="WU35" s="62"/>
      <c r="WV35" s="62"/>
      <c r="WW35" s="62"/>
      <c r="WX35" s="62"/>
      <c r="WY35" s="62"/>
      <c r="WZ35" s="62"/>
      <c r="XA35" s="62"/>
      <c r="XB35" s="62"/>
      <c r="XC35" s="62"/>
      <c r="XD35" s="62"/>
      <c r="XE35" s="62"/>
      <c r="XF35" s="62"/>
      <c r="XG35" s="62"/>
      <c r="XH35" s="62"/>
      <c r="XI35" s="62"/>
      <c r="XJ35" s="62"/>
      <c r="XK35" s="62"/>
      <c r="XL35" s="62"/>
      <c r="XM35" s="62"/>
      <c r="XN35" s="62"/>
      <c r="XO35" s="62"/>
      <c r="XP35" s="62"/>
      <c r="XQ35" s="62"/>
      <c r="XR35" s="62"/>
      <c r="XS35" s="62"/>
      <c r="XT35" s="62"/>
      <c r="XU35" s="62"/>
      <c r="XV35" s="62"/>
      <c r="XW35" s="62"/>
      <c r="XX35" s="62"/>
      <c r="XY35" s="62"/>
      <c r="XZ35" s="62"/>
      <c r="YA35" s="62"/>
      <c r="YB35" s="62"/>
      <c r="YC35" s="62"/>
      <c r="YD35" s="62"/>
      <c r="YE35" s="62"/>
      <c r="YF35" s="62"/>
      <c r="YG35" s="62"/>
      <c r="YH35" s="62"/>
      <c r="YI35" s="62"/>
      <c r="YJ35" s="62"/>
      <c r="YK35" s="62"/>
      <c r="YL35" s="62"/>
      <c r="YM35" s="62"/>
      <c r="YN35" s="62"/>
      <c r="YO35" s="62"/>
      <c r="YP35" s="62"/>
      <c r="YQ35" s="62"/>
      <c r="YR35" s="62"/>
      <c r="YS35" s="62"/>
      <c r="YT35" s="62"/>
      <c r="YU35" s="62"/>
      <c r="YV35" s="62"/>
      <c r="YW35" s="62"/>
      <c r="YX35" s="62"/>
      <c r="YY35" s="62"/>
      <c r="YZ35" s="62"/>
      <c r="ZA35" s="62"/>
      <c r="ZB35" s="62"/>
      <c r="ZC35" s="62"/>
      <c r="ZD35" s="62"/>
      <c r="ZE35" s="62"/>
      <c r="ZF35" s="62"/>
      <c r="ZG35" s="62"/>
      <c r="ZH35" s="62"/>
      <c r="ZI35" s="62"/>
      <c r="ZJ35" s="62"/>
      <c r="ZK35" s="62"/>
      <c r="ZL35" s="62"/>
      <c r="ZM35" s="62"/>
      <c r="ZN35" s="62"/>
      <c r="ZO35" s="62"/>
      <c r="ZP35" s="62"/>
      <c r="ZQ35" s="62"/>
      <c r="ZR35" s="62"/>
      <c r="ZS35" s="62"/>
      <c r="ZT35" s="62"/>
      <c r="ZU35" s="62"/>
      <c r="ZV35" s="62"/>
      <c r="ZW35" s="62"/>
      <c r="ZX35" s="62"/>
      <c r="ZY35" s="62"/>
      <c r="ZZ35" s="62"/>
      <c r="AAA35" s="62"/>
      <c r="AAB35" s="62"/>
      <c r="AAC35" s="62"/>
      <c r="AAD35" s="62"/>
      <c r="AAE35" s="62"/>
      <c r="AAF35" s="62"/>
      <c r="AAG35" s="62"/>
      <c r="AAH35" s="62"/>
      <c r="AAI35" s="62"/>
      <c r="AAJ35" s="62"/>
      <c r="AAK35" s="62"/>
      <c r="AAL35" s="62"/>
      <c r="AAM35" s="62"/>
      <c r="AAN35" s="62"/>
      <c r="AAO35" s="62"/>
      <c r="AAP35" s="62"/>
      <c r="AAQ35" s="62"/>
      <c r="AAR35" s="62"/>
      <c r="AAS35" s="62"/>
      <c r="AAT35" s="62"/>
      <c r="AAU35" s="62"/>
      <c r="AAV35" s="62"/>
      <c r="AAW35" s="62"/>
      <c r="AAX35" s="62"/>
      <c r="AAY35" s="62"/>
      <c r="AAZ35" s="62"/>
      <c r="ABA35" s="62"/>
      <c r="ABB35" s="62"/>
      <c r="ABC35" s="62"/>
      <c r="ABD35" s="62"/>
      <c r="ABE35" s="62"/>
      <c r="ABF35" s="62"/>
      <c r="ABG35" s="62"/>
      <c r="ABH35" s="62"/>
      <c r="ABI35" s="62"/>
      <c r="ABJ35" s="62"/>
      <c r="ABK35" s="62"/>
      <c r="ABL35" s="62"/>
      <c r="ABM35" s="62"/>
      <c r="ABN35" s="62"/>
      <c r="ABO35" s="62"/>
      <c r="ABP35" s="62"/>
      <c r="ABQ35" s="62"/>
      <c r="ABR35" s="62"/>
      <c r="ABS35" s="62"/>
      <c r="ABT35" s="62"/>
      <c r="ABU35" s="62"/>
      <c r="ABV35" s="62"/>
      <c r="ABW35" s="62"/>
      <c r="ABX35" s="62"/>
      <c r="ABY35" s="62"/>
      <c r="ABZ35" s="62"/>
      <c r="ACA35" s="62"/>
      <c r="ACB35" s="62"/>
      <c r="ACC35" s="62"/>
      <c r="ACD35" s="62"/>
      <c r="ACE35" s="62"/>
      <c r="ACF35" s="62"/>
      <c r="ACG35" s="62"/>
      <c r="ACH35" s="62"/>
      <c r="ACI35" s="62"/>
      <c r="ACJ35" s="62"/>
      <c r="ACK35" s="62"/>
      <c r="ACL35" s="62"/>
      <c r="ACM35" s="62"/>
      <c r="ACN35" s="62"/>
      <c r="ACO35" s="62"/>
      <c r="ACP35" s="62"/>
      <c r="ACQ35" s="62"/>
      <c r="ACR35" s="62"/>
      <c r="ACS35" s="62"/>
      <c r="ACT35" s="62"/>
      <c r="ACU35" s="62"/>
      <c r="ACV35" s="62"/>
      <c r="ACW35" s="62"/>
      <c r="ACX35" s="62"/>
      <c r="ACY35" s="62"/>
      <c r="ACZ35" s="62"/>
      <c r="ADA35" s="62"/>
      <c r="ADB35" s="62"/>
      <c r="ADC35" s="62"/>
      <c r="ADD35" s="62"/>
      <c r="ADE35" s="62"/>
      <c r="ADF35" s="62"/>
      <c r="ADG35" s="62"/>
      <c r="ADH35" s="62"/>
      <c r="ADI35" s="62"/>
      <c r="ADJ35" s="62"/>
      <c r="ADK35" s="62"/>
      <c r="ADL35" s="62"/>
      <c r="ADM35" s="62"/>
      <c r="ADN35" s="62"/>
      <c r="ADO35" s="62"/>
      <c r="ADP35" s="62"/>
      <c r="ADQ35" s="62"/>
      <c r="ADR35" s="62"/>
      <c r="ADS35" s="62"/>
      <c r="ADT35" s="62"/>
      <c r="ADU35" s="62"/>
      <c r="ADV35" s="62"/>
      <c r="ADW35" s="62"/>
      <c r="ADX35" s="62"/>
      <c r="ADY35" s="62"/>
      <c r="ADZ35" s="62"/>
      <c r="AEA35" s="62"/>
      <c r="AEB35" s="62"/>
      <c r="AEC35" s="62"/>
      <c r="AED35" s="62"/>
      <c r="AEE35" s="62"/>
      <c r="AEF35" s="62"/>
      <c r="AEG35" s="62"/>
      <c r="AEH35" s="62"/>
      <c r="AEI35" s="62"/>
      <c r="AEJ35" s="62"/>
      <c r="AEK35" s="62"/>
      <c r="AEL35" s="62"/>
      <c r="AEM35" s="62"/>
      <c r="AEN35" s="62"/>
      <c r="AEO35" s="62"/>
      <c r="AEP35" s="62"/>
      <c r="AEQ35" s="62"/>
      <c r="AER35" s="62"/>
      <c r="AES35" s="62"/>
      <c r="AET35" s="62"/>
      <c r="AEU35" s="62"/>
      <c r="AEV35" s="62"/>
      <c r="AEW35" s="62"/>
      <c r="AEX35" s="62"/>
      <c r="AEY35" s="62"/>
      <c r="AEZ35" s="62"/>
      <c r="AFA35" s="62"/>
      <c r="AFB35" s="62"/>
      <c r="AFC35" s="62"/>
      <c r="AFD35" s="62"/>
      <c r="AFE35" s="62"/>
      <c r="AFF35" s="62"/>
      <c r="AFG35" s="62"/>
      <c r="AFH35" s="62"/>
      <c r="AFI35" s="62"/>
      <c r="AFJ35" s="62"/>
      <c r="AFK35" s="62"/>
      <c r="AFL35" s="62"/>
      <c r="AFM35" s="62"/>
      <c r="AFN35" s="62"/>
      <c r="AFO35" s="62"/>
      <c r="AFP35" s="62"/>
      <c r="AFQ35" s="62"/>
      <c r="AFR35" s="62"/>
      <c r="AFS35" s="62"/>
      <c r="AFT35" s="62"/>
      <c r="AFU35" s="62"/>
      <c r="AFV35" s="62"/>
      <c r="AFW35" s="62"/>
      <c r="AFX35" s="62"/>
      <c r="AFY35" s="62"/>
      <c r="AFZ35" s="62"/>
      <c r="AGA35" s="62"/>
      <c r="AGB35" s="62"/>
      <c r="AGC35" s="62"/>
      <c r="AGD35" s="62"/>
      <c r="AGE35" s="62"/>
      <c r="AGF35" s="62"/>
      <c r="AGG35" s="62"/>
      <c r="AGH35" s="62"/>
      <c r="AGI35" s="62"/>
      <c r="AGJ35" s="62"/>
      <c r="AGK35" s="62"/>
      <c r="AGL35" s="62"/>
      <c r="AGM35" s="62"/>
      <c r="AGN35" s="62"/>
      <c r="AGO35" s="62"/>
      <c r="AGP35" s="62"/>
      <c r="AGQ35" s="62"/>
      <c r="AGR35" s="62"/>
      <c r="AGS35" s="62"/>
      <c r="AGT35" s="62"/>
      <c r="AGU35" s="62"/>
      <c r="AGV35" s="62"/>
      <c r="AGW35" s="62"/>
      <c r="AGX35" s="62"/>
      <c r="AGY35" s="62"/>
      <c r="AGZ35" s="62"/>
      <c r="AHA35" s="62"/>
      <c r="AHB35" s="62"/>
      <c r="AHC35" s="62"/>
      <c r="AHD35" s="62"/>
      <c r="AHE35" s="62"/>
      <c r="AHF35" s="62"/>
      <c r="AHG35" s="62"/>
      <c r="AHH35" s="62"/>
      <c r="AHI35" s="62"/>
      <c r="AHJ35" s="62"/>
      <c r="AHK35" s="62"/>
      <c r="AHL35" s="62"/>
      <c r="AHM35" s="62"/>
      <c r="AHN35" s="62"/>
      <c r="AHO35" s="62"/>
      <c r="AHP35" s="62"/>
      <c r="AHQ35" s="62"/>
      <c r="AHR35" s="62"/>
      <c r="AHS35" s="62"/>
      <c r="AHT35" s="62"/>
      <c r="AHU35" s="62"/>
      <c r="AHV35" s="62"/>
      <c r="AHW35" s="62"/>
      <c r="AHX35" s="62"/>
      <c r="AHY35" s="62"/>
      <c r="AHZ35" s="62"/>
      <c r="AIA35" s="62"/>
      <c r="AIB35" s="62"/>
      <c r="AIC35" s="62"/>
      <c r="AID35" s="62"/>
      <c r="AIE35" s="62"/>
      <c r="AIF35" s="62"/>
      <c r="AIG35" s="62"/>
      <c r="AIH35" s="62"/>
      <c r="AII35" s="62"/>
      <c r="AIJ35" s="62"/>
      <c r="AIK35" s="62"/>
      <c r="AIL35" s="62"/>
      <c r="AIM35" s="62"/>
      <c r="AIN35" s="62"/>
      <c r="AIO35" s="62"/>
      <c r="AIP35" s="62"/>
      <c r="AIQ35" s="62"/>
      <c r="AIR35" s="62"/>
      <c r="AIS35" s="62"/>
      <c r="AIT35" s="62"/>
      <c r="AIU35" s="62"/>
      <c r="AIV35" s="62"/>
      <c r="AIW35" s="62"/>
      <c r="AIX35" s="62"/>
      <c r="AIY35" s="62"/>
      <c r="AIZ35" s="62"/>
      <c r="AJA35" s="62"/>
      <c r="AJB35" s="62"/>
      <c r="AJC35" s="62"/>
      <c r="AJD35" s="62"/>
      <c r="AJE35" s="62"/>
      <c r="AJF35" s="62"/>
      <c r="AJG35" s="62"/>
      <c r="AJH35" s="62"/>
      <c r="AJI35" s="62"/>
      <c r="AJJ35" s="62"/>
      <c r="AJK35" s="62"/>
      <c r="AJL35" s="62"/>
      <c r="AJM35" s="62"/>
      <c r="AJN35" s="62"/>
      <c r="AJO35" s="62"/>
      <c r="AJP35" s="62"/>
      <c r="AJQ35" s="62"/>
      <c r="AJR35" s="62"/>
      <c r="AJS35" s="62"/>
      <c r="AJT35" s="62"/>
      <c r="AJU35" s="62"/>
      <c r="AJV35" s="62"/>
      <c r="AJW35" s="62"/>
      <c r="AJX35" s="62"/>
      <c r="AJY35" s="62"/>
      <c r="AJZ35" s="62"/>
      <c r="AKA35" s="62"/>
      <c r="AKB35" s="62"/>
      <c r="AKC35" s="62"/>
      <c r="AKD35" s="62"/>
      <c r="AKE35" s="62"/>
      <c r="AKF35" s="62"/>
      <c r="AKG35" s="62"/>
      <c r="AKH35" s="62"/>
      <c r="AKI35" s="62"/>
      <c r="AKJ35" s="62"/>
      <c r="AKK35" s="62"/>
      <c r="AKL35" s="62"/>
      <c r="AKM35" s="62"/>
      <c r="AKN35" s="62"/>
      <c r="AKO35" s="62"/>
      <c r="AKP35" s="62"/>
      <c r="AKQ35" s="62"/>
      <c r="AKR35" s="62"/>
      <c r="AKS35" s="62"/>
      <c r="AKT35" s="62"/>
      <c r="AKU35" s="62"/>
      <c r="AKV35" s="62"/>
      <c r="AKW35" s="62"/>
      <c r="AKX35" s="62"/>
      <c r="AKY35" s="62"/>
      <c r="AKZ35" s="62"/>
      <c r="ALA35" s="62"/>
      <c r="ALB35" s="62"/>
      <c r="ALC35" s="62"/>
      <c r="ALD35" s="62"/>
      <c r="ALE35" s="62"/>
      <c r="ALF35" s="62"/>
      <c r="ALG35" s="62"/>
      <c r="ALH35" s="62"/>
      <c r="ALI35" s="62"/>
      <c r="ALJ35" s="62"/>
      <c r="ALK35" s="62"/>
      <c r="ALL35" s="62"/>
      <c r="ALM35" s="62"/>
      <c r="ALN35" s="62"/>
      <c r="ALO35" s="62"/>
      <c r="ALP35" s="62"/>
      <c r="ALQ35" s="62"/>
      <c r="ALR35" s="62"/>
      <c r="ALS35" s="62"/>
      <c r="ALT35" s="62"/>
      <c r="ALU35" s="62"/>
      <c r="ALV35" s="62"/>
      <c r="ALW35" s="62"/>
      <c r="ALX35" s="62"/>
      <c r="ALY35" s="62"/>
      <c r="ALZ35" s="62"/>
      <c r="AMA35" s="62"/>
      <c r="AMB35" s="62"/>
      <c r="AMC35" s="62"/>
      <c r="AMD35" s="62"/>
      <c r="AME35" s="62"/>
      <c r="AMF35" s="62"/>
      <c r="AMG35" s="62"/>
      <c r="AMH35" s="62"/>
      <c r="AMI35" s="62"/>
      <c r="AMJ35" s="62"/>
      <c r="AMK35" s="62"/>
    </row>
    <row r="36" s="1" customFormat="true" ht="26.25" hidden="false" customHeight="true" outlineLevel="0" collapsed="false">
      <c r="A36" s="189" t="n">
        <v>1</v>
      </c>
      <c r="B36" s="199" t="s">
        <v>236</v>
      </c>
      <c r="C36" s="199"/>
      <c r="D36" s="199"/>
      <c r="E36" s="199"/>
      <c r="F36" s="199"/>
      <c r="G36" s="200" t="n">
        <v>5.27</v>
      </c>
      <c r="H36" s="19" t="s">
        <v>237</v>
      </c>
    </row>
    <row r="37" s="1" customFormat="true" ht="26.25" hidden="false" customHeight="true" outlineLevel="0" collapsed="false">
      <c r="A37" s="201" t="n">
        <v>2</v>
      </c>
      <c r="B37" s="190" t="s">
        <v>238</v>
      </c>
      <c r="C37" s="190"/>
      <c r="D37" s="190"/>
      <c r="E37" s="190"/>
      <c r="F37" s="190"/>
      <c r="G37" s="195" t="n">
        <v>0</v>
      </c>
      <c r="H37" s="19" t="s">
        <v>237</v>
      </c>
    </row>
    <row r="38" customFormat="false" ht="26.25" hidden="false" customHeight="true" outlineLevel="0" collapsed="false">
      <c r="A38" s="189" t="n">
        <v>3</v>
      </c>
      <c r="B38" s="202" t="s">
        <v>239</v>
      </c>
      <c r="C38" s="202"/>
      <c r="D38" s="203" t="s">
        <v>240</v>
      </c>
      <c r="E38" s="203"/>
      <c r="F38" s="203"/>
      <c r="G38" s="204" t="n">
        <v>5.7</v>
      </c>
      <c r="H38" s="205" t="s">
        <v>241</v>
      </c>
      <c r="I38" s="160"/>
      <c r="J38" s="1"/>
      <c r="K38" s="1"/>
      <c r="O38" s="19"/>
      <c r="P38" s="19"/>
      <c r="Q38" s="19"/>
    </row>
    <row r="39" s="1" customFormat="true" ht="26.25" hidden="false" customHeight="true" outlineLevel="0" collapsed="false">
      <c r="A39" s="189"/>
      <c r="B39" s="202"/>
      <c r="C39" s="202"/>
      <c r="D39" s="203" t="s">
        <v>242</v>
      </c>
      <c r="E39" s="203"/>
      <c r="F39" s="203"/>
      <c r="G39" s="204" t="n">
        <v>2</v>
      </c>
      <c r="H39" s="205" t="s">
        <v>243</v>
      </c>
      <c r="I39" s="160"/>
      <c r="O39" s="19"/>
      <c r="P39" s="19"/>
      <c r="Q39" s="19"/>
    </row>
    <row r="40" s="1" customFormat="true" ht="26.25" hidden="false" customHeight="true" outlineLevel="0" collapsed="false">
      <c r="A40" s="189"/>
      <c r="B40" s="202"/>
      <c r="C40" s="202"/>
      <c r="D40" s="203" t="s">
        <v>244</v>
      </c>
      <c r="E40" s="203"/>
      <c r="F40" s="203"/>
      <c r="G40" s="206" t="n">
        <v>22</v>
      </c>
      <c r="H40" s="19" t="s">
        <v>245</v>
      </c>
      <c r="I40" s="160"/>
      <c r="O40" s="19"/>
      <c r="P40" s="19"/>
      <c r="Q40" s="19"/>
    </row>
    <row r="41" customFormat="false" ht="26.25" hidden="false" customHeight="true" outlineLevel="0" collapsed="false">
      <c r="A41" s="189"/>
      <c r="B41" s="202"/>
      <c r="C41" s="202"/>
      <c r="D41" s="207" t="s">
        <v>246</v>
      </c>
      <c r="E41" s="207"/>
      <c r="F41" s="207"/>
      <c r="G41" s="208" t="n">
        <v>0.06</v>
      </c>
      <c r="H41" s="205" t="s">
        <v>247</v>
      </c>
      <c r="O41" s="19"/>
      <c r="P41" s="19"/>
      <c r="Q41" s="19"/>
    </row>
    <row r="42" s="1" customFormat="true" ht="29.25" hidden="false" customHeight="true" outlineLevel="0" collapsed="false">
      <c r="A42" s="189" t="n">
        <v>4</v>
      </c>
      <c r="B42" s="202" t="s">
        <v>248</v>
      </c>
      <c r="C42" s="202"/>
      <c r="D42" s="207" t="s">
        <v>249</v>
      </c>
      <c r="E42" s="207"/>
      <c r="F42" s="207"/>
      <c r="G42" s="209" t="n">
        <v>387.79</v>
      </c>
      <c r="H42" s="205" t="s">
        <v>250</v>
      </c>
      <c r="I42" s="160"/>
    </row>
    <row r="43" s="1" customFormat="true" ht="40.5" hidden="false" customHeight="true" outlineLevel="0" collapsed="false">
      <c r="A43" s="189"/>
      <c r="B43" s="202"/>
      <c r="C43" s="202"/>
      <c r="D43" s="203" t="s">
        <v>244</v>
      </c>
      <c r="E43" s="203"/>
      <c r="F43" s="203"/>
      <c r="G43" s="210" t="n">
        <v>1</v>
      </c>
      <c r="H43" s="211" t="s">
        <v>251</v>
      </c>
      <c r="I43" s="211"/>
      <c r="J43" s="211"/>
      <c r="K43" s="211"/>
      <c r="L43" s="211"/>
      <c r="M43" s="211"/>
      <c r="N43" s="211"/>
      <c r="O43" s="19"/>
      <c r="P43" s="19"/>
      <c r="Q43" s="19"/>
    </row>
    <row r="44" s="62" customFormat="true" ht="26.25" hidden="false" customHeight="true" outlineLevel="0" collapsed="false">
      <c r="A44" s="189"/>
      <c r="B44" s="202"/>
      <c r="C44" s="202"/>
      <c r="D44" s="207" t="s">
        <v>246</v>
      </c>
      <c r="E44" s="207"/>
      <c r="F44" s="207"/>
      <c r="G44" s="194" t="n">
        <v>0</v>
      </c>
      <c r="H44" s="205" t="s">
        <v>247</v>
      </c>
      <c r="I44" s="1"/>
      <c r="J44" s="1"/>
      <c r="K44" s="1"/>
      <c r="L44" s="1"/>
      <c r="M44" s="1"/>
      <c r="N44" s="1"/>
      <c r="O44" s="19"/>
      <c r="P44" s="19"/>
      <c r="Q44" s="19"/>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1" customFormat="true" ht="26.25" hidden="false" customHeight="true" outlineLevel="0" collapsed="false">
      <c r="A45" s="189" t="n">
        <v>5</v>
      </c>
      <c r="B45" s="212" t="s">
        <v>252</v>
      </c>
      <c r="C45" s="212"/>
      <c r="D45" s="212"/>
      <c r="E45" s="212"/>
      <c r="F45" s="212"/>
      <c r="G45" s="195" t="n">
        <v>42.97</v>
      </c>
      <c r="H45" s="19" t="s">
        <v>253</v>
      </c>
      <c r="O45" s="19"/>
      <c r="P45" s="19"/>
      <c r="Q45" s="19"/>
    </row>
    <row r="46" s="1" customFormat="true" ht="26.25" hidden="false" customHeight="true" outlineLevel="0" collapsed="false">
      <c r="A46" s="189" t="n">
        <v>6</v>
      </c>
      <c r="B46" s="212" t="s">
        <v>254</v>
      </c>
      <c r="C46" s="212"/>
      <c r="D46" s="212"/>
      <c r="E46" s="212"/>
      <c r="F46" s="212"/>
      <c r="G46" s="195" t="n">
        <v>0</v>
      </c>
      <c r="H46" s="19" t="s">
        <v>253</v>
      </c>
    </row>
    <row r="47" s="1" customFormat="true" ht="12.75" hidden="false" customHeight="true" outlineLevel="0" collapsed="false">
      <c r="H47" s="19"/>
    </row>
    <row r="48" s="62" customFormat="true" ht="24.75" hidden="false" customHeight="true" outlineLevel="0" collapsed="false">
      <c r="A48" s="188" t="s">
        <v>255</v>
      </c>
      <c r="B48" s="188"/>
      <c r="C48" s="188"/>
      <c r="D48" s="188"/>
      <c r="E48" s="188"/>
      <c r="F48" s="188"/>
      <c r="G48" s="188"/>
      <c r="H48" s="19"/>
      <c r="I48" s="160"/>
      <c r="J48" s="160"/>
      <c r="K48" s="160"/>
      <c r="L48" s="160"/>
      <c r="M48" s="160"/>
      <c r="N48" s="160"/>
      <c r="O48" s="160"/>
      <c r="P48" s="160"/>
      <c r="Q48" s="160"/>
      <c r="R48" s="160"/>
      <c r="S48" s="160"/>
      <c r="T48" s="160"/>
      <c r="U48" s="160"/>
    </row>
    <row r="49" s="62" customFormat="true" ht="24.75" hidden="false" customHeight="true" outlineLevel="0" collapsed="false">
      <c r="A49" s="189" t="n">
        <v>1</v>
      </c>
      <c r="B49" s="190" t="s">
        <v>256</v>
      </c>
      <c r="C49" s="190"/>
      <c r="D49" s="190"/>
      <c r="E49" s="190"/>
      <c r="F49" s="190"/>
      <c r="G49" s="194" t="n">
        <v>0.07</v>
      </c>
      <c r="H49" s="19" t="s">
        <v>257</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62" customFormat="true" ht="24.75" hidden="false" customHeight="true" outlineLevel="0" collapsed="false">
      <c r="A50" s="189" t="n">
        <v>2</v>
      </c>
      <c r="B50" s="190" t="s">
        <v>258</v>
      </c>
      <c r="C50" s="190"/>
      <c r="D50" s="190"/>
      <c r="E50" s="190"/>
      <c r="F50" s="190"/>
      <c r="G50" s="194" t="n">
        <v>0.0369</v>
      </c>
      <c r="H50" s="19" t="s">
        <v>257</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62" customFormat="true" ht="12.75" hidden="false" customHeight="true" outlineLevel="0" collapsed="false">
      <c r="A51" s="1"/>
      <c r="B51" s="1"/>
      <c r="C51" s="1"/>
      <c r="D51" s="1"/>
      <c r="E51" s="1"/>
      <c r="F51" s="1"/>
      <c r="G51" s="1"/>
      <c r="H51" s="19"/>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1" customFormat="true" ht="24.75" hidden="false" customHeight="true" outlineLevel="0" collapsed="false">
      <c r="A52" s="188" t="s">
        <v>259</v>
      </c>
      <c r="B52" s="188"/>
      <c r="C52" s="188"/>
      <c r="D52" s="188"/>
      <c r="E52" s="188"/>
      <c r="F52" s="188"/>
      <c r="G52" s="188"/>
      <c r="H52" s="19"/>
      <c r="I52" s="160"/>
      <c r="J52" s="160"/>
      <c r="K52" s="160"/>
      <c r="L52" s="160"/>
      <c r="M52" s="160"/>
      <c r="N52" s="160"/>
      <c r="O52" s="160"/>
      <c r="P52" s="160"/>
      <c r="Q52" s="160"/>
      <c r="R52" s="160"/>
      <c r="S52" s="160"/>
      <c r="T52" s="160"/>
      <c r="U52" s="160"/>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2"/>
      <c r="LR52" s="62"/>
      <c r="LS52" s="62"/>
      <c r="LT52" s="62"/>
      <c r="LU52" s="62"/>
      <c r="LV52" s="62"/>
      <c r="LW52" s="62"/>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62"/>
      <c r="ON52" s="62"/>
      <c r="OO52" s="62"/>
      <c r="OP52" s="62"/>
      <c r="OQ52" s="62"/>
      <c r="OR52" s="62"/>
      <c r="OS52" s="62"/>
      <c r="OT52" s="62"/>
      <c r="OU52" s="62"/>
      <c r="OV52" s="62"/>
      <c r="OW52" s="62"/>
      <c r="OX52" s="62"/>
      <c r="OY52" s="62"/>
      <c r="OZ52" s="62"/>
      <c r="PA52" s="62"/>
      <c r="PB52" s="62"/>
      <c r="PC52" s="62"/>
      <c r="PD52" s="62"/>
      <c r="PE52" s="62"/>
      <c r="PF52" s="62"/>
      <c r="PG52" s="62"/>
      <c r="PH52" s="62"/>
      <c r="PI52" s="62"/>
      <c r="PJ52" s="62"/>
      <c r="PK52" s="62"/>
      <c r="PL52" s="62"/>
      <c r="PM52" s="62"/>
      <c r="PN52" s="62"/>
      <c r="PO52" s="62"/>
      <c r="PP52" s="62"/>
      <c r="PQ52" s="62"/>
      <c r="PR52" s="62"/>
      <c r="PS52" s="62"/>
      <c r="PT52" s="62"/>
      <c r="PU52" s="62"/>
      <c r="PV52" s="62"/>
      <c r="PW52" s="62"/>
      <c r="PX52" s="62"/>
      <c r="PY52" s="62"/>
      <c r="PZ52" s="62"/>
      <c r="QA52" s="62"/>
      <c r="QB52" s="62"/>
      <c r="QC52" s="62"/>
      <c r="QD52" s="62"/>
      <c r="QE52" s="62"/>
      <c r="QF52" s="62"/>
      <c r="QG52" s="62"/>
      <c r="QH52" s="62"/>
      <c r="QI52" s="62"/>
      <c r="QJ52" s="62"/>
      <c r="QK52" s="62"/>
      <c r="QL52" s="62"/>
      <c r="QM52" s="62"/>
      <c r="QN52" s="62"/>
      <c r="QO52" s="62"/>
      <c r="QP52" s="62"/>
      <c r="QQ52" s="62"/>
      <c r="QR52" s="62"/>
      <c r="QS52" s="62"/>
      <c r="QT52" s="62"/>
      <c r="QU52" s="62"/>
      <c r="QV52" s="62"/>
      <c r="QW52" s="62"/>
      <c r="QX52" s="62"/>
      <c r="QY52" s="62"/>
      <c r="QZ52" s="62"/>
      <c r="RA52" s="62"/>
      <c r="RB52" s="62"/>
      <c r="RC52" s="62"/>
      <c r="RD52" s="62"/>
      <c r="RE52" s="62"/>
      <c r="RF52" s="62"/>
      <c r="RG52" s="62"/>
      <c r="RH52" s="62"/>
      <c r="RI52" s="62"/>
      <c r="RJ52" s="62"/>
      <c r="RK52" s="62"/>
      <c r="RL52" s="62"/>
      <c r="RM52" s="62"/>
      <c r="RN52" s="62"/>
      <c r="RO52" s="62"/>
      <c r="RP52" s="62"/>
      <c r="RQ52" s="62"/>
      <c r="RR52" s="62"/>
      <c r="RS52" s="62"/>
      <c r="RT52" s="62"/>
      <c r="RU52" s="62"/>
      <c r="RV52" s="62"/>
      <c r="RW52" s="62"/>
      <c r="RX52" s="62"/>
      <c r="RY52" s="62"/>
      <c r="RZ52" s="62"/>
      <c r="SA52" s="62"/>
      <c r="SB52" s="62"/>
      <c r="SC52" s="62"/>
      <c r="SD52" s="62"/>
      <c r="SE52" s="62"/>
      <c r="SF52" s="62"/>
      <c r="SG52" s="62"/>
      <c r="SH52" s="62"/>
      <c r="SI52" s="62"/>
      <c r="SJ52" s="62"/>
      <c r="SK52" s="62"/>
      <c r="SL52" s="62"/>
      <c r="SM52" s="62"/>
      <c r="SN52" s="62"/>
      <c r="SO52" s="62"/>
      <c r="SP52" s="62"/>
      <c r="SQ52" s="62"/>
      <c r="SR52" s="62"/>
      <c r="SS52" s="62"/>
      <c r="ST52" s="62"/>
      <c r="SU52" s="62"/>
      <c r="SV52" s="62"/>
      <c r="SW52" s="62"/>
      <c r="SX52" s="62"/>
      <c r="SY52" s="62"/>
      <c r="SZ52" s="62"/>
      <c r="TA52" s="62"/>
      <c r="TB52" s="62"/>
      <c r="TC52" s="62"/>
      <c r="TD52" s="62"/>
      <c r="TE52" s="62"/>
      <c r="TF52" s="62"/>
      <c r="TG52" s="62"/>
      <c r="TH52" s="62"/>
      <c r="TI52" s="62"/>
      <c r="TJ52" s="62"/>
      <c r="TK52" s="62"/>
      <c r="TL52" s="62"/>
      <c r="TM52" s="62"/>
      <c r="TN52" s="62"/>
      <c r="TO52" s="62"/>
      <c r="TP52" s="62"/>
      <c r="TQ52" s="62"/>
      <c r="TR52" s="62"/>
      <c r="TS52" s="62"/>
      <c r="TT52" s="62"/>
      <c r="TU52" s="62"/>
      <c r="TV52" s="62"/>
      <c r="TW52" s="62"/>
      <c r="TX52" s="62"/>
      <c r="TY52" s="62"/>
      <c r="TZ52" s="62"/>
      <c r="UA52" s="62"/>
      <c r="UB52" s="62"/>
      <c r="UC52" s="62"/>
      <c r="UD52" s="62"/>
      <c r="UE52" s="62"/>
      <c r="UF52" s="62"/>
      <c r="UG52" s="62"/>
      <c r="UH52" s="62"/>
      <c r="UI52" s="62"/>
      <c r="UJ52" s="62"/>
      <c r="UK52" s="62"/>
      <c r="UL52" s="62"/>
      <c r="UM52" s="62"/>
      <c r="UN52" s="62"/>
      <c r="UO52" s="62"/>
      <c r="UP52" s="62"/>
      <c r="UQ52" s="62"/>
      <c r="UR52" s="62"/>
      <c r="US52" s="62"/>
      <c r="UT52" s="62"/>
      <c r="UU52" s="62"/>
      <c r="UV52" s="62"/>
      <c r="UW52" s="62"/>
      <c r="UX52" s="62"/>
      <c r="UY52" s="62"/>
      <c r="UZ52" s="62"/>
      <c r="VA52" s="62"/>
      <c r="VB52" s="62"/>
      <c r="VC52" s="62"/>
      <c r="VD52" s="62"/>
      <c r="VE52" s="62"/>
      <c r="VF52" s="62"/>
      <c r="VG52" s="62"/>
      <c r="VH52" s="62"/>
      <c r="VI52" s="62"/>
      <c r="VJ52" s="62"/>
      <c r="VK52" s="62"/>
      <c r="VL52" s="62"/>
      <c r="VM52" s="62"/>
      <c r="VN52" s="62"/>
      <c r="VO52" s="62"/>
      <c r="VP52" s="62"/>
      <c r="VQ52" s="62"/>
      <c r="VR52" s="62"/>
      <c r="VS52" s="62"/>
      <c r="VT52" s="62"/>
      <c r="VU52" s="62"/>
      <c r="VV52" s="62"/>
      <c r="VW52" s="62"/>
      <c r="VX52" s="62"/>
      <c r="VY52" s="62"/>
      <c r="VZ52" s="62"/>
      <c r="WA52" s="62"/>
      <c r="WB52" s="62"/>
      <c r="WC52" s="62"/>
      <c r="WD52" s="62"/>
      <c r="WE52" s="62"/>
      <c r="WF52" s="62"/>
      <c r="WG52" s="62"/>
      <c r="WH52" s="62"/>
      <c r="WI52" s="62"/>
      <c r="WJ52" s="62"/>
      <c r="WK52" s="62"/>
      <c r="WL52" s="62"/>
      <c r="WM52" s="62"/>
      <c r="WN52" s="62"/>
      <c r="WO52" s="62"/>
      <c r="WP52" s="62"/>
      <c r="WQ52" s="62"/>
      <c r="WR52" s="62"/>
      <c r="WS52" s="62"/>
      <c r="WT52" s="62"/>
      <c r="WU52" s="62"/>
      <c r="WV52" s="62"/>
      <c r="WW52" s="62"/>
      <c r="WX52" s="62"/>
      <c r="WY52" s="62"/>
      <c r="WZ52" s="62"/>
      <c r="XA52" s="62"/>
      <c r="XB52" s="62"/>
      <c r="XC52" s="62"/>
      <c r="XD52" s="62"/>
      <c r="XE52" s="62"/>
      <c r="XF52" s="62"/>
      <c r="XG52" s="62"/>
      <c r="XH52" s="62"/>
      <c r="XI52" s="62"/>
      <c r="XJ52" s="62"/>
      <c r="XK52" s="62"/>
      <c r="XL52" s="62"/>
      <c r="XM52" s="62"/>
      <c r="XN52" s="62"/>
      <c r="XO52" s="62"/>
      <c r="XP52" s="62"/>
      <c r="XQ52" s="62"/>
      <c r="XR52" s="62"/>
      <c r="XS52" s="62"/>
      <c r="XT52" s="62"/>
      <c r="XU52" s="62"/>
      <c r="XV52" s="62"/>
      <c r="XW52" s="62"/>
      <c r="XX52" s="62"/>
      <c r="XY52" s="62"/>
      <c r="XZ52" s="62"/>
      <c r="YA52" s="62"/>
      <c r="YB52" s="62"/>
      <c r="YC52" s="62"/>
      <c r="YD52" s="62"/>
      <c r="YE52" s="62"/>
      <c r="YF52" s="62"/>
      <c r="YG52" s="62"/>
      <c r="YH52" s="62"/>
      <c r="YI52" s="62"/>
      <c r="YJ52" s="62"/>
      <c r="YK52" s="62"/>
      <c r="YL52" s="62"/>
      <c r="YM52" s="62"/>
      <c r="YN52" s="62"/>
      <c r="YO52" s="62"/>
      <c r="YP52" s="62"/>
      <c r="YQ52" s="62"/>
      <c r="YR52" s="62"/>
      <c r="YS52" s="62"/>
      <c r="YT52" s="62"/>
      <c r="YU52" s="62"/>
      <c r="YV52" s="62"/>
      <c r="YW52" s="62"/>
      <c r="YX52" s="62"/>
      <c r="YY52" s="62"/>
      <c r="YZ52" s="62"/>
      <c r="ZA52" s="62"/>
      <c r="ZB52" s="62"/>
      <c r="ZC52" s="62"/>
      <c r="ZD52" s="62"/>
      <c r="ZE52" s="62"/>
      <c r="ZF52" s="62"/>
      <c r="ZG52" s="62"/>
      <c r="ZH52" s="62"/>
      <c r="ZI52" s="62"/>
      <c r="ZJ52" s="62"/>
      <c r="ZK52" s="62"/>
      <c r="ZL52" s="62"/>
      <c r="ZM52" s="62"/>
      <c r="ZN52" s="62"/>
      <c r="ZO52" s="62"/>
      <c r="ZP52" s="62"/>
      <c r="ZQ52" s="62"/>
      <c r="ZR52" s="62"/>
      <c r="ZS52" s="62"/>
      <c r="ZT52" s="62"/>
      <c r="ZU52" s="62"/>
      <c r="ZV52" s="62"/>
      <c r="ZW52" s="62"/>
      <c r="ZX52" s="62"/>
      <c r="ZY52" s="62"/>
      <c r="ZZ52" s="62"/>
      <c r="AAA52" s="62"/>
      <c r="AAB52" s="62"/>
      <c r="AAC52" s="62"/>
      <c r="AAD52" s="62"/>
      <c r="AAE52" s="62"/>
      <c r="AAF52" s="62"/>
      <c r="AAG52" s="62"/>
      <c r="AAH52" s="62"/>
      <c r="AAI52" s="62"/>
      <c r="AAJ52" s="62"/>
      <c r="AAK52" s="62"/>
      <c r="AAL52" s="62"/>
      <c r="AAM52" s="62"/>
      <c r="AAN52" s="62"/>
      <c r="AAO52" s="62"/>
      <c r="AAP52" s="62"/>
      <c r="AAQ52" s="62"/>
      <c r="AAR52" s="62"/>
      <c r="AAS52" s="62"/>
      <c r="AAT52" s="62"/>
      <c r="AAU52" s="62"/>
      <c r="AAV52" s="62"/>
      <c r="AAW52" s="62"/>
      <c r="AAX52" s="62"/>
      <c r="AAY52" s="62"/>
      <c r="AAZ52" s="62"/>
      <c r="ABA52" s="62"/>
      <c r="ABB52" s="62"/>
      <c r="ABC52" s="62"/>
      <c r="ABD52" s="62"/>
      <c r="ABE52" s="62"/>
      <c r="ABF52" s="62"/>
      <c r="ABG52" s="62"/>
      <c r="ABH52" s="62"/>
      <c r="ABI52" s="62"/>
      <c r="ABJ52" s="62"/>
      <c r="ABK52" s="62"/>
      <c r="ABL52" s="62"/>
      <c r="ABM52" s="62"/>
      <c r="ABN52" s="62"/>
      <c r="ABO52" s="62"/>
      <c r="ABP52" s="62"/>
      <c r="ABQ52" s="62"/>
      <c r="ABR52" s="62"/>
      <c r="ABS52" s="62"/>
      <c r="ABT52" s="62"/>
      <c r="ABU52" s="62"/>
      <c r="ABV52" s="62"/>
      <c r="ABW52" s="62"/>
      <c r="ABX52" s="62"/>
      <c r="ABY52" s="62"/>
      <c r="ABZ52" s="62"/>
      <c r="ACA52" s="62"/>
      <c r="ACB52" s="62"/>
      <c r="ACC52" s="62"/>
      <c r="ACD52" s="62"/>
      <c r="ACE52" s="62"/>
      <c r="ACF52" s="62"/>
      <c r="ACG52" s="62"/>
      <c r="ACH52" s="62"/>
      <c r="ACI52" s="62"/>
      <c r="ACJ52" s="62"/>
      <c r="ACK52" s="62"/>
      <c r="ACL52" s="62"/>
      <c r="ACM52" s="62"/>
      <c r="ACN52" s="62"/>
      <c r="ACO52" s="62"/>
      <c r="ACP52" s="62"/>
      <c r="ACQ52" s="62"/>
      <c r="ACR52" s="62"/>
      <c r="ACS52" s="62"/>
      <c r="ACT52" s="62"/>
      <c r="ACU52" s="62"/>
      <c r="ACV52" s="62"/>
      <c r="ACW52" s="62"/>
      <c r="ACX52" s="62"/>
      <c r="ACY52" s="62"/>
      <c r="ACZ52" s="62"/>
      <c r="ADA52" s="62"/>
      <c r="ADB52" s="62"/>
      <c r="ADC52" s="62"/>
      <c r="ADD52" s="62"/>
      <c r="ADE52" s="62"/>
      <c r="ADF52" s="62"/>
      <c r="ADG52" s="62"/>
      <c r="ADH52" s="62"/>
      <c r="ADI52" s="62"/>
      <c r="ADJ52" s="62"/>
      <c r="ADK52" s="62"/>
      <c r="ADL52" s="62"/>
      <c r="ADM52" s="62"/>
      <c r="ADN52" s="62"/>
      <c r="ADO52" s="62"/>
      <c r="ADP52" s="62"/>
      <c r="ADQ52" s="62"/>
      <c r="ADR52" s="62"/>
      <c r="ADS52" s="62"/>
      <c r="ADT52" s="62"/>
      <c r="ADU52" s="62"/>
      <c r="ADV52" s="62"/>
      <c r="ADW52" s="62"/>
      <c r="ADX52" s="62"/>
      <c r="ADY52" s="62"/>
      <c r="ADZ52" s="62"/>
      <c r="AEA52" s="62"/>
      <c r="AEB52" s="62"/>
      <c r="AEC52" s="62"/>
      <c r="AED52" s="62"/>
      <c r="AEE52" s="62"/>
      <c r="AEF52" s="62"/>
      <c r="AEG52" s="62"/>
      <c r="AEH52" s="62"/>
      <c r="AEI52" s="62"/>
      <c r="AEJ52" s="62"/>
      <c r="AEK52" s="62"/>
      <c r="AEL52" s="62"/>
      <c r="AEM52" s="62"/>
      <c r="AEN52" s="62"/>
      <c r="AEO52" s="62"/>
      <c r="AEP52" s="62"/>
      <c r="AEQ52" s="62"/>
      <c r="AER52" s="62"/>
      <c r="AES52" s="62"/>
      <c r="AET52" s="62"/>
      <c r="AEU52" s="62"/>
      <c r="AEV52" s="62"/>
      <c r="AEW52" s="62"/>
      <c r="AEX52" s="62"/>
      <c r="AEY52" s="62"/>
      <c r="AEZ52" s="62"/>
      <c r="AFA52" s="62"/>
      <c r="AFB52" s="62"/>
      <c r="AFC52" s="62"/>
      <c r="AFD52" s="62"/>
      <c r="AFE52" s="62"/>
      <c r="AFF52" s="62"/>
      <c r="AFG52" s="62"/>
      <c r="AFH52" s="62"/>
      <c r="AFI52" s="62"/>
      <c r="AFJ52" s="62"/>
      <c r="AFK52" s="62"/>
      <c r="AFL52" s="62"/>
      <c r="AFM52" s="62"/>
      <c r="AFN52" s="62"/>
      <c r="AFO52" s="62"/>
      <c r="AFP52" s="62"/>
      <c r="AFQ52" s="62"/>
      <c r="AFR52" s="62"/>
      <c r="AFS52" s="62"/>
      <c r="AFT52" s="62"/>
      <c r="AFU52" s="62"/>
      <c r="AFV52" s="62"/>
      <c r="AFW52" s="62"/>
      <c r="AFX52" s="62"/>
      <c r="AFY52" s="62"/>
      <c r="AFZ52" s="62"/>
      <c r="AGA52" s="62"/>
      <c r="AGB52" s="62"/>
      <c r="AGC52" s="62"/>
      <c r="AGD52" s="62"/>
      <c r="AGE52" s="62"/>
      <c r="AGF52" s="62"/>
      <c r="AGG52" s="62"/>
      <c r="AGH52" s="62"/>
      <c r="AGI52" s="62"/>
      <c r="AGJ52" s="62"/>
      <c r="AGK52" s="62"/>
      <c r="AGL52" s="62"/>
      <c r="AGM52" s="62"/>
      <c r="AGN52" s="62"/>
      <c r="AGO52" s="62"/>
      <c r="AGP52" s="62"/>
      <c r="AGQ52" s="62"/>
      <c r="AGR52" s="62"/>
      <c r="AGS52" s="62"/>
      <c r="AGT52" s="62"/>
      <c r="AGU52" s="62"/>
      <c r="AGV52" s="62"/>
      <c r="AGW52" s="62"/>
      <c r="AGX52" s="62"/>
      <c r="AGY52" s="62"/>
      <c r="AGZ52" s="62"/>
      <c r="AHA52" s="62"/>
      <c r="AHB52" s="62"/>
      <c r="AHC52" s="62"/>
      <c r="AHD52" s="62"/>
      <c r="AHE52" s="62"/>
      <c r="AHF52" s="62"/>
      <c r="AHG52" s="62"/>
      <c r="AHH52" s="62"/>
      <c r="AHI52" s="62"/>
      <c r="AHJ52" s="62"/>
      <c r="AHK52" s="62"/>
      <c r="AHL52" s="62"/>
      <c r="AHM52" s="62"/>
      <c r="AHN52" s="62"/>
      <c r="AHO52" s="62"/>
      <c r="AHP52" s="62"/>
      <c r="AHQ52" s="62"/>
      <c r="AHR52" s="62"/>
      <c r="AHS52" s="62"/>
      <c r="AHT52" s="62"/>
      <c r="AHU52" s="62"/>
      <c r="AHV52" s="62"/>
      <c r="AHW52" s="62"/>
      <c r="AHX52" s="62"/>
      <c r="AHY52" s="62"/>
      <c r="AHZ52" s="62"/>
      <c r="AIA52" s="62"/>
      <c r="AIB52" s="62"/>
      <c r="AIC52" s="62"/>
      <c r="AID52" s="62"/>
      <c r="AIE52" s="62"/>
      <c r="AIF52" s="62"/>
      <c r="AIG52" s="62"/>
      <c r="AIH52" s="62"/>
      <c r="AII52" s="62"/>
      <c r="AIJ52" s="62"/>
      <c r="AIK52" s="62"/>
      <c r="AIL52" s="62"/>
      <c r="AIM52" s="62"/>
      <c r="AIN52" s="62"/>
      <c r="AIO52" s="62"/>
      <c r="AIP52" s="62"/>
      <c r="AIQ52" s="62"/>
      <c r="AIR52" s="62"/>
      <c r="AIS52" s="62"/>
      <c r="AIT52" s="62"/>
      <c r="AIU52" s="62"/>
      <c r="AIV52" s="62"/>
      <c r="AIW52" s="62"/>
      <c r="AIX52" s="62"/>
      <c r="AIY52" s="62"/>
      <c r="AIZ52" s="62"/>
      <c r="AJA52" s="62"/>
      <c r="AJB52" s="62"/>
      <c r="AJC52" s="62"/>
      <c r="AJD52" s="62"/>
      <c r="AJE52" s="62"/>
      <c r="AJF52" s="62"/>
      <c r="AJG52" s="62"/>
      <c r="AJH52" s="62"/>
      <c r="AJI52" s="62"/>
      <c r="AJJ52" s="62"/>
      <c r="AJK52" s="62"/>
      <c r="AJL52" s="62"/>
      <c r="AJM52" s="62"/>
      <c r="AJN52" s="62"/>
      <c r="AJO52" s="62"/>
      <c r="AJP52" s="62"/>
      <c r="AJQ52" s="62"/>
      <c r="AJR52" s="62"/>
      <c r="AJS52" s="62"/>
      <c r="AJT52" s="62"/>
      <c r="AJU52" s="62"/>
      <c r="AJV52" s="62"/>
      <c r="AJW52" s="62"/>
      <c r="AJX52" s="62"/>
      <c r="AJY52" s="62"/>
      <c r="AJZ52" s="62"/>
      <c r="AKA52" s="62"/>
      <c r="AKB52" s="62"/>
      <c r="AKC52" s="62"/>
      <c r="AKD52" s="62"/>
      <c r="AKE52" s="62"/>
      <c r="AKF52" s="62"/>
      <c r="AKG52" s="62"/>
      <c r="AKH52" s="62"/>
      <c r="AKI52" s="62"/>
      <c r="AKJ52" s="62"/>
      <c r="AKK52" s="62"/>
      <c r="AKL52" s="62"/>
      <c r="AKM52" s="62"/>
      <c r="AKN52" s="62"/>
      <c r="AKO52" s="62"/>
      <c r="AKP52" s="62"/>
      <c r="AKQ52" s="62"/>
      <c r="AKR52" s="62"/>
      <c r="AKS52" s="62"/>
      <c r="AKT52" s="62"/>
      <c r="AKU52" s="62"/>
      <c r="AKV52" s="62"/>
      <c r="AKW52" s="62"/>
      <c r="AKX52" s="62"/>
      <c r="AKY52" s="62"/>
      <c r="AKZ52" s="62"/>
      <c r="ALA52" s="62"/>
      <c r="ALB52" s="62"/>
      <c r="ALC52" s="62"/>
      <c r="ALD52" s="62"/>
      <c r="ALE52" s="62"/>
      <c r="ALF52" s="62"/>
      <c r="ALG52" s="62"/>
      <c r="ALH52" s="62"/>
      <c r="ALI52" s="62"/>
      <c r="ALJ52" s="62"/>
      <c r="ALK52" s="62"/>
      <c r="ALL52" s="62"/>
      <c r="ALM52" s="62"/>
      <c r="ALN52" s="62"/>
      <c r="ALO52" s="62"/>
      <c r="ALP52" s="62"/>
      <c r="ALQ52" s="62"/>
      <c r="ALR52" s="62"/>
      <c r="ALS52" s="62"/>
      <c r="ALT52" s="62"/>
      <c r="ALU52" s="62"/>
      <c r="ALV52" s="62"/>
      <c r="ALW52" s="62"/>
      <c r="ALX52" s="62"/>
      <c r="ALY52" s="62"/>
      <c r="ALZ52" s="62"/>
      <c r="AMA52" s="62"/>
      <c r="AMB52" s="62"/>
      <c r="AMC52" s="62"/>
      <c r="AMD52" s="62"/>
      <c r="AME52" s="62"/>
      <c r="AMF52" s="62"/>
      <c r="AMG52" s="62"/>
      <c r="AMH52" s="62"/>
      <c r="AMI52" s="62"/>
      <c r="AMJ52" s="62"/>
      <c r="AMK52" s="62"/>
    </row>
    <row r="53" s="1" customFormat="true" ht="24.75" hidden="false" customHeight="true" outlineLevel="0" collapsed="false">
      <c r="A53" s="165" t="s">
        <v>260</v>
      </c>
      <c r="B53" s="188" t="str">
        <f aca="false">IF(F56="LUCRO REAL","INFORMAR ALÍQUOTAS MÉDIAS DE RECOLHIMENTO DOS ÚLTIMOS 12 (DOZE) MESES.",IF(F56="LUCRO PRESUMIDO","ALÍQUOTAS FIXAS - PIS: 0,65%; COFINS: 3,00%.",IF(F56="SIMPLES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53" s="188"/>
      <c r="D53" s="188"/>
      <c r="E53" s="188"/>
      <c r="F53" s="188"/>
      <c r="G53" s="188"/>
      <c r="H53" s="19"/>
      <c r="I53" s="160"/>
      <c r="J53" s="160"/>
      <c r="K53" s="160"/>
      <c r="L53" s="160"/>
      <c r="M53" s="160"/>
      <c r="N53" s="160"/>
      <c r="O53" s="160"/>
      <c r="P53" s="160"/>
      <c r="Q53" s="160"/>
      <c r="R53" s="160"/>
      <c r="S53" s="160"/>
      <c r="T53" s="160"/>
      <c r="U53" s="160"/>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62"/>
      <c r="ON53" s="62"/>
      <c r="OO53" s="62"/>
      <c r="OP53" s="62"/>
      <c r="OQ53" s="62"/>
      <c r="OR53" s="62"/>
      <c r="OS53" s="62"/>
      <c r="OT53" s="62"/>
      <c r="OU53" s="62"/>
      <c r="OV53" s="62"/>
      <c r="OW53" s="62"/>
      <c r="OX53" s="62"/>
      <c r="OY53" s="62"/>
      <c r="OZ53" s="62"/>
      <c r="PA53" s="62"/>
      <c r="PB53" s="62"/>
      <c r="PC53" s="62"/>
      <c r="PD53" s="62"/>
      <c r="PE53" s="62"/>
      <c r="PF53" s="62"/>
      <c r="PG53" s="62"/>
      <c r="PH53" s="62"/>
      <c r="PI53" s="62"/>
      <c r="PJ53" s="62"/>
      <c r="PK53" s="62"/>
      <c r="PL53" s="62"/>
      <c r="PM53" s="62"/>
      <c r="PN53" s="62"/>
      <c r="PO53" s="62"/>
      <c r="PP53" s="62"/>
      <c r="PQ53" s="62"/>
      <c r="PR53" s="62"/>
      <c r="PS53" s="62"/>
      <c r="PT53" s="62"/>
      <c r="PU53" s="62"/>
      <c r="PV53" s="62"/>
      <c r="PW53" s="62"/>
      <c r="PX53" s="62"/>
      <c r="PY53" s="62"/>
      <c r="PZ53" s="62"/>
      <c r="QA53" s="62"/>
      <c r="QB53" s="62"/>
      <c r="QC53" s="62"/>
      <c r="QD53" s="62"/>
      <c r="QE53" s="62"/>
      <c r="QF53" s="62"/>
      <c r="QG53" s="62"/>
      <c r="QH53" s="62"/>
      <c r="QI53" s="62"/>
      <c r="QJ53" s="62"/>
      <c r="QK53" s="62"/>
      <c r="QL53" s="62"/>
      <c r="QM53" s="62"/>
      <c r="QN53" s="62"/>
      <c r="QO53" s="62"/>
      <c r="QP53" s="62"/>
      <c r="QQ53" s="62"/>
      <c r="QR53" s="62"/>
      <c r="QS53" s="62"/>
      <c r="QT53" s="62"/>
      <c r="QU53" s="62"/>
      <c r="QV53" s="62"/>
      <c r="QW53" s="62"/>
      <c r="QX53" s="62"/>
      <c r="QY53" s="62"/>
      <c r="QZ53" s="62"/>
      <c r="RA53" s="62"/>
      <c r="RB53" s="62"/>
      <c r="RC53" s="62"/>
      <c r="RD53" s="62"/>
      <c r="RE53" s="62"/>
      <c r="RF53" s="62"/>
      <c r="RG53" s="62"/>
      <c r="RH53" s="62"/>
      <c r="RI53" s="62"/>
      <c r="RJ53" s="62"/>
      <c r="RK53" s="62"/>
      <c r="RL53" s="62"/>
      <c r="RM53" s="62"/>
      <c r="RN53" s="62"/>
      <c r="RO53" s="62"/>
      <c r="RP53" s="62"/>
      <c r="RQ53" s="62"/>
      <c r="RR53" s="62"/>
      <c r="RS53" s="62"/>
      <c r="RT53" s="62"/>
      <c r="RU53" s="62"/>
      <c r="RV53" s="62"/>
      <c r="RW53" s="62"/>
      <c r="RX53" s="62"/>
      <c r="RY53" s="62"/>
      <c r="RZ53" s="62"/>
      <c r="SA53" s="62"/>
      <c r="SB53" s="62"/>
      <c r="SC53" s="62"/>
      <c r="SD53" s="62"/>
      <c r="SE53" s="62"/>
      <c r="SF53" s="62"/>
      <c r="SG53" s="62"/>
      <c r="SH53" s="62"/>
      <c r="SI53" s="62"/>
      <c r="SJ53" s="62"/>
      <c r="SK53" s="62"/>
      <c r="SL53" s="62"/>
      <c r="SM53" s="62"/>
      <c r="SN53" s="62"/>
      <c r="SO53" s="62"/>
      <c r="SP53" s="62"/>
      <c r="SQ53" s="62"/>
      <c r="SR53" s="62"/>
      <c r="SS53" s="62"/>
      <c r="ST53" s="62"/>
      <c r="SU53" s="62"/>
      <c r="SV53" s="62"/>
      <c r="SW53" s="62"/>
      <c r="SX53" s="62"/>
      <c r="SY53" s="62"/>
      <c r="SZ53" s="62"/>
      <c r="TA53" s="62"/>
      <c r="TB53" s="62"/>
      <c r="TC53" s="62"/>
      <c r="TD53" s="62"/>
      <c r="TE53" s="62"/>
      <c r="TF53" s="62"/>
      <c r="TG53" s="62"/>
      <c r="TH53" s="62"/>
      <c r="TI53" s="62"/>
      <c r="TJ53" s="62"/>
      <c r="TK53" s="62"/>
      <c r="TL53" s="62"/>
      <c r="TM53" s="62"/>
      <c r="TN53" s="62"/>
      <c r="TO53" s="62"/>
      <c r="TP53" s="62"/>
      <c r="TQ53" s="62"/>
      <c r="TR53" s="62"/>
      <c r="TS53" s="62"/>
      <c r="TT53" s="62"/>
      <c r="TU53" s="62"/>
      <c r="TV53" s="62"/>
      <c r="TW53" s="62"/>
      <c r="TX53" s="62"/>
      <c r="TY53" s="62"/>
      <c r="TZ53" s="62"/>
      <c r="UA53" s="62"/>
      <c r="UB53" s="62"/>
      <c r="UC53" s="62"/>
      <c r="UD53" s="62"/>
      <c r="UE53" s="62"/>
      <c r="UF53" s="62"/>
      <c r="UG53" s="62"/>
      <c r="UH53" s="62"/>
      <c r="UI53" s="62"/>
      <c r="UJ53" s="62"/>
      <c r="UK53" s="62"/>
      <c r="UL53" s="62"/>
      <c r="UM53" s="62"/>
      <c r="UN53" s="62"/>
      <c r="UO53" s="62"/>
      <c r="UP53" s="62"/>
      <c r="UQ53" s="62"/>
      <c r="UR53" s="62"/>
      <c r="US53" s="62"/>
      <c r="UT53" s="62"/>
      <c r="UU53" s="62"/>
      <c r="UV53" s="62"/>
      <c r="UW53" s="62"/>
      <c r="UX53" s="62"/>
      <c r="UY53" s="62"/>
      <c r="UZ53" s="62"/>
      <c r="VA53" s="62"/>
      <c r="VB53" s="62"/>
      <c r="VC53" s="62"/>
      <c r="VD53" s="62"/>
      <c r="VE53" s="62"/>
      <c r="VF53" s="62"/>
      <c r="VG53" s="62"/>
      <c r="VH53" s="62"/>
      <c r="VI53" s="62"/>
      <c r="VJ53" s="62"/>
      <c r="VK53" s="62"/>
      <c r="VL53" s="62"/>
      <c r="VM53" s="62"/>
      <c r="VN53" s="62"/>
      <c r="VO53" s="62"/>
      <c r="VP53" s="62"/>
      <c r="VQ53" s="62"/>
      <c r="VR53" s="62"/>
      <c r="VS53" s="62"/>
      <c r="VT53" s="62"/>
      <c r="VU53" s="62"/>
      <c r="VV53" s="62"/>
      <c r="VW53" s="62"/>
      <c r="VX53" s="62"/>
      <c r="VY53" s="62"/>
      <c r="VZ53" s="62"/>
      <c r="WA53" s="62"/>
      <c r="WB53" s="62"/>
      <c r="WC53" s="62"/>
      <c r="WD53" s="62"/>
      <c r="WE53" s="62"/>
      <c r="WF53" s="62"/>
      <c r="WG53" s="62"/>
      <c r="WH53" s="62"/>
      <c r="WI53" s="62"/>
      <c r="WJ53" s="62"/>
      <c r="WK53" s="62"/>
      <c r="WL53" s="62"/>
      <c r="WM53" s="62"/>
      <c r="WN53" s="62"/>
      <c r="WO53" s="62"/>
      <c r="WP53" s="62"/>
      <c r="WQ53" s="62"/>
      <c r="WR53" s="62"/>
      <c r="WS53" s="62"/>
      <c r="WT53" s="62"/>
      <c r="WU53" s="62"/>
      <c r="WV53" s="62"/>
      <c r="WW53" s="62"/>
      <c r="WX53" s="62"/>
      <c r="WY53" s="62"/>
      <c r="WZ53" s="62"/>
      <c r="XA53" s="62"/>
      <c r="XB53" s="62"/>
      <c r="XC53" s="62"/>
      <c r="XD53" s="62"/>
      <c r="XE53" s="62"/>
      <c r="XF53" s="62"/>
      <c r="XG53" s="62"/>
      <c r="XH53" s="62"/>
      <c r="XI53" s="62"/>
      <c r="XJ53" s="62"/>
      <c r="XK53" s="62"/>
      <c r="XL53" s="62"/>
      <c r="XM53" s="62"/>
      <c r="XN53" s="62"/>
      <c r="XO53" s="62"/>
      <c r="XP53" s="62"/>
      <c r="XQ53" s="62"/>
      <c r="XR53" s="62"/>
      <c r="XS53" s="62"/>
      <c r="XT53" s="62"/>
      <c r="XU53" s="62"/>
      <c r="XV53" s="62"/>
      <c r="XW53" s="62"/>
      <c r="XX53" s="62"/>
      <c r="XY53" s="62"/>
      <c r="XZ53" s="62"/>
      <c r="YA53" s="62"/>
      <c r="YB53" s="62"/>
      <c r="YC53" s="62"/>
      <c r="YD53" s="62"/>
      <c r="YE53" s="62"/>
      <c r="YF53" s="62"/>
      <c r="YG53" s="62"/>
      <c r="YH53" s="62"/>
      <c r="YI53" s="62"/>
      <c r="YJ53" s="62"/>
      <c r="YK53" s="62"/>
      <c r="YL53" s="62"/>
      <c r="YM53" s="62"/>
      <c r="YN53" s="62"/>
      <c r="YO53" s="62"/>
      <c r="YP53" s="62"/>
      <c r="YQ53" s="62"/>
      <c r="YR53" s="62"/>
      <c r="YS53" s="62"/>
      <c r="YT53" s="62"/>
      <c r="YU53" s="62"/>
      <c r="YV53" s="62"/>
      <c r="YW53" s="62"/>
      <c r="YX53" s="62"/>
      <c r="YY53" s="62"/>
      <c r="YZ53" s="62"/>
      <c r="ZA53" s="62"/>
      <c r="ZB53" s="62"/>
      <c r="ZC53" s="62"/>
      <c r="ZD53" s="62"/>
      <c r="ZE53" s="62"/>
      <c r="ZF53" s="62"/>
      <c r="ZG53" s="62"/>
      <c r="ZH53" s="62"/>
      <c r="ZI53" s="62"/>
      <c r="ZJ53" s="62"/>
      <c r="ZK53" s="62"/>
      <c r="ZL53" s="62"/>
      <c r="ZM53" s="62"/>
      <c r="ZN53" s="62"/>
      <c r="ZO53" s="62"/>
      <c r="ZP53" s="62"/>
      <c r="ZQ53" s="62"/>
      <c r="ZR53" s="62"/>
      <c r="ZS53" s="62"/>
      <c r="ZT53" s="62"/>
      <c r="ZU53" s="62"/>
      <c r="ZV53" s="62"/>
      <c r="ZW53" s="62"/>
      <c r="ZX53" s="62"/>
      <c r="ZY53" s="62"/>
      <c r="ZZ53" s="62"/>
      <c r="AAA53" s="62"/>
      <c r="AAB53" s="62"/>
      <c r="AAC53" s="62"/>
      <c r="AAD53" s="62"/>
      <c r="AAE53" s="62"/>
      <c r="AAF53" s="62"/>
      <c r="AAG53" s="62"/>
      <c r="AAH53" s="62"/>
      <c r="AAI53" s="62"/>
      <c r="AAJ53" s="62"/>
      <c r="AAK53" s="62"/>
      <c r="AAL53" s="62"/>
      <c r="AAM53" s="62"/>
      <c r="AAN53" s="62"/>
      <c r="AAO53" s="62"/>
      <c r="AAP53" s="62"/>
      <c r="AAQ53" s="62"/>
      <c r="AAR53" s="62"/>
      <c r="AAS53" s="62"/>
      <c r="AAT53" s="62"/>
      <c r="AAU53" s="62"/>
      <c r="AAV53" s="62"/>
      <c r="AAW53" s="62"/>
      <c r="AAX53" s="62"/>
      <c r="AAY53" s="62"/>
      <c r="AAZ53" s="62"/>
      <c r="ABA53" s="62"/>
      <c r="ABB53" s="62"/>
      <c r="ABC53" s="62"/>
      <c r="ABD53" s="62"/>
      <c r="ABE53" s="62"/>
      <c r="ABF53" s="62"/>
      <c r="ABG53" s="62"/>
      <c r="ABH53" s="62"/>
      <c r="ABI53" s="62"/>
      <c r="ABJ53" s="62"/>
      <c r="ABK53" s="62"/>
      <c r="ABL53" s="62"/>
      <c r="ABM53" s="62"/>
      <c r="ABN53" s="62"/>
      <c r="ABO53" s="62"/>
      <c r="ABP53" s="62"/>
      <c r="ABQ53" s="62"/>
      <c r="ABR53" s="62"/>
      <c r="ABS53" s="62"/>
      <c r="ABT53" s="62"/>
      <c r="ABU53" s="62"/>
      <c r="ABV53" s="62"/>
      <c r="ABW53" s="62"/>
      <c r="ABX53" s="62"/>
      <c r="ABY53" s="62"/>
      <c r="ABZ53" s="62"/>
      <c r="ACA53" s="62"/>
      <c r="ACB53" s="62"/>
      <c r="ACC53" s="62"/>
      <c r="ACD53" s="62"/>
      <c r="ACE53" s="62"/>
      <c r="ACF53" s="62"/>
      <c r="ACG53" s="62"/>
      <c r="ACH53" s="62"/>
      <c r="ACI53" s="62"/>
      <c r="ACJ53" s="62"/>
      <c r="ACK53" s="62"/>
      <c r="ACL53" s="62"/>
      <c r="ACM53" s="62"/>
      <c r="ACN53" s="62"/>
      <c r="ACO53" s="62"/>
      <c r="ACP53" s="62"/>
      <c r="ACQ53" s="62"/>
      <c r="ACR53" s="62"/>
      <c r="ACS53" s="62"/>
      <c r="ACT53" s="62"/>
      <c r="ACU53" s="62"/>
      <c r="ACV53" s="62"/>
      <c r="ACW53" s="62"/>
      <c r="ACX53" s="62"/>
      <c r="ACY53" s="62"/>
      <c r="ACZ53" s="62"/>
      <c r="ADA53" s="62"/>
      <c r="ADB53" s="62"/>
      <c r="ADC53" s="62"/>
      <c r="ADD53" s="62"/>
      <c r="ADE53" s="62"/>
      <c r="ADF53" s="62"/>
      <c r="ADG53" s="62"/>
      <c r="ADH53" s="62"/>
      <c r="ADI53" s="62"/>
      <c r="ADJ53" s="62"/>
      <c r="ADK53" s="62"/>
      <c r="ADL53" s="62"/>
      <c r="ADM53" s="62"/>
      <c r="ADN53" s="62"/>
      <c r="ADO53" s="62"/>
      <c r="ADP53" s="62"/>
      <c r="ADQ53" s="62"/>
      <c r="ADR53" s="62"/>
      <c r="ADS53" s="62"/>
      <c r="ADT53" s="62"/>
      <c r="ADU53" s="62"/>
      <c r="ADV53" s="62"/>
      <c r="ADW53" s="62"/>
      <c r="ADX53" s="62"/>
      <c r="ADY53" s="62"/>
      <c r="ADZ53" s="62"/>
      <c r="AEA53" s="62"/>
      <c r="AEB53" s="62"/>
      <c r="AEC53" s="62"/>
      <c r="AED53" s="62"/>
      <c r="AEE53" s="62"/>
      <c r="AEF53" s="62"/>
      <c r="AEG53" s="62"/>
      <c r="AEH53" s="62"/>
      <c r="AEI53" s="62"/>
      <c r="AEJ53" s="62"/>
      <c r="AEK53" s="62"/>
      <c r="AEL53" s="62"/>
      <c r="AEM53" s="62"/>
      <c r="AEN53" s="62"/>
      <c r="AEO53" s="62"/>
      <c r="AEP53" s="62"/>
      <c r="AEQ53" s="62"/>
      <c r="AER53" s="62"/>
      <c r="AES53" s="62"/>
      <c r="AET53" s="62"/>
      <c r="AEU53" s="62"/>
      <c r="AEV53" s="62"/>
      <c r="AEW53" s="62"/>
      <c r="AEX53" s="62"/>
      <c r="AEY53" s="62"/>
      <c r="AEZ53" s="62"/>
      <c r="AFA53" s="62"/>
      <c r="AFB53" s="62"/>
      <c r="AFC53" s="62"/>
      <c r="AFD53" s="62"/>
      <c r="AFE53" s="62"/>
      <c r="AFF53" s="62"/>
      <c r="AFG53" s="62"/>
      <c r="AFH53" s="62"/>
      <c r="AFI53" s="62"/>
      <c r="AFJ53" s="62"/>
      <c r="AFK53" s="62"/>
      <c r="AFL53" s="62"/>
      <c r="AFM53" s="62"/>
      <c r="AFN53" s="62"/>
      <c r="AFO53" s="62"/>
      <c r="AFP53" s="62"/>
      <c r="AFQ53" s="62"/>
      <c r="AFR53" s="62"/>
      <c r="AFS53" s="62"/>
      <c r="AFT53" s="62"/>
      <c r="AFU53" s="62"/>
      <c r="AFV53" s="62"/>
      <c r="AFW53" s="62"/>
      <c r="AFX53" s="62"/>
      <c r="AFY53" s="62"/>
      <c r="AFZ53" s="62"/>
      <c r="AGA53" s="62"/>
      <c r="AGB53" s="62"/>
      <c r="AGC53" s="62"/>
      <c r="AGD53" s="62"/>
      <c r="AGE53" s="62"/>
      <c r="AGF53" s="62"/>
      <c r="AGG53" s="62"/>
      <c r="AGH53" s="62"/>
      <c r="AGI53" s="62"/>
      <c r="AGJ53" s="62"/>
      <c r="AGK53" s="62"/>
      <c r="AGL53" s="62"/>
      <c r="AGM53" s="62"/>
      <c r="AGN53" s="62"/>
      <c r="AGO53" s="62"/>
      <c r="AGP53" s="62"/>
      <c r="AGQ53" s="62"/>
      <c r="AGR53" s="62"/>
      <c r="AGS53" s="62"/>
      <c r="AGT53" s="62"/>
      <c r="AGU53" s="62"/>
      <c r="AGV53" s="62"/>
      <c r="AGW53" s="62"/>
      <c r="AGX53" s="62"/>
      <c r="AGY53" s="62"/>
      <c r="AGZ53" s="62"/>
      <c r="AHA53" s="62"/>
      <c r="AHB53" s="62"/>
      <c r="AHC53" s="62"/>
      <c r="AHD53" s="62"/>
      <c r="AHE53" s="62"/>
      <c r="AHF53" s="62"/>
      <c r="AHG53" s="62"/>
      <c r="AHH53" s="62"/>
      <c r="AHI53" s="62"/>
      <c r="AHJ53" s="62"/>
      <c r="AHK53" s="62"/>
      <c r="AHL53" s="62"/>
      <c r="AHM53" s="62"/>
      <c r="AHN53" s="62"/>
      <c r="AHO53" s="62"/>
      <c r="AHP53" s="62"/>
      <c r="AHQ53" s="62"/>
      <c r="AHR53" s="62"/>
      <c r="AHS53" s="62"/>
      <c r="AHT53" s="62"/>
      <c r="AHU53" s="62"/>
      <c r="AHV53" s="62"/>
      <c r="AHW53" s="62"/>
      <c r="AHX53" s="62"/>
      <c r="AHY53" s="62"/>
      <c r="AHZ53" s="62"/>
      <c r="AIA53" s="62"/>
      <c r="AIB53" s="62"/>
      <c r="AIC53" s="62"/>
      <c r="AID53" s="62"/>
      <c r="AIE53" s="62"/>
      <c r="AIF53" s="62"/>
      <c r="AIG53" s="62"/>
      <c r="AIH53" s="62"/>
      <c r="AII53" s="62"/>
      <c r="AIJ53" s="62"/>
      <c r="AIK53" s="62"/>
      <c r="AIL53" s="62"/>
      <c r="AIM53" s="62"/>
      <c r="AIN53" s="62"/>
      <c r="AIO53" s="62"/>
      <c r="AIP53" s="62"/>
      <c r="AIQ53" s="62"/>
      <c r="AIR53" s="62"/>
      <c r="AIS53" s="62"/>
      <c r="AIT53" s="62"/>
      <c r="AIU53" s="62"/>
      <c r="AIV53" s="62"/>
      <c r="AIW53" s="62"/>
      <c r="AIX53" s="62"/>
      <c r="AIY53" s="62"/>
      <c r="AIZ53" s="62"/>
      <c r="AJA53" s="62"/>
      <c r="AJB53" s="62"/>
      <c r="AJC53" s="62"/>
      <c r="AJD53" s="62"/>
      <c r="AJE53" s="62"/>
      <c r="AJF53" s="62"/>
      <c r="AJG53" s="62"/>
      <c r="AJH53" s="62"/>
      <c r="AJI53" s="62"/>
      <c r="AJJ53" s="62"/>
      <c r="AJK53" s="62"/>
      <c r="AJL53" s="62"/>
      <c r="AJM53" s="62"/>
      <c r="AJN53" s="62"/>
      <c r="AJO53" s="62"/>
      <c r="AJP53" s="62"/>
      <c r="AJQ53" s="62"/>
      <c r="AJR53" s="62"/>
      <c r="AJS53" s="62"/>
      <c r="AJT53" s="62"/>
      <c r="AJU53" s="62"/>
      <c r="AJV53" s="62"/>
      <c r="AJW53" s="62"/>
      <c r="AJX53" s="62"/>
      <c r="AJY53" s="62"/>
      <c r="AJZ53" s="62"/>
      <c r="AKA53" s="62"/>
      <c r="AKB53" s="62"/>
      <c r="AKC53" s="62"/>
      <c r="AKD53" s="62"/>
      <c r="AKE53" s="62"/>
      <c r="AKF53" s="62"/>
      <c r="AKG53" s="62"/>
      <c r="AKH53" s="62"/>
      <c r="AKI53" s="62"/>
      <c r="AKJ53" s="62"/>
      <c r="AKK53" s="62"/>
      <c r="AKL53" s="62"/>
      <c r="AKM53" s="62"/>
      <c r="AKN53" s="62"/>
      <c r="AKO53" s="62"/>
      <c r="AKP53" s="62"/>
      <c r="AKQ53" s="62"/>
      <c r="AKR53" s="62"/>
      <c r="AKS53" s="62"/>
      <c r="AKT53" s="62"/>
      <c r="AKU53" s="62"/>
      <c r="AKV53" s="62"/>
      <c r="AKW53" s="62"/>
      <c r="AKX53" s="62"/>
      <c r="AKY53" s="62"/>
      <c r="AKZ53" s="62"/>
      <c r="ALA53" s="62"/>
      <c r="ALB53" s="62"/>
      <c r="ALC53" s="62"/>
      <c r="ALD53" s="62"/>
      <c r="ALE53" s="62"/>
      <c r="ALF53" s="62"/>
      <c r="ALG53" s="62"/>
      <c r="ALH53" s="62"/>
      <c r="ALI53" s="62"/>
      <c r="ALJ53" s="62"/>
      <c r="ALK53" s="62"/>
      <c r="ALL53" s="62"/>
      <c r="ALM53" s="62"/>
      <c r="ALN53" s="62"/>
      <c r="ALO53" s="62"/>
      <c r="ALP53" s="62"/>
      <c r="ALQ53" s="62"/>
      <c r="ALR53" s="62"/>
      <c r="ALS53" s="62"/>
      <c r="ALT53" s="62"/>
      <c r="ALU53" s="62"/>
      <c r="ALV53" s="62"/>
      <c r="ALW53" s="62"/>
      <c r="ALX53" s="62"/>
      <c r="ALY53" s="62"/>
      <c r="ALZ53" s="62"/>
      <c r="AMA53" s="62"/>
      <c r="AMB53" s="62"/>
      <c r="AMC53" s="62"/>
      <c r="AMD53" s="62"/>
      <c r="AME53" s="62"/>
      <c r="AMF53" s="62"/>
      <c r="AMG53" s="62"/>
      <c r="AMH53" s="62"/>
      <c r="AMI53" s="62"/>
      <c r="AMJ53" s="62"/>
      <c r="AMK53" s="62"/>
    </row>
    <row r="54" s="1" customFormat="true" ht="24.75" hidden="false" customHeight="true" outlineLevel="0" collapsed="false">
      <c r="A54" s="165"/>
      <c r="B54" s="165"/>
      <c r="C54" s="188"/>
      <c r="D54" s="188"/>
      <c r="E54" s="188"/>
      <c r="F54" s="188"/>
      <c r="G54" s="188"/>
      <c r="H54" s="19"/>
      <c r="I54" s="160"/>
      <c r="J54" s="160"/>
      <c r="K54" s="160"/>
      <c r="L54" s="160"/>
      <c r="M54" s="160"/>
      <c r="N54" s="160"/>
      <c r="O54" s="160"/>
      <c r="P54" s="160"/>
      <c r="Q54" s="160"/>
      <c r="R54" s="160"/>
      <c r="S54" s="160"/>
      <c r="T54" s="160"/>
      <c r="U54" s="160"/>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c r="IF54" s="62"/>
      <c r="IG54" s="62"/>
      <c r="IH54" s="62"/>
      <c r="II54" s="62"/>
      <c r="IJ54" s="62"/>
      <c r="IK54" s="62"/>
      <c r="IL54" s="62"/>
      <c r="IM54" s="62"/>
      <c r="IN54" s="62"/>
      <c r="IO54" s="62"/>
      <c r="IP54" s="62"/>
      <c r="IQ54" s="62"/>
      <c r="IR54" s="62"/>
      <c r="IS54" s="62"/>
      <c r="IT54" s="62"/>
      <c r="IU54" s="62"/>
      <c r="IV54" s="62"/>
      <c r="IW54" s="62"/>
      <c r="IX54" s="62"/>
      <c r="IY54" s="62"/>
      <c r="IZ54" s="62"/>
      <c r="JA54" s="62"/>
      <c r="JB54" s="62"/>
      <c r="JC54" s="62"/>
      <c r="JD54" s="62"/>
      <c r="JE54" s="62"/>
      <c r="JF54" s="62"/>
      <c r="JG54" s="62"/>
      <c r="JH54" s="62"/>
      <c r="JI54" s="62"/>
      <c r="JJ54" s="62"/>
      <c r="JK54" s="62"/>
      <c r="JL54" s="62"/>
      <c r="JM54" s="62"/>
      <c r="JN54" s="62"/>
      <c r="JO54" s="62"/>
      <c r="JP54" s="62"/>
      <c r="JQ54" s="62"/>
      <c r="JR54" s="62"/>
      <c r="JS54" s="62"/>
      <c r="JT54" s="62"/>
      <c r="JU54" s="62"/>
      <c r="JV54" s="62"/>
      <c r="JW54" s="62"/>
      <c r="JX54" s="62"/>
      <c r="JY54" s="62"/>
      <c r="JZ54" s="62"/>
      <c r="KA54" s="62"/>
      <c r="KB54" s="62"/>
      <c r="KC54" s="62"/>
      <c r="KD54" s="62"/>
      <c r="KE54" s="62"/>
      <c r="KF54" s="62"/>
      <c r="KG54" s="62"/>
      <c r="KH54" s="62"/>
      <c r="KI54" s="62"/>
      <c r="KJ54" s="62"/>
      <c r="KK54" s="62"/>
      <c r="KL54" s="62"/>
      <c r="KM54" s="62"/>
      <c r="KN54" s="62"/>
      <c r="KO54" s="62"/>
      <c r="KP54" s="62"/>
      <c r="KQ54" s="62"/>
      <c r="KR54" s="62"/>
      <c r="KS54" s="62"/>
      <c r="KT54" s="62"/>
      <c r="KU54" s="62"/>
      <c r="KV54" s="62"/>
      <c r="KW54" s="62"/>
      <c r="KX54" s="62"/>
      <c r="KY54" s="62"/>
      <c r="KZ54" s="62"/>
      <c r="LA54" s="62"/>
      <c r="LB54" s="62"/>
      <c r="LC54" s="62"/>
      <c r="LD54" s="62"/>
      <c r="LE54" s="62"/>
      <c r="LF54" s="62"/>
      <c r="LG54" s="62"/>
      <c r="LH54" s="62"/>
      <c r="LI54" s="62"/>
      <c r="LJ54" s="62"/>
      <c r="LK54" s="62"/>
      <c r="LL54" s="62"/>
      <c r="LM54" s="62"/>
      <c r="LN54" s="62"/>
      <c r="LO54" s="62"/>
      <c r="LP54" s="62"/>
      <c r="LQ54" s="62"/>
      <c r="LR54" s="62"/>
      <c r="LS54" s="62"/>
      <c r="LT54" s="62"/>
      <c r="LU54" s="62"/>
      <c r="LV54" s="62"/>
      <c r="LW54" s="62"/>
      <c r="LX54" s="62"/>
      <c r="LY54" s="62"/>
      <c r="LZ54" s="62"/>
      <c r="MA54" s="62"/>
      <c r="MB54" s="62"/>
      <c r="MC54" s="62"/>
      <c r="MD54" s="62"/>
      <c r="ME54" s="62"/>
      <c r="MF54" s="62"/>
      <c r="MG54" s="62"/>
      <c r="MH54" s="62"/>
      <c r="MI54" s="62"/>
      <c r="MJ54" s="62"/>
      <c r="MK54" s="62"/>
      <c r="ML54" s="62"/>
      <c r="MM54" s="62"/>
      <c r="MN54" s="62"/>
      <c r="MO54" s="62"/>
      <c r="MP54" s="62"/>
      <c r="MQ54" s="62"/>
      <c r="MR54" s="62"/>
      <c r="MS54" s="62"/>
      <c r="MT54" s="62"/>
      <c r="MU54" s="62"/>
      <c r="MV54" s="62"/>
      <c r="MW54" s="62"/>
      <c r="MX54" s="62"/>
      <c r="MY54" s="62"/>
      <c r="MZ54" s="62"/>
      <c r="NA54" s="62"/>
      <c r="NB54" s="62"/>
      <c r="NC54" s="62"/>
      <c r="ND54" s="62"/>
      <c r="NE54" s="62"/>
      <c r="NF54" s="62"/>
      <c r="NG54" s="62"/>
      <c r="NH54" s="62"/>
      <c r="NI54" s="62"/>
      <c r="NJ54" s="62"/>
      <c r="NK54" s="62"/>
      <c r="NL54" s="62"/>
      <c r="NM54" s="62"/>
      <c r="NN54" s="62"/>
      <c r="NO54" s="62"/>
      <c r="NP54" s="62"/>
      <c r="NQ54" s="62"/>
      <c r="NR54" s="62"/>
      <c r="NS54" s="62"/>
      <c r="NT54" s="62"/>
      <c r="NU54" s="62"/>
      <c r="NV54" s="62"/>
      <c r="NW54" s="62"/>
      <c r="NX54" s="62"/>
      <c r="NY54" s="62"/>
      <c r="NZ54" s="62"/>
      <c r="OA54" s="62"/>
      <c r="OB54" s="62"/>
      <c r="OC54" s="62"/>
      <c r="OD54" s="62"/>
      <c r="OE54" s="62"/>
      <c r="OF54" s="62"/>
      <c r="OG54" s="62"/>
      <c r="OH54" s="62"/>
      <c r="OI54" s="62"/>
      <c r="OJ54" s="62"/>
      <c r="OK54" s="62"/>
      <c r="OL54" s="62"/>
      <c r="OM54" s="62"/>
      <c r="ON54" s="62"/>
      <c r="OO54" s="62"/>
      <c r="OP54" s="62"/>
      <c r="OQ54" s="62"/>
      <c r="OR54" s="62"/>
      <c r="OS54" s="62"/>
      <c r="OT54" s="62"/>
      <c r="OU54" s="62"/>
      <c r="OV54" s="62"/>
      <c r="OW54" s="62"/>
      <c r="OX54" s="62"/>
      <c r="OY54" s="62"/>
      <c r="OZ54" s="62"/>
      <c r="PA54" s="62"/>
      <c r="PB54" s="62"/>
      <c r="PC54" s="62"/>
      <c r="PD54" s="62"/>
      <c r="PE54" s="62"/>
      <c r="PF54" s="62"/>
      <c r="PG54" s="62"/>
      <c r="PH54" s="62"/>
      <c r="PI54" s="62"/>
      <c r="PJ54" s="62"/>
      <c r="PK54" s="62"/>
      <c r="PL54" s="62"/>
      <c r="PM54" s="62"/>
      <c r="PN54" s="62"/>
      <c r="PO54" s="62"/>
      <c r="PP54" s="62"/>
      <c r="PQ54" s="62"/>
      <c r="PR54" s="62"/>
      <c r="PS54" s="62"/>
      <c r="PT54" s="62"/>
      <c r="PU54" s="62"/>
      <c r="PV54" s="62"/>
      <c r="PW54" s="62"/>
      <c r="PX54" s="62"/>
      <c r="PY54" s="62"/>
      <c r="PZ54" s="62"/>
      <c r="QA54" s="62"/>
      <c r="QB54" s="62"/>
      <c r="QC54" s="62"/>
      <c r="QD54" s="62"/>
      <c r="QE54" s="62"/>
      <c r="QF54" s="62"/>
      <c r="QG54" s="62"/>
      <c r="QH54" s="62"/>
      <c r="QI54" s="62"/>
      <c r="QJ54" s="62"/>
      <c r="QK54" s="62"/>
      <c r="QL54" s="62"/>
      <c r="QM54" s="62"/>
      <c r="QN54" s="62"/>
      <c r="QO54" s="62"/>
      <c r="QP54" s="62"/>
      <c r="QQ54" s="62"/>
      <c r="QR54" s="62"/>
      <c r="QS54" s="62"/>
      <c r="QT54" s="62"/>
      <c r="QU54" s="62"/>
      <c r="QV54" s="62"/>
      <c r="QW54" s="62"/>
      <c r="QX54" s="62"/>
      <c r="QY54" s="62"/>
      <c r="QZ54" s="62"/>
      <c r="RA54" s="62"/>
      <c r="RB54" s="62"/>
      <c r="RC54" s="62"/>
      <c r="RD54" s="62"/>
      <c r="RE54" s="62"/>
      <c r="RF54" s="62"/>
      <c r="RG54" s="62"/>
      <c r="RH54" s="62"/>
      <c r="RI54" s="62"/>
      <c r="RJ54" s="62"/>
      <c r="RK54" s="62"/>
      <c r="RL54" s="62"/>
      <c r="RM54" s="62"/>
      <c r="RN54" s="62"/>
      <c r="RO54" s="62"/>
      <c r="RP54" s="62"/>
      <c r="RQ54" s="62"/>
      <c r="RR54" s="62"/>
      <c r="RS54" s="62"/>
      <c r="RT54" s="62"/>
      <c r="RU54" s="62"/>
      <c r="RV54" s="62"/>
      <c r="RW54" s="62"/>
      <c r="RX54" s="62"/>
      <c r="RY54" s="62"/>
      <c r="RZ54" s="62"/>
      <c r="SA54" s="62"/>
      <c r="SB54" s="62"/>
      <c r="SC54" s="62"/>
      <c r="SD54" s="62"/>
      <c r="SE54" s="62"/>
      <c r="SF54" s="62"/>
      <c r="SG54" s="62"/>
      <c r="SH54" s="62"/>
      <c r="SI54" s="62"/>
      <c r="SJ54" s="62"/>
      <c r="SK54" s="62"/>
      <c r="SL54" s="62"/>
      <c r="SM54" s="62"/>
      <c r="SN54" s="62"/>
      <c r="SO54" s="62"/>
      <c r="SP54" s="62"/>
      <c r="SQ54" s="62"/>
      <c r="SR54" s="62"/>
      <c r="SS54" s="62"/>
      <c r="ST54" s="62"/>
      <c r="SU54" s="62"/>
      <c r="SV54" s="62"/>
      <c r="SW54" s="62"/>
      <c r="SX54" s="62"/>
      <c r="SY54" s="62"/>
      <c r="SZ54" s="62"/>
      <c r="TA54" s="62"/>
      <c r="TB54" s="62"/>
      <c r="TC54" s="62"/>
      <c r="TD54" s="62"/>
      <c r="TE54" s="62"/>
      <c r="TF54" s="62"/>
      <c r="TG54" s="62"/>
      <c r="TH54" s="62"/>
      <c r="TI54" s="62"/>
      <c r="TJ54" s="62"/>
      <c r="TK54" s="62"/>
      <c r="TL54" s="62"/>
      <c r="TM54" s="62"/>
      <c r="TN54" s="62"/>
      <c r="TO54" s="62"/>
      <c r="TP54" s="62"/>
      <c r="TQ54" s="62"/>
      <c r="TR54" s="62"/>
      <c r="TS54" s="62"/>
      <c r="TT54" s="62"/>
      <c r="TU54" s="62"/>
      <c r="TV54" s="62"/>
      <c r="TW54" s="62"/>
      <c r="TX54" s="62"/>
      <c r="TY54" s="62"/>
      <c r="TZ54" s="62"/>
      <c r="UA54" s="62"/>
      <c r="UB54" s="62"/>
      <c r="UC54" s="62"/>
      <c r="UD54" s="62"/>
      <c r="UE54" s="62"/>
      <c r="UF54" s="62"/>
      <c r="UG54" s="62"/>
      <c r="UH54" s="62"/>
      <c r="UI54" s="62"/>
      <c r="UJ54" s="62"/>
      <c r="UK54" s="62"/>
      <c r="UL54" s="62"/>
      <c r="UM54" s="62"/>
      <c r="UN54" s="62"/>
      <c r="UO54" s="62"/>
      <c r="UP54" s="62"/>
      <c r="UQ54" s="62"/>
      <c r="UR54" s="62"/>
      <c r="US54" s="62"/>
      <c r="UT54" s="62"/>
      <c r="UU54" s="62"/>
      <c r="UV54" s="62"/>
      <c r="UW54" s="62"/>
      <c r="UX54" s="62"/>
      <c r="UY54" s="62"/>
      <c r="UZ54" s="62"/>
      <c r="VA54" s="62"/>
      <c r="VB54" s="62"/>
      <c r="VC54" s="62"/>
      <c r="VD54" s="62"/>
      <c r="VE54" s="62"/>
      <c r="VF54" s="62"/>
      <c r="VG54" s="62"/>
      <c r="VH54" s="62"/>
      <c r="VI54" s="62"/>
      <c r="VJ54" s="62"/>
      <c r="VK54" s="62"/>
      <c r="VL54" s="62"/>
      <c r="VM54" s="62"/>
      <c r="VN54" s="62"/>
      <c r="VO54" s="62"/>
      <c r="VP54" s="62"/>
      <c r="VQ54" s="62"/>
      <c r="VR54" s="62"/>
      <c r="VS54" s="62"/>
      <c r="VT54" s="62"/>
      <c r="VU54" s="62"/>
      <c r="VV54" s="62"/>
      <c r="VW54" s="62"/>
      <c r="VX54" s="62"/>
      <c r="VY54" s="62"/>
      <c r="VZ54" s="62"/>
      <c r="WA54" s="62"/>
      <c r="WB54" s="62"/>
      <c r="WC54" s="62"/>
      <c r="WD54" s="62"/>
      <c r="WE54" s="62"/>
      <c r="WF54" s="62"/>
      <c r="WG54" s="62"/>
      <c r="WH54" s="62"/>
      <c r="WI54" s="62"/>
      <c r="WJ54" s="62"/>
      <c r="WK54" s="62"/>
      <c r="WL54" s="62"/>
      <c r="WM54" s="62"/>
      <c r="WN54" s="62"/>
      <c r="WO54" s="62"/>
      <c r="WP54" s="62"/>
      <c r="WQ54" s="62"/>
      <c r="WR54" s="62"/>
      <c r="WS54" s="62"/>
      <c r="WT54" s="62"/>
      <c r="WU54" s="62"/>
      <c r="WV54" s="62"/>
      <c r="WW54" s="62"/>
      <c r="WX54" s="62"/>
      <c r="WY54" s="62"/>
      <c r="WZ54" s="62"/>
      <c r="XA54" s="62"/>
      <c r="XB54" s="62"/>
      <c r="XC54" s="62"/>
      <c r="XD54" s="62"/>
      <c r="XE54" s="62"/>
      <c r="XF54" s="62"/>
      <c r="XG54" s="62"/>
      <c r="XH54" s="62"/>
      <c r="XI54" s="62"/>
      <c r="XJ54" s="62"/>
      <c r="XK54" s="62"/>
      <c r="XL54" s="62"/>
      <c r="XM54" s="62"/>
      <c r="XN54" s="62"/>
      <c r="XO54" s="62"/>
      <c r="XP54" s="62"/>
      <c r="XQ54" s="62"/>
      <c r="XR54" s="62"/>
      <c r="XS54" s="62"/>
      <c r="XT54" s="62"/>
      <c r="XU54" s="62"/>
      <c r="XV54" s="62"/>
      <c r="XW54" s="62"/>
      <c r="XX54" s="62"/>
      <c r="XY54" s="62"/>
      <c r="XZ54" s="62"/>
      <c r="YA54" s="62"/>
      <c r="YB54" s="62"/>
      <c r="YC54" s="62"/>
      <c r="YD54" s="62"/>
      <c r="YE54" s="62"/>
      <c r="YF54" s="62"/>
      <c r="YG54" s="62"/>
      <c r="YH54" s="62"/>
      <c r="YI54" s="62"/>
      <c r="YJ54" s="62"/>
      <c r="YK54" s="62"/>
      <c r="YL54" s="62"/>
      <c r="YM54" s="62"/>
      <c r="YN54" s="62"/>
      <c r="YO54" s="62"/>
      <c r="YP54" s="62"/>
      <c r="YQ54" s="62"/>
      <c r="YR54" s="62"/>
      <c r="YS54" s="62"/>
      <c r="YT54" s="62"/>
      <c r="YU54" s="62"/>
      <c r="YV54" s="62"/>
      <c r="YW54" s="62"/>
      <c r="YX54" s="62"/>
      <c r="YY54" s="62"/>
      <c r="YZ54" s="62"/>
      <c r="ZA54" s="62"/>
      <c r="ZB54" s="62"/>
      <c r="ZC54" s="62"/>
      <c r="ZD54" s="62"/>
      <c r="ZE54" s="62"/>
      <c r="ZF54" s="62"/>
      <c r="ZG54" s="62"/>
      <c r="ZH54" s="62"/>
      <c r="ZI54" s="62"/>
      <c r="ZJ54" s="62"/>
      <c r="ZK54" s="62"/>
      <c r="ZL54" s="62"/>
      <c r="ZM54" s="62"/>
      <c r="ZN54" s="62"/>
      <c r="ZO54" s="62"/>
      <c r="ZP54" s="62"/>
      <c r="ZQ54" s="62"/>
      <c r="ZR54" s="62"/>
      <c r="ZS54" s="62"/>
      <c r="ZT54" s="62"/>
      <c r="ZU54" s="62"/>
      <c r="ZV54" s="62"/>
      <c r="ZW54" s="62"/>
      <c r="ZX54" s="62"/>
      <c r="ZY54" s="62"/>
      <c r="ZZ54" s="62"/>
      <c r="AAA54" s="62"/>
      <c r="AAB54" s="62"/>
      <c r="AAC54" s="62"/>
      <c r="AAD54" s="62"/>
      <c r="AAE54" s="62"/>
      <c r="AAF54" s="62"/>
      <c r="AAG54" s="62"/>
      <c r="AAH54" s="62"/>
      <c r="AAI54" s="62"/>
      <c r="AAJ54" s="62"/>
      <c r="AAK54" s="62"/>
      <c r="AAL54" s="62"/>
      <c r="AAM54" s="62"/>
      <c r="AAN54" s="62"/>
      <c r="AAO54" s="62"/>
      <c r="AAP54" s="62"/>
      <c r="AAQ54" s="62"/>
      <c r="AAR54" s="62"/>
      <c r="AAS54" s="62"/>
      <c r="AAT54" s="62"/>
      <c r="AAU54" s="62"/>
      <c r="AAV54" s="62"/>
      <c r="AAW54" s="62"/>
      <c r="AAX54" s="62"/>
      <c r="AAY54" s="62"/>
      <c r="AAZ54" s="62"/>
      <c r="ABA54" s="62"/>
      <c r="ABB54" s="62"/>
      <c r="ABC54" s="62"/>
      <c r="ABD54" s="62"/>
      <c r="ABE54" s="62"/>
      <c r="ABF54" s="62"/>
      <c r="ABG54" s="62"/>
      <c r="ABH54" s="62"/>
      <c r="ABI54" s="62"/>
      <c r="ABJ54" s="62"/>
      <c r="ABK54" s="62"/>
      <c r="ABL54" s="62"/>
      <c r="ABM54" s="62"/>
      <c r="ABN54" s="62"/>
      <c r="ABO54" s="62"/>
      <c r="ABP54" s="62"/>
      <c r="ABQ54" s="62"/>
      <c r="ABR54" s="62"/>
      <c r="ABS54" s="62"/>
      <c r="ABT54" s="62"/>
      <c r="ABU54" s="62"/>
      <c r="ABV54" s="62"/>
      <c r="ABW54" s="62"/>
      <c r="ABX54" s="62"/>
      <c r="ABY54" s="62"/>
      <c r="ABZ54" s="62"/>
      <c r="ACA54" s="62"/>
      <c r="ACB54" s="62"/>
      <c r="ACC54" s="62"/>
      <c r="ACD54" s="62"/>
      <c r="ACE54" s="62"/>
      <c r="ACF54" s="62"/>
      <c r="ACG54" s="62"/>
      <c r="ACH54" s="62"/>
      <c r="ACI54" s="62"/>
      <c r="ACJ54" s="62"/>
      <c r="ACK54" s="62"/>
      <c r="ACL54" s="62"/>
      <c r="ACM54" s="62"/>
      <c r="ACN54" s="62"/>
      <c r="ACO54" s="62"/>
      <c r="ACP54" s="62"/>
      <c r="ACQ54" s="62"/>
      <c r="ACR54" s="62"/>
      <c r="ACS54" s="62"/>
      <c r="ACT54" s="62"/>
      <c r="ACU54" s="62"/>
      <c r="ACV54" s="62"/>
      <c r="ACW54" s="62"/>
      <c r="ACX54" s="62"/>
      <c r="ACY54" s="62"/>
      <c r="ACZ54" s="62"/>
      <c r="ADA54" s="62"/>
      <c r="ADB54" s="62"/>
      <c r="ADC54" s="62"/>
      <c r="ADD54" s="62"/>
      <c r="ADE54" s="62"/>
      <c r="ADF54" s="62"/>
      <c r="ADG54" s="62"/>
      <c r="ADH54" s="62"/>
      <c r="ADI54" s="62"/>
      <c r="ADJ54" s="62"/>
      <c r="ADK54" s="62"/>
      <c r="ADL54" s="62"/>
      <c r="ADM54" s="62"/>
      <c r="ADN54" s="62"/>
      <c r="ADO54" s="62"/>
      <c r="ADP54" s="62"/>
      <c r="ADQ54" s="62"/>
      <c r="ADR54" s="62"/>
      <c r="ADS54" s="62"/>
      <c r="ADT54" s="62"/>
      <c r="ADU54" s="62"/>
      <c r="ADV54" s="62"/>
      <c r="ADW54" s="62"/>
      <c r="ADX54" s="62"/>
      <c r="ADY54" s="62"/>
      <c r="ADZ54" s="62"/>
      <c r="AEA54" s="62"/>
      <c r="AEB54" s="62"/>
      <c r="AEC54" s="62"/>
      <c r="AED54" s="62"/>
      <c r="AEE54" s="62"/>
      <c r="AEF54" s="62"/>
      <c r="AEG54" s="62"/>
      <c r="AEH54" s="62"/>
      <c r="AEI54" s="62"/>
      <c r="AEJ54" s="62"/>
      <c r="AEK54" s="62"/>
      <c r="AEL54" s="62"/>
      <c r="AEM54" s="62"/>
      <c r="AEN54" s="62"/>
      <c r="AEO54" s="62"/>
      <c r="AEP54" s="62"/>
      <c r="AEQ54" s="62"/>
      <c r="AER54" s="62"/>
      <c r="AES54" s="62"/>
      <c r="AET54" s="62"/>
      <c r="AEU54" s="62"/>
      <c r="AEV54" s="62"/>
      <c r="AEW54" s="62"/>
      <c r="AEX54" s="62"/>
      <c r="AEY54" s="62"/>
      <c r="AEZ54" s="62"/>
      <c r="AFA54" s="62"/>
      <c r="AFB54" s="62"/>
      <c r="AFC54" s="62"/>
      <c r="AFD54" s="62"/>
      <c r="AFE54" s="62"/>
      <c r="AFF54" s="62"/>
      <c r="AFG54" s="62"/>
      <c r="AFH54" s="62"/>
      <c r="AFI54" s="62"/>
      <c r="AFJ54" s="62"/>
      <c r="AFK54" s="62"/>
      <c r="AFL54" s="62"/>
      <c r="AFM54" s="62"/>
      <c r="AFN54" s="62"/>
      <c r="AFO54" s="62"/>
      <c r="AFP54" s="62"/>
      <c r="AFQ54" s="62"/>
      <c r="AFR54" s="62"/>
      <c r="AFS54" s="62"/>
      <c r="AFT54" s="62"/>
      <c r="AFU54" s="62"/>
      <c r="AFV54" s="62"/>
      <c r="AFW54" s="62"/>
      <c r="AFX54" s="62"/>
      <c r="AFY54" s="62"/>
      <c r="AFZ54" s="62"/>
      <c r="AGA54" s="62"/>
      <c r="AGB54" s="62"/>
      <c r="AGC54" s="62"/>
      <c r="AGD54" s="62"/>
      <c r="AGE54" s="62"/>
      <c r="AGF54" s="62"/>
      <c r="AGG54" s="62"/>
      <c r="AGH54" s="62"/>
      <c r="AGI54" s="62"/>
      <c r="AGJ54" s="62"/>
      <c r="AGK54" s="62"/>
      <c r="AGL54" s="62"/>
      <c r="AGM54" s="62"/>
      <c r="AGN54" s="62"/>
      <c r="AGO54" s="62"/>
      <c r="AGP54" s="62"/>
      <c r="AGQ54" s="62"/>
      <c r="AGR54" s="62"/>
      <c r="AGS54" s="62"/>
      <c r="AGT54" s="62"/>
      <c r="AGU54" s="62"/>
      <c r="AGV54" s="62"/>
      <c r="AGW54" s="62"/>
      <c r="AGX54" s="62"/>
      <c r="AGY54" s="62"/>
      <c r="AGZ54" s="62"/>
      <c r="AHA54" s="62"/>
      <c r="AHB54" s="62"/>
      <c r="AHC54" s="62"/>
      <c r="AHD54" s="62"/>
      <c r="AHE54" s="62"/>
      <c r="AHF54" s="62"/>
      <c r="AHG54" s="62"/>
      <c r="AHH54" s="62"/>
      <c r="AHI54" s="62"/>
      <c r="AHJ54" s="62"/>
      <c r="AHK54" s="62"/>
      <c r="AHL54" s="62"/>
      <c r="AHM54" s="62"/>
      <c r="AHN54" s="62"/>
      <c r="AHO54" s="62"/>
      <c r="AHP54" s="62"/>
      <c r="AHQ54" s="62"/>
      <c r="AHR54" s="62"/>
      <c r="AHS54" s="62"/>
      <c r="AHT54" s="62"/>
      <c r="AHU54" s="62"/>
      <c r="AHV54" s="62"/>
      <c r="AHW54" s="62"/>
      <c r="AHX54" s="62"/>
      <c r="AHY54" s="62"/>
      <c r="AHZ54" s="62"/>
      <c r="AIA54" s="62"/>
      <c r="AIB54" s="62"/>
      <c r="AIC54" s="62"/>
      <c r="AID54" s="62"/>
      <c r="AIE54" s="62"/>
      <c r="AIF54" s="62"/>
      <c r="AIG54" s="62"/>
      <c r="AIH54" s="62"/>
      <c r="AII54" s="62"/>
      <c r="AIJ54" s="62"/>
      <c r="AIK54" s="62"/>
      <c r="AIL54" s="62"/>
      <c r="AIM54" s="62"/>
      <c r="AIN54" s="62"/>
      <c r="AIO54" s="62"/>
      <c r="AIP54" s="62"/>
      <c r="AIQ54" s="62"/>
      <c r="AIR54" s="62"/>
      <c r="AIS54" s="62"/>
      <c r="AIT54" s="62"/>
      <c r="AIU54" s="62"/>
      <c r="AIV54" s="62"/>
      <c r="AIW54" s="62"/>
      <c r="AIX54" s="62"/>
      <c r="AIY54" s="62"/>
      <c r="AIZ54" s="62"/>
      <c r="AJA54" s="62"/>
      <c r="AJB54" s="62"/>
      <c r="AJC54" s="62"/>
      <c r="AJD54" s="62"/>
      <c r="AJE54" s="62"/>
      <c r="AJF54" s="62"/>
      <c r="AJG54" s="62"/>
      <c r="AJH54" s="62"/>
      <c r="AJI54" s="62"/>
      <c r="AJJ54" s="62"/>
      <c r="AJK54" s="62"/>
      <c r="AJL54" s="62"/>
      <c r="AJM54" s="62"/>
      <c r="AJN54" s="62"/>
      <c r="AJO54" s="62"/>
      <c r="AJP54" s="62"/>
      <c r="AJQ54" s="62"/>
      <c r="AJR54" s="62"/>
      <c r="AJS54" s="62"/>
      <c r="AJT54" s="62"/>
      <c r="AJU54" s="62"/>
      <c r="AJV54" s="62"/>
      <c r="AJW54" s="62"/>
      <c r="AJX54" s="62"/>
      <c r="AJY54" s="62"/>
      <c r="AJZ54" s="62"/>
      <c r="AKA54" s="62"/>
      <c r="AKB54" s="62"/>
      <c r="AKC54" s="62"/>
      <c r="AKD54" s="62"/>
      <c r="AKE54" s="62"/>
      <c r="AKF54" s="62"/>
      <c r="AKG54" s="62"/>
      <c r="AKH54" s="62"/>
      <c r="AKI54" s="62"/>
      <c r="AKJ54" s="62"/>
      <c r="AKK54" s="62"/>
      <c r="AKL54" s="62"/>
      <c r="AKM54" s="62"/>
      <c r="AKN54" s="62"/>
      <c r="AKO54" s="62"/>
      <c r="AKP54" s="62"/>
      <c r="AKQ54" s="62"/>
      <c r="AKR54" s="62"/>
      <c r="AKS54" s="62"/>
      <c r="AKT54" s="62"/>
      <c r="AKU54" s="62"/>
      <c r="AKV54" s="62"/>
      <c r="AKW54" s="62"/>
      <c r="AKX54" s="62"/>
      <c r="AKY54" s="62"/>
      <c r="AKZ54" s="62"/>
      <c r="ALA54" s="62"/>
      <c r="ALB54" s="62"/>
      <c r="ALC54" s="62"/>
      <c r="ALD54" s="62"/>
      <c r="ALE54" s="62"/>
      <c r="ALF54" s="62"/>
      <c r="ALG54" s="62"/>
      <c r="ALH54" s="62"/>
      <c r="ALI54" s="62"/>
      <c r="ALJ54" s="62"/>
      <c r="ALK54" s="62"/>
      <c r="ALL54" s="62"/>
      <c r="ALM54" s="62"/>
      <c r="ALN54" s="62"/>
      <c r="ALO54" s="62"/>
      <c r="ALP54" s="62"/>
      <c r="ALQ54" s="62"/>
      <c r="ALR54" s="62"/>
      <c r="ALS54" s="62"/>
      <c r="ALT54" s="62"/>
      <c r="ALU54" s="62"/>
      <c r="ALV54" s="62"/>
      <c r="ALW54" s="62"/>
      <c r="ALX54" s="62"/>
      <c r="ALY54" s="62"/>
      <c r="ALZ54" s="62"/>
      <c r="AMA54" s="62"/>
      <c r="AMB54" s="62"/>
      <c r="AMC54" s="62"/>
      <c r="AMD54" s="62"/>
      <c r="AME54" s="62"/>
      <c r="AMF54" s="62"/>
      <c r="AMG54" s="62"/>
      <c r="AMH54" s="62"/>
      <c r="AMI54" s="62"/>
      <c r="AMJ54" s="62"/>
      <c r="AMK54" s="62"/>
    </row>
    <row r="55" s="1" customFormat="true" ht="24.75" hidden="false" customHeight="true" outlineLevel="0" collapsed="false">
      <c r="A55" s="165"/>
      <c r="B55" s="165"/>
      <c r="C55" s="188"/>
      <c r="D55" s="188"/>
      <c r="E55" s="188"/>
      <c r="F55" s="188"/>
      <c r="G55" s="188"/>
      <c r="H55" s="19"/>
      <c r="I55" s="160"/>
      <c r="J55" s="160"/>
      <c r="K55" s="160"/>
      <c r="L55" s="160"/>
      <c r="M55" s="160"/>
      <c r="N55" s="160"/>
      <c r="O55" s="160"/>
      <c r="P55" s="160"/>
      <c r="Q55" s="160"/>
      <c r="R55" s="160"/>
      <c r="S55" s="160"/>
      <c r="T55" s="160"/>
      <c r="U55" s="160"/>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c r="IF55" s="62"/>
      <c r="IG55" s="62"/>
      <c r="IH55" s="62"/>
      <c r="II55" s="62"/>
      <c r="IJ55" s="62"/>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62"/>
      <c r="ON55" s="62"/>
      <c r="OO55" s="62"/>
      <c r="OP55" s="62"/>
      <c r="OQ55" s="62"/>
      <c r="OR55" s="62"/>
      <c r="OS55" s="62"/>
      <c r="OT55" s="62"/>
      <c r="OU55" s="62"/>
      <c r="OV55" s="62"/>
      <c r="OW55" s="62"/>
      <c r="OX55" s="62"/>
      <c r="OY55" s="62"/>
      <c r="OZ55" s="62"/>
      <c r="PA55" s="62"/>
      <c r="PB55" s="62"/>
      <c r="PC55" s="62"/>
      <c r="PD55" s="62"/>
      <c r="PE55" s="62"/>
      <c r="PF55" s="62"/>
      <c r="PG55" s="62"/>
      <c r="PH55" s="62"/>
      <c r="PI55" s="62"/>
      <c r="PJ55" s="62"/>
      <c r="PK55" s="62"/>
      <c r="PL55" s="62"/>
      <c r="PM55" s="62"/>
      <c r="PN55" s="62"/>
      <c r="PO55" s="62"/>
      <c r="PP55" s="62"/>
      <c r="PQ55" s="62"/>
      <c r="PR55" s="62"/>
      <c r="PS55" s="62"/>
      <c r="PT55" s="62"/>
      <c r="PU55" s="62"/>
      <c r="PV55" s="62"/>
      <c r="PW55" s="62"/>
      <c r="PX55" s="62"/>
      <c r="PY55" s="62"/>
      <c r="PZ55" s="62"/>
      <c r="QA55" s="62"/>
      <c r="QB55" s="62"/>
      <c r="QC55" s="62"/>
      <c r="QD55" s="62"/>
      <c r="QE55" s="62"/>
      <c r="QF55" s="62"/>
      <c r="QG55" s="62"/>
      <c r="QH55" s="62"/>
      <c r="QI55" s="62"/>
      <c r="QJ55" s="62"/>
      <c r="QK55" s="62"/>
      <c r="QL55" s="62"/>
      <c r="QM55" s="62"/>
      <c r="QN55" s="62"/>
      <c r="QO55" s="62"/>
      <c r="QP55" s="62"/>
      <c r="QQ55" s="62"/>
      <c r="QR55" s="62"/>
      <c r="QS55" s="62"/>
      <c r="QT55" s="62"/>
      <c r="QU55" s="62"/>
      <c r="QV55" s="62"/>
      <c r="QW55" s="62"/>
      <c r="QX55" s="62"/>
      <c r="QY55" s="62"/>
      <c r="QZ55" s="62"/>
      <c r="RA55" s="62"/>
      <c r="RB55" s="62"/>
      <c r="RC55" s="62"/>
      <c r="RD55" s="62"/>
      <c r="RE55" s="62"/>
      <c r="RF55" s="62"/>
      <c r="RG55" s="62"/>
      <c r="RH55" s="62"/>
      <c r="RI55" s="62"/>
      <c r="RJ55" s="62"/>
      <c r="RK55" s="62"/>
      <c r="RL55" s="62"/>
      <c r="RM55" s="62"/>
      <c r="RN55" s="62"/>
      <c r="RO55" s="62"/>
      <c r="RP55" s="62"/>
      <c r="RQ55" s="62"/>
      <c r="RR55" s="62"/>
      <c r="RS55" s="62"/>
      <c r="RT55" s="62"/>
      <c r="RU55" s="62"/>
      <c r="RV55" s="62"/>
      <c r="RW55" s="62"/>
      <c r="RX55" s="62"/>
      <c r="RY55" s="62"/>
      <c r="RZ55" s="62"/>
      <c r="SA55" s="62"/>
      <c r="SB55" s="62"/>
      <c r="SC55" s="62"/>
      <c r="SD55" s="62"/>
      <c r="SE55" s="62"/>
      <c r="SF55" s="62"/>
      <c r="SG55" s="62"/>
      <c r="SH55" s="62"/>
      <c r="SI55" s="62"/>
      <c r="SJ55" s="62"/>
      <c r="SK55" s="62"/>
      <c r="SL55" s="62"/>
      <c r="SM55" s="62"/>
      <c r="SN55" s="62"/>
      <c r="SO55" s="62"/>
      <c r="SP55" s="62"/>
      <c r="SQ55" s="62"/>
      <c r="SR55" s="62"/>
      <c r="SS55" s="62"/>
      <c r="ST55" s="62"/>
      <c r="SU55" s="62"/>
      <c r="SV55" s="62"/>
      <c r="SW55" s="62"/>
      <c r="SX55" s="62"/>
      <c r="SY55" s="62"/>
      <c r="SZ55" s="62"/>
      <c r="TA55" s="62"/>
      <c r="TB55" s="62"/>
      <c r="TC55" s="62"/>
      <c r="TD55" s="62"/>
      <c r="TE55" s="62"/>
      <c r="TF55" s="62"/>
      <c r="TG55" s="62"/>
      <c r="TH55" s="62"/>
      <c r="TI55" s="62"/>
      <c r="TJ55" s="62"/>
      <c r="TK55" s="62"/>
      <c r="TL55" s="62"/>
      <c r="TM55" s="62"/>
      <c r="TN55" s="62"/>
      <c r="TO55" s="62"/>
      <c r="TP55" s="62"/>
      <c r="TQ55" s="62"/>
      <c r="TR55" s="62"/>
      <c r="TS55" s="62"/>
      <c r="TT55" s="62"/>
      <c r="TU55" s="62"/>
      <c r="TV55" s="62"/>
      <c r="TW55" s="62"/>
      <c r="TX55" s="62"/>
      <c r="TY55" s="62"/>
      <c r="TZ55" s="62"/>
      <c r="UA55" s="62"/>
      <c r="UB55" s="62"/>
      <c r="UC55" s="62"/>
      <c r="UD55" s="62"/>
      <c r="UE55" s="62"/>
      <c r="UF55" s="62"/>
      <c r="UG55" s="62"/>
      <c r="UH55" s="62"/>
      <c r="UI55" s="62"/>
      <c r="UJ55" s="62"/>
      <c r="UK55" s="62"/>
      <c r="UL55" s="62"/>
      <c r="UM55" s="62"/>
      <c r="UN55" s="62"/>
      <c r="UO55" s="62"/>
      <c r="UP55" s="62"/>
      <c r="UQ55" s="62"/>
      <c r="UR55" s="62"/>
      <c r="US55" s="62"/>
      <c r="UT55" s="62"/>
      <c r="UU55" s="62"/>
      <c r="UV55" s="62"/>
      <c r="UW55" s="62"/>
      <c r="UX55" s="62"/>
      <c r="UY55" s="62"/>
      <c r="UZ55" s="62"/>
      <c r="VA55" s="62"/>
      <c r="VB55" s="62"/>
      <c r="VC55" s="62"/>
      <c r="VD55" s="62"/>
      <c r="VE55" s="62"/>
      <c r="VF55" s="62"/>
      <c r="VG55" s="62"/>
      <c r="VH55" s="62"/>
      <c r="VI55" s="62"/>
      <c r="VJ55" s="62"/>
      <c r="VK55" s="62"/>
      <c r="VL55" s="62"/>
      <c r="VM55" s="62"/>
      <c r="VN55" s="62"/>
      <c r="VO55" s="62"/>
      <c r="VP55" s="62"/>
      <c r="VQ55" s="62"/>
      <c r="VR55" s="62"/>
      <c r="VS55" s="62"/>
      <c r="VT55" s="62"/>
      <c r="VU55" s="62"/>
      <c r="VV55" s="62"/>
      <c r="VW55" s="62"/>
      <c r="VX55" s="62"/>
      <c r="VY55" s="62"/>
      <c r="VZ55" s="62"/>
      <c r="WA55" s="62"/>
      <c r="WB55" s="62"/>
      <c r="WC55" s="62"/>
      <c r="WD55" s="62"/>
      <c r="WE55" s="62"/>
      <c r="WF55" s="62"/>
      <c r="WG55" s="62"/>
      <c r="WH55" s="62"/>
      <c r="WI55" s="62"/>
      <c r="WJ55" s="62"/>
      <c r="WK55" s="62"/>
      <c r="WL55" s="62"/>
      <c r="WM55" s="62"/>
      <c r="WN55" s="62"/>
      <c r="WO55" s="62"/>
      <c r="WP55" s="62"/>
      <c r="WQ55" s="62"/>
      <c r="WR55" s="62"/>
      <c r="WS55" s="62"/>
      <c r="WT55" s="62"/>
      <c r="WU55" s="62"/>
      <c r="WV55" s="62"/>
      <c r="WW55" s="62"/>
      <c r="WX55" s="62"/>
      <c r="WY55" s="62"/>
      <c r="WZ55" s="62"/>
      <c r="XA55" s="62"/>
      <c r="XB55" s="62"/>
      <c r="XC55" s="62"/>
      <c r="XD55" s="62"/>
      <c r="XE55" s="62"/>
      <c r="XF55" s="62"/>
      <c r="XG55" s="62"/>
      <c r="XH55" s="62"/>
      <c r="XI55" s="62"/>
      <c r="XJ55" s="62"/>
      <c r="XK55" s="62"/>
      <c r="XL55" s="62"/>
      <c r="XM55" s="62"/>
      <c r="XN55" s="62"/>
      <c r="XO55" s="62"/>
      <c r="XP55" s="62"/>
      <c r="XQ55" s="62"/>
      <c r="XR55" s="62"/>
      <c r="XS55" s="62"/>
      <c r="XT55" s="62"/>
      <c r="XU55" s="62"/>
      <c r="XV55" s="62"/>
      <c r="XW55" s="62"/>
      <c r="XX55" s="62"/>
      <c r="XY55" s="62"/>
      <c r="XZ55" s="62"/>
      <c r="YA55" s="62"/>
      <c r="YB55" s="62"/>
      <c r="YC55" s="62"/>
      <c r="YD55" s="62"/>
      <c r="YE55" s="62"/>
      <c r="YF55" s="62"/>
      <c r="YG55" s="62"/>
      <c r="YH55" s="62"/>
      <c r="YI55" s="62"/>
      <c r="YJ55" s="62"/>
      <c r="YK55" s="62"/>
      <c r="YL55" s="62"/>
      <c r="YM55" s="62"/>
      <c r="YN55" s="62"/>
      <c r="YO55" s="62"/>
      <c r="YP55" s="62"/>
      <c r="YQ55" s="62"/>
      <c r="YR55" s="62"/>
      <c r="YS55" s="62"/>
      <c r="YT55" s="62"/>
      <c r="YU55" s="62"/>
      <c r="YV55" s="62"/>
      <c r="YW55" s="62"/>
      <c r="YX55" s="62"/>
      <c r="YY55" s="62"/>
      <c r="YZ55" s="62"/>
      <c r="ZA55" s="62"/>
      <c r="ZB55" s="62"/>
      <c r="ZC55" s="62"/>
      <c r="ZD55" s="62"/>
      <c r="ZE55" s="62"/>
      <c r="ZF55" s="62"/>
      <c r="ZG55" s="62"/>
      <c r="ZH55" s="62"/>
      <c r="ZI55" s="62"/>
      <c r="ZJ55" s="62"/>
      <c r="ZK55" s="62"/>
      <c r="ZL55" s="62"/>
      <c r="ZM55" s="62"/>
      <c r="ZN55" s="62"/>
      <c r="ZO55" s="62"/>
      <c r="ZP55" s="62"/>
      <c r="ZQ55" s="62"/>
      <c r="ZR55" s="62"/>
      <c r="ZS55" s="62"/>
      <c r="ZT55" s="62"/>
      <c r="ZU55" s="62"/>
      <c r="ZV55" s="62"/>
      <c r="ZW55" s="62"/>
      <c r="ZX55" s="62"/>
      <c r="ZY55" s="62"/>
      <c r="ZZ55" s="62"/>
      <c r="AAA55" s="62"/>
      <c r="AAB55" s="62"/>
      <c r="AAC55" s="62"/>
      <c r="AAD55" s="62"/>
      <c r="AAE55" s="62"/>
      <c r="AAF55" s="62"/>
      <c r="AAG55" s="62"/>
      <c r="AAH55" s="62"/>
      <c r="AAI55" s="62"/>
      <c r="AAJ55" s="62"/>
      <c r="AAK55" s="62"/>
      <c r="AAL55" s="62"/>
      <c r="AAM55" s="62"/>
      <c r="AAN55" s="62"/>
      <c r="AAO55" s="62"/>
      <c r="AAP55" s="62"/>
      <c r="AAQ55" s="62"/>
      <c r="AAR55" s="62"/>
      <c r="AAS55" s="62"/>
      <c r="AAT55" s="62"/>
      <c r="AAU55" s="62"/>
      <c r="AAV55" s="62"/>
      <c r="AAW55" s="62"/>
      <c r="AAX55" s="62"/>
      <c r="AAY55" s="62"/>
      <c r="AAZ55" s="62"/>
      <c r="ABA55" s="62"/>
      <c r="ABB55" s="62"/>
      <c r="ABC55" s="62"/>
      <c r="ABD55" s="62"/>
      <c r="ABE55" s="62"/>
      <c r="ABF55" s="62"/>
      <c r="ABG55" s="62"/>
      <c r="ABH55" s="62"/>
      <c r="ABI55" s="62"/>
      <c r="ABJ55" s="62"/>
      <c r="ABK55" s="62"/>
      <c r="ABL55" s="62"/>
      <c r="ABM55" s="62"/>
      <c r="ABN55" s="62"/>
      <c r="ABO55" s="62"/>
      <c r="ABP55" s="62"/>
      <c r="ABQ55" s="62"/>
      <c r="ABR55" s="62"/>
      <c r="ABS55" s="62"/>
      <c r="ABT55" s="62"/>
      <c r="ABU55" s="62"/>
      <c r="ABV55" s="62"/>
      <c r="ABW55" s="62"/>
      <c r="ABX55" s="62"/>
      <c r="ABY55" s="62"/>
      <c r="ABZ55" s="62"/>
      <c r="ACA55" s="62"/>
      <c r="ACB55" s="62"/>
      <c r="ACC55" s="62"/>
      <c r="ACD55" s="62"/>
      <c r="ACE55" s="62"/>
      <c r="ACF55" s="62"/>
      <c r="ACG55" s="62"/>
      <c r="ACH55" s="62"/>
      <c r="ACI55" s="62"/>
      <c r="ACJ55" s="62"/>
      <c r="ACK55" s="62"/>
      <c r="ACL55" s="62"/>
      <c r="ACM55" s="62"/>
      <c r="ACN55" s="62"/>
      <c r="ACO55" s="62"/>
      <c r="ACP55" s="62"/>
      <c r="ACQ55" s="62"/>
      <c r="ACR55" s="62"/>
      <c r="ACS55" s="62"/>
      <c r="ACT55" s="62"/>
      <c r="ACU55" s="62"/>
      <c r="ACV55" s="62"/>
      <c r="ACW55" s="62"/>
      <c r="ACX55" s="62"/>
      <c r="ACY55" s="62"/>
      <c r="ACZ55" s="62"/>
      <c r="ADA55" s="62"/>
      <c r="ADB55" s="62"/>
      <c r="ADC55" s="62"/>
      <c r="ADD55" s="62"/>
      <c r="ADE55" s="62"/>
      <c r="ADF55" s="62"/>
      <c r="ADG55" s="62"/>
      <c r="ADH55" s="62"/>
      <c r="ADI55" s="62"/>
      <c r="ADJ55" s="62"/>
      <c r="ADK55" s="62"/>
      <c r="ADL55" s="62"/>
      <c r="ADM55" s="62"/>
      <c r="ADN55" s="62"/>
      <c r="ADO55" s="62"/>
      <c r="ADP55" s="62"/>
      <c r="ADQ55" s="62"/>
      <c r="ADR55" s="62"/>
      <c r="ADS55" s="62"/>
      <c r="ADT55" s="62"/>
      <c r="ADU55" s="62"/>
      <c r="ADV55" s="62"/>
      <c r="ADW55" s="62"/>
      <c r="ADX55" s="62"/>
      <c r="ADY55" s="62"/>
      <c r="ADZ55" s="62"/>
      <c r="AEA55" s="62"/>
      <c r="AEB55" s="62"/>
      <c r="AEC55" s="62"/>
      <c r="AED55" s="62"/>
      <c r="AEE55" s="62"/>
      <c r="AEF55" s="62"/>
      <c r="AEG55" s="62"/>
      <c r="AEH55" s="62"/>
      <c r="AEI55" s="62"/>
      <c r="AEJ55" s="62"/>
      <c r="AEK55" s="62"/>
      <c r="AEL55" s="62"/>
      <c r="AEM55" s="62"/>
      <c r="AEN55" s="62"/>
      <c r="AEO55" s="62"/>
      <c r="AEP55" s="62"/>
      <c r="AEQ55" s="62"/>
      <c r="AER55" s="62"/>
      <c r="AES55" s="62"/>
      <c r="AET55" s="62"/>
      <c r="AEU55" s="62"/>
      <c r="AEV55" s="62"/>
      <c r="AEW55" s="62"/>
      <c r="AEX55" s="62"/>
      <c r="AEY55" s="62"/>
      <c r="AEZ55" s="62"/>
      <c r="AFA55" s="62"/>
      <c r="AFB55" s="62"/>
      <c r="AFC55" s="62"/>
      <c r="AFD55" s="62"/>
      <c r="AFE55" s="62"/>
      <c r="AFF55" s="62"/>
      <c r="AFG55" s="62"/>
      <c r="AFH55" s="62"/>
      <c r="AFI55" s="62"/>
      <c r="AFJ55" s="62"/>
      <c r="AFK55" s="62"/>
      <c r="AFL55" s="62"/>
      <c r="AFM55" s="62"/>
      <c r="AFN55" s="62"/>
      <c r="AFO55" s="62"/>
      <c r="AFP55" s="62"/>
      <c r="AFQ55" s="62"/>
      <c r="AFR55" s="62"/>
      <c r="AFS55" s="62"/>
      <c r="AFT55" s="62"/>
      <c r="AFU55" s="62"/>
      <c r="AFV55" s="62"/>
      <c r="AFW55" s="62"/>
      <c r="AFX55" s="62"/>
      <c r="AFY55" s="62"/>
      <c r="AFZ55" s="62"/>
      <c r="AGA55" s="62"/>
      <c r="AGB55" s="62"/>
      <c r="AGC55" s="62"/>
      <c r="AGD55" s="62"/>
      <c r="AGE55" s="62"/>
      <c r="AGF55" s="62"/>
      <c r="AGG55" s="62"/>
      <c r="AGH55" s="62"/>
      <c r="AGI55" s="62"/>
      <c r="AGJ55" s="62"/>
      <c r="AGK55" s="62"/>
      <c r="AGL55" s="62"/>
      <c r="AGM55" s="62"/>
      <c r="AGN55" s="62"/>
      <c r="AGO55" s="62"/>
      <c r="AGP55" s="62"/>
      <c r="AGQ55" s="62"/>
      <c r="AGR55" s="62"/>
      <c r="AGS55" s="62"/>
      <c r="AGT55" s="62"/>
      <c r="AGU55" s="62"/>
      <c r="AGV55" s="62"/>
      <c r="AGW55" s="62"/>
      <c r="AGX55" s="62"/>
      <c r="AGY55" s="62"/>
      <c r="AGZ55" s="62"/>
      <c r="AHA55" s="62"/>
      <c r="AHB55" s="62"/>
      <c r="AHC55" s="62"/>
      <c r="AHD55" s="62"/>
      <c r="AHE55" s="62"/>
      <c r="AHF55" s="62"/>
      <c r="AHG55" s="62"/>
      <c r="AHH55" s="62"/>
      <c r="AHI55" s="62"/>
      <c r="AHJ55" s="62"/>
      <c r="AHK55" s="62"/>
      <c r="AHL55" s="62"/>
      <c r="AHM55" s="62"/>
      <c r="AHN55" s="62"/>
      <c r="AHO55" s="62"/>
      <c r="AHP55" s="62"/>
      <c r="AHQ55" s="62"/>
      <c r="AHR55" s="62"/>
      <c r="AHS55" s="62"/>
      <c r="AHT55" s="62"/>
      <c r="AHU55" s="62"/>
      <c r="AHV55" s="62"/>
      <c r="AHW55" s="62"/>
      <c r="AHX55" s="62"/>
      <c r="AHY55" s="62"/>
      <c r="AHZ55" s="62"/>
      <c r="AIA55" s="62"/>
      <c r="AIB55" s="62"/>
      <c r="AIC55" s="62"/>
      <c r="AID55" s="62"/>
      <c r="AIE55" s="62"/>
      <c r="AIF55" s="62"/>
      <c r="AIG55" s="62"/>
      <c r="AIH55" s="62"/>
      <c r="AII55" s="62"/>
      <c r="AIJ55" s="62"/>
      <c r="AIK55" s="62"/>
      <c r="AIL55" s="62"/>
      <c r="AIM55" s="62"/>
      <c r="AIN55" s="62"/>
      <c r="AIO55" s="62"/>
      <c r="AIP55" s="62"/>
      <c r="AIQ55" s="62"/>
      <c r="AIR55" s="62"/>
      <c r="AIS55" s="62"/>
      <c r="AIT55" s="62"/>
      <c r="AIU55" s="62"/>
      <c r="AIV55" s="62"/>
      <c r="AIW55" s="62"/>
      <c r="AIX55" s="62"/>
      <c r="AIY55" s="62"/>
      <c r="AIZ55" s="62"/>
      <c r="AJA55" s="62"/>
      <c r="AJB55" s="62"/>
      <c r="AJC55" s="62"/>
      <c r="AJD55" s="62"/>
      <c r="AJE55" s="62"/>
      <c r="AJF55" s="62"/>
      <c r="AJG55" s="62"/>
      <c r="AJH55" s="62"/>
      <c r="AJI55" s="62"/>
      <c r="AJJ55" s="62"/>
      <c r="AJK55" s="62"/>
      <c r="AJL55" s="62"/>
      <c r="AJM55" s="62"/>
      <c r="AJN55" s="62"/>
      <c r="AJO55" s="62"/>
      <c r="AJP55" s="62"/>
      <c r="AJQ55" s="62"/>
      <c r="AJR55" s="62"/>
      <c r="AJS55" s="62"/>
      <c r="AJT55" s="62"/>
      <c r="AJU55" s="62"/>
      <c r="AJV55" s="62"/>
      <c r="AJW55" s="62"/>
      <c r="AJX55" s="62"/>
      <c r="AJY55" s="62"/>
      <c r="AJZ55" s="62"/>
      <c r="AKA55" s="62"/>
      <c r="AKB55" s="62"/>
      <c r="AKC55" s="62"/>
      <c r="AKD55" s="62"/>
      <c r="AKE55" s="62"/>
      <c r="AKF55" s="62"/>
      <c r="AKG55" s="62"/>
      <c r="AKH55" s="62"/>
      <c r="AKI55" s="62"/>
      <c r="AKJ55" s="62"/>
      <c r="AKK55" s="62"/>
      <c r="AKL55" s="62"/>
      <c r="AKM55" s="62"/>
      <c r="AKN55" s="62"/>
      <c r="AKO55" s="62"/>
      <c r="AKP55" s="62"/>
      <c r="AKQ55" s="62"/>
      <c r="AKR55" s="62"/>
      <c r="AKS55" s="62"/>
      <c r="AKT55" s="62"/>
      <c r="AKU55" s="62"/>
      <c r="AKV55" s="62"/>
      <c r="AKW55" s="62"/>
      <c r="AKX55" s="62"/>
      <c r="AKY55" s="62"/>
      <c r="AKZ55" s="62"/>
      <c r="ALA55" s="62"/>
      <c r="ALB55" s="62"/>
      <c r="ALC55" s="62"/>
      <c r="ALD55" s="62"/>
      <c r="ALE55" s="62"/>
      <c r="ALF55" s="62"/>
      <c r="ALG55" s="62"/>
      <c r="ALH55" s="62"/>
      <c r="ALI55" s="62"/>
      <c r="ALJ55" s="62"/>
      <c r="ALK55" s="62"/>
      <c r="ALL55" s="62"/>
      <c r="ALM55" s="62"/>
      <c r="ALN55" s="62"/>
      <c r="ALO55" s="62"/>
      <c r="ALP55" s="62"/>
      <c r="ALQ55" s="62"/>
      <c r="ALR55" s="62"/>
      <c r="ALS55" s="62"/>
      <c r="ALT55" s="62"/>
      <c r="ALU55" s="62"/>
      <c r="ALV55" s="62"/>
      <c r="ALW55" s="62"/>
      <c r="ALX55" s="62"/>
      <c r="ALY55" s="62"/>
      <c r="ALZ55" s="62"/>
      <c r="AMA55" s="62"/>
      <c r="AMB55" s="62"/>
      <c r="AMC55" s="62"/>
      <c r="AMD55" s="62"/>
      <c r="AME55" s="62"/>
      <c r="AMF55" s="62"/>
      <c r="AMG55" s="62"/>
      <c r="AMH55" s="62"/>
      <c r="AMI55" s="62"/>
      <c r="AMJ55" s="62"/>
      <c r="AMK55" s="62"/>
    </row>
    <row r="56" s="1" customFormat="true" ht="24" hidden="false" customHeight="true" outlineLevel="0" collapsed="false">
      <c r="A56" s="189" t="n">
        <v>1</v>
      </c>
      <c r="B56" s="190" t="s">
        <v>261</v>
      </c>
      <c r="C56" s="190"/>
      <c r="D56" s="190"/>
      <c r="E56" s="190"/>
      <c r="F56" s="191" t="s">
        <v>262</v>
      </c>
      <c r="G56" s="191"/>
      <c r="H56" s="19" t="s">
        <v>263</v>
      </c>
      <c r="U56" s="213"/>
    </row>
    <row r="57" s="1" customFormat="true" ht="24" hidden="false" customHeight="true" outlineLevel="0" collapsed="false">
      <c r="A57" s="189" t="n">
        <v>2</v>
      </c>
      <c r="B57" s="190" t="s">
        <v>264</v>
      </c>
      <c r="C57" s="190"/>
      <c r="D57" s="190"/>
      <c r="E57" s="190"/>
      <c r="F57" s="190"/>
      <c r="G57" s="194" t="n">
        <v>0.076</v>
      </c>
      <c r="H57" s="19" t="s">
        <v>265</v>
      </c>
    </row>
    <row r="58" customFormat="false" ht="24" hidden="false" customHeight="true" outlineLevel="0" collapsed="false">
      <c r="A58" s="189" t="n">
        <v>3</v>
      </c>
      <c r="B58" s="190" t="s">
        <v>266</v>
      </c>
      <c r="C58" s="190"/>
      <c r="D58" s="190"/>
      <c r="E58" s="190"/>
      <c r="F58" s="190"/>
      <c r="G58" s="194" t="n">
        <v>0.0165</v>
      </c>
      <c r="H58" s="19" t="s">
        <v>265</v>
      </c>
      <c r="J58" s="1"/>
      <c r="K58" s="1"/>
    </row>
    <row r="59" s="1" customFormat="true" ht="24" hidden="false" customHeight="true" outlineLevel="0" collapsed="false">
      <c r="A59" s="189" t="n">
        <v>4</v>
      </c>
      <c r="B59" s="190" t="s">
        <v>267</v>
      </c>
      <c r="C59" s="190"/>
      <c r="D59" s="190"/>
      <c r="E59" s="190"/>
      <c r="F59" s="190"/>
      <c r="G59" s="194" t="n">
        <v>0.03</v>
      </c>
      <c r="H59" s="19" t="s">
        <v>268</v>
      </c>
    </row>
    <row r="60" customFormat="false" ht="24" hidden="false" customHeight="true" outlineLevel="0" collapsed="false">
      <c r="A60" s="189" t="n">
        <v>6</v>
      </c>
      <c r="B60" s="190" t="s">
        <v>269</v>
      </c>
      <c r="C60" s="190"/>
      <c r="D60" s="190"/>
      <c r="E60" s="190"/>
      <c r="F60" s="190"/>
      <c r="G60" s="194" t="n">
        <v>0.02</v>
      </c>
      <c r="H60" s="19" t="s">
        <v>270</v>
      </c>
      <c r="J60" s="1"/>
      <c r="K60" s="1"/>
    </row>
    <row r="61" customFormat="false" ht="21.75" hidden="false" customHeight="true" outlineLevel="0" collapsed="false">
      <c r="A61" s="189" t="n">
        <v>7</v>
      </c>
      <c r="B61" s="214" t="s">
        <v>271</v>
      </c>
      <c r="C61" s="214"/>
      <c r="D61" s="189" t="s">
        <v>272</v>
      </c>
      <c r="E61" s="215" t="n">
        <f aca="false">G57+G58+G59</f>
        <v>0.1225</v>
      </c>
      <c r="F61" s="189" t="s">
        <v>273</v>
      </c>
      <c r="G61" s="193" t="n">
        <f aca="false">G57+G58+G60</f>
        <v>0.1125</v>
      </c>
      <c r="H61" s="19"/>
      <c r="J61" s="1"/>
      <c r="K61" s="1"/>
    </row>
    <row r="62" customFormat="false" ht="12.75" hidden="false" customHeight="true" outlineLevel="0" collapsed="false"/>
    <row r="63" customFormat="false" ht="15" hidden="false" customHeight="false" outlineLevel="0" collapsed="false">
      <c r="J63" s="1"/>
      <c r="K63" s="1"/>
    </row>
    <row r="64" customFormat="false" ht="15" hidden="true" customHeight="false" outlineLevel="0" collapsed="false"/>
    <row r="65" customFormat="false" ht="66.75" hidden="true" customHeight="true" outlineLevel="0" collapsed="false">
      <c r="A65" s="165" t="s">
        <v>274</v>
      </c>
      <c r="B65" s="165"/>
      <c r="C65" s="165"/>
      <c r="D65" s="165"/>
      <c r="E65" s="165"/>
      <c r="F65" s="165"/>
      <c r="G65" s="165"/>
      <c r="H65" s="165"/>
      <c r="I65" s="188" t="s">
        <v>275</v>
      </c>
      <c r="J65" s="165" t="s">
        <v>276</v>
      </c>
      <c r="K65" s="188" t="s">
        <v>275</v>
      </c>
      <c r="L65" s="188" t="s">
        <v>277</v>
      </c>
      <c r="M65" s="216" t="s">
        <v>278</v>
      </c>
      <c r="N65" s="165" t="s">
        <v>279</v>
      </c>
      <c r="O65" s="165" t="s">
        <v>280</v>
      </c>
      <c r="P65" s="217"/>
      <c r="Q65" s="217"/>
      <c r="R65" s="218"/>
      <c r="S65" s="218"/>
      <c r="T65" s="218"/>
      <c r="U65" s="218"/>
    </row>
    <row r="66" customFormat="false" ht="15" hidden="true" customHeight="true" outlineLevel="0" collapsed="false">
      <c r="A66" s="189" t="s">
        <v>281</v>
      </c>
      <c r="B66" s="189"/>
      <c r="C66" s="189" t="s">
        <v>282</v>
      </c>
      <c r="D66" s="219" t="n">
        <f aca="false">IPCA!G23</f>
        <v>0</v>
      </c>
      <c r="E66" s="190" t="s">
        <v>283</v>
      </c>
      <c r="F66" s="190"/>
      <c r="G66" s="190"/>
      <c r="H66" s="190"/>
      <c r="I66" s="220" t="s">
        <v>284</v>
      </c>
      <c r="J66" s="220" t="s">
        <v>284</v>
      </c>
      <c r="K66" s="220" t="s">
        <v>284</v>
      </c>
      <c r="L66" s="220" t="s">
        <v>284</v>
      </c>
      <c r="M66" s="221" t="n">
        <f aca="false">ROUND((100%+D66),2)</f>
        <v>1</v>
      </c>
      <c r="N66" s="222"/>
      <c r="O66" s="223"/>
      <c r="P66" s="224"/>
      <c r="Q66" s="224"/>
      <c r="R66" s="225"/>
      <c r="S66" s="225"/>
      <c r="T66" s="225"/>
      <c r="U66" s="224"/>
    </row>
    <row r="67" customFormat="false" ht="15" hidden="true" customHeight="true" outlineLevel="0" collapsed="false">
      <c r="A67" s="189" t="s">
        <v>285</v>
      </c>
      <c r="B67" s="189"/>
      <c r="C67" s="189" t="s">
        <v>282</v>
      </c>
      <c r="D67" s="219" t="n">
        <f aca="false">IPCA!N23</f>
        <v>0</v>
      </c>
      <c r="E67" s="190" t="s">
        <v>283</v>
      </c>
      <c r="F67" s="190"/>
      <c r="G67" s="190"/>
      <c r="H67" s="190"/>
      <c r="I67" s="220" t="s">
        <v>284</v>
      </c>
      <c r="J67" s="220" t="s">
        <v>284</v>
      </c>
      <c r="K67" s="220" t="s">
        <v>284</v>
      </c>
      <c r="L67" s="220" t="s">
        <v>284</v>
      </c>
      <c r="M67" s="221" t="n">
        <f aca="false">ROUND((100%+D67),2)</f>
        <v>1</v>
      </c>
      <c r="N67" s="222"/>
      <c r="O67" s="223"/>
      <c r="P67" s="224"/>
      <c r="Q67" s="224"/>
      <c r="R67" s="225"/>
      <c r="S67" s="225"/>
      <c r="T67" s="225"/>
      <c r="U67" s="224"/>
    </row>
    <row r="68" customFormat="false" ht="15" hidden="true" customHeight="true" outlineLevel="0" collapsed="false">
      <c r="A68" s="189" t="s">
        <v>286</v>
      </c>
      <c r="B68" s="189"/>
      <c r="C68" s="189" t="s">
        <v>282</v>
      </c>
      <c r="D68" s="219" t="n">
        <f aca="false">IPCA!U23</f>
        <v>0</v>
      </c>
      <c r="E68" s="190" t="s">
        <v>283</v>
      </c>
      <c r="F68" s="190"/>
      <c r="G68" s="190"/>
      <c r="H68" s="190"/>
      <c r="I68" s="220" t="s">
        <v>284</v>
      </c>
      <c r="J68" s="220" t="s">
        <v>284</v>
      </c>
      <c r="K68" s="220" t="s">
        <v>284</v>
      </c>
      <c r="L68" s="220" t="s">
        <v>284</v>
      </c>
      <c r="M68" s="221" t="n">
        <f aca="false">ROUND((100%+D68),2)</f>
        <v>1</v>
      </c>
      <c r="N68" s="222"/>
      <c r="O68" s="223"/>
      <c r="P68" s="224"/>
      <c r="Q68" s="224"/>
      <c r="R68" s="225"/>
      <c r="S68" s="225"/>
      <c r="T68" s="225"/>
      <c r="U68" s="224"/>
    </row>
    <row r="69" customFormat="false" ht="15" hidden="true" customHeight="true" outlineLevel="0" collapsed="false">
      <c r="A69" s="189" t="s">
        <v>287</v>
      </c>
      <c r="B69" s="189"/>
      <c r="C69" s="189" t="s">
        <v>282</v>
      </c>
      <c r="D69" s="219" t="n">
        <f aca="false">IPCA!AB23</f>
        <v>0</v>
      </c>
      <c r="E69" s="190" t="s">
        <v>283</v>
      </c>
      <c r="F69" s="190"/>
      <c r="G69" s="190"/>
      <c r="H69" s="190"/>
      <c r="I69" s="220" t="s">
        <v>284</v>
      </c>
      <c r="J69" s="220" t="s">
        <v>284</v>
      </c>
      <c r="K69" s="220" t="s">
        <v>284</v>
      </c>
      <c r="L69" s="220" t="s">
        <v>284</v>
      </c>
      <c r="M69" s="221" t="n">
        <f aca="false">ROUND((100%+D69),2)</f>
        <v>1</v>
      </c>
      <c r="N69" s="222"/>
      <c r="O69" s="223"/>
      <c r="P69" s="224"/>
      <c r="Q69" s="224"/>
      <c r="R69" s="225"/>
      <c r="S69" s="225"/>
      <c r="T69" s="225"/>
      <c r="U69" s="224"/>
    </row>
    <row r="70" customFormat="false" ht="15" hidden="true" customHeight="true" outlineLevel="0" collapsed="false">
      <c r="A70" s="189" t="s">
        <v>288</v>
      </c>
      <c r="B70" s="189"/>
      <c r="C70" s="189" t="s">
        <v>282</v>
      </c>
      <c r="D70" s="219" t="n">
        <f aca="false">IPCA!AI23</f>
        <v>0</v>
      </c>
      <c r="E70" s="190" t="s">
        <v>283</v>
      </c>
      <c r="F70" s="190"/>
      <c r="G70" s="190"/>
      <c r="H70" s="190"/>
      <c r="I70" s="220" t="s">
        <v>284</v>
      </c>
      <c r="J70" s="220" t="s">
        <v>284</v>
      </c>
      <c r="K70" s="220" t="s">
        <v>284</v>
      </c>
      <c r="L70" s="220" t="s">
        <v>284</v>
      </c>
      <c r="M70" s="221" t="n">
        <f aca="false">ROUND((100%+D70),2)</f>
        <v>1</v>
      </c>
      <c r="N70" s="222"/>
      <c r="O70" s="223"/>
      <c r="P70" s="224"/>
      <c r="Q70" s="224"/>
      <c r="R70" s="225"/>
      <c r="S70" s="225"/>
      <c r="T70" s="225"/>
      <c r="U70" s="224"/>
    </row>
    <row r="71" customFormat="false" ht="15" hidden="true" customHeight="false" outlineLevel="0" collapsed="false">
      <c r="B71" s="226"/>
      <c r="C71" s="226"/>
      <c r="D71" s="226"/>
      <c r="E71" s="226"/>
    </row>
    <row r="72" customFormat="false" ht="30" hidden="true" customHeight="true" outlineLevel="0" collapsed="false">
      <c r="A72" s="165" t="s">
        <v>289</v>
      </c>
      <c r="B72" s="165"/>
      <c r="C72" s="165"/>
      <c r="D72" s="227" t="s">
        <v>290</v>
      </c>
      <c r="E72" s="226"/>
    </row>
    <row r="73" customFormat="false" ht="15.75" hidden="true" customHeight="true" outlineLevel="0" collapsed="false">
      <c r="A73" s="165"/>
      <c r="B73" s="165"/>
      <c r="C73" s="165"/>
      <c r="D73" s="220" t="s">
        <v>291</v>
      </c>
      <c r="E73" s="226"/>
    </row>
    <row r="74" customFormat="false" ht="30" hidden="true" customHeight="true" outlineLevel="0" collapsed="false">
      <c r="A74" s="165" t="s">
        <v>292</v>
      </c>
      <c r="B74" s="165"/>
      <c r="C74" s="165"/>
      <c r="D74" s="227" t="s">
        <v>290</v>
      </c>
      <c r="E74" s="226"/>
    </row>
    <row r="75" customFormat="false" ht="15.75" hidden="true" customHeight="true" outlineLevel="0" collapsed="false">
      <c r="A75" s="165"/>
      <c r="B75" s="165"/>
      <c r="C75" s="165"/>
      <c r="D75" s="220" t="s">
        <v>291</v>
      </c>
      <c r="E75" s="226"/>
    </row>
    <row r="76" customFormat="false" ht="30" hidden="true" customHeight="true" outlineLevel="0" collapsed="false">
      <c r="A76" s="165" t="s">
        <v>293</v>
      </c>
      <c r="B76" s="165"/>
      <c r="C76" s="165"/>
      <c r="D76" s="227" t="s">
        <v>290</v>
      </c>
      <c r="E76" s="226"/>
    </row>
    <row r="77" customFormat="false" ht="15.75" hidden="true" customHeight="true" outlineLevel="0" collapsed="false">
      <c r="A77" s="165"/>
      <c r="B77" s="165"/>
      <c r="C77" s="165"/>
      <c r="D77" s="220" t="s">
        <v>291</v>
      </c>
      <c r="E77" s="226"/>
    </row>
    <row r="78" customFormat="false" ht="42.75" hidden="true" customHeight="true" outlineLevel="0" collapsed="false">
      <c r="A78" s="165" t="s">
        <v>294</v>
      </c>
      <c r="B78" s="165"/>
      <c r="C78" s="165"/>
      <c r="D78" s="227" t="s">
        <v>290</v>
      </c>
      <c r="E78" s="228" t="s">
        <v>295</v>
      </c>
      <c r="F78" s="227" t="s">
        <v>296</v>
      </c>
      <c r="G78" s="227" t="s">
        <v>297</v>
      </c>
      <c r="H78" s="227" t="s">
        <v>298</v>
      </c>
      <c r="I78" s="227" t="s">
        <v>299</v>
      </c>
      <c r="J78" s="227" t="s">
        <v>300</v>
      </c>
      <c r="K78" s="226" t="s">
        <v>301</v>
      </c>
    </row>
    <row r="79" customFormat="false" ht="15.75" hidden="true" customHeight="true" outlineLevel="0" collapsed="false">
      <c r="A79" s="165"/>
      <c r="B79" s="165"/>
      <c r="C79" s="165"/>
      <c r="D79" s="220" t="s">
        <v>291</v>
      </c>
      <c r="E79" s="229" t="n">
        <f aca="false">G36</f>
        <v>5.27</v>
      </c>
      <c r="F79" s="230" t="n">
        <f aca="false">ROUND(IF(Dados!$M$66="SIM",E79*Dados!$N$66,E79),2)</f>
        <v>5.27</v>
      </c>
      <c r="G79" s="230" t="n">
        <f aca="false">ROUND(IF(Dados!$M$67="SIM",F79*Dados!$N$67,F79),2)</f>
        <v>5.27</v>
      </c>
      <c r="H79" s="230" t="n">
        <f aca="false">ROUND(IF(Dados!$M$68="SIM",G79*Dados!$N$68,G79),2)</f>
        <v>5.27</v>
      </c>
      <c r="I79" s="230" t="n">
        <f aca="false">ROUND(IF(Dados!$M$69="SIM",H79*Dados!$N$69,H79),2)</f>
        <v>5.27</v>
      </c>
      <c r="J79" s="230" t="n">
        <f aca="false">ROUND(IF(Dados!$M$70="SIM",I79*Dados!$N$70,I79),2)</f>
        <v>5.27</v>
      </c>
      <c r="K79" s="231" t="n">
        <f aca="false">IF(D79="INICIAL",E79,IF(D79="1º IPCA",F79,IF(D79="2º IPCA",G79,IF(D79="3º IPCA",H79,IF(D79="4º IPCA",I79,IF(D79="5º IPCA",J79,))))))</f>
        <v>5.27</v>
      </c>
    </row>
    <row r="80" customFormat="false" ht="15" hidden="true" customHeight="false" outlineLevel="0" collapsed="false">
      <c r="E80" s="226"/>
    </row>
    <row r="81" customFormat="false" ht="15.75" hidden="true" customHeight="true" outlineLevel="0" collapsed="false">
      <c r="A81" s="232" t="s">
        <v>302</v>
      </c>
      <c r="B81" s="232"/>
      <c r="C81" s="232"/>
      <c r="D81" s="232"/>
      <c r="E81" s="232"/>
      <c r="F81" s="232"/>
      <c r="G81" s="232"/>
      <c r="H81" s="232"/>
    </row>
    <row r="82" customFormat="false" ht="15" hidden="true" customHeight="false" outlineLevel="0" collapsed="false">
      <c r="A82" s="233" t="s">
        <v>303</v>
      </c>
      <c r="B82" s="233"/>
      <c r="C82" s="233"/>
      <c r="D82" s="233"/>
      <c r="E82" s="233"/>
      <c r="F82" s="234" t="s">
        <v>304</v>
      </c>
      <c r="G82" s="234"/>
      <c r="H82" s="235"/>
    </row>
    <row r="83" customFormat="false" ht="43.5" hidden="true" customHeight="true" outlineLevel="0" collapsed="false">
      <c r="A83" s="236" t="s">
        <v>305</v>
      </c>
      <c r="B83" s="236"/>
      <c r="C83" s="236"/>
      <c r="D83" s="236"/>
      <c r="E83" s="236"/>
      <c r="F83" s="236"/>
      <c r="G83" s="236"/>
      <c r="H83" s="236"/>
    </row>
    <row r="84" customFormat="false" ht="15" hidden="true" customHeight="false" outlineLevel="0" collapsed="false">
      <c r="A84" s="233" t="s">
        <v>306</v>
      </c>
      <c r="B84" s="233"/>
      <c r="C84" s="233"/>
      <c r="D84" s="233"/>
      <c r="E84" s="233"/>
      <c r="F84" s="234" t="s">
        <v>304</v>
      </c>
      <c r="G84" s="234"/>
      <c r="H84" s="235"/>
    </row>
    <row r="85" customFormat="false" ht="43.5" hidden="true" customHeight="true" outlineLevel="0" collapsed="false">
      <c r="A85" s="237" t="s">
        <v>307</v>
      </c>
      <c r="B85" s="237"/>
      <c r="C85" s="237"/>
      <c r="D85" s="237"/>
      <c r="E85" s="237"/>
      <c r="F85" s="237"/>
      <c r="G85" s="237"/>
      <c r="H85" s="237"/>
    </row>
    <row r="86" customFormat="false" ht="15" hidden="true" customHeight="false" outlineLevel="0" collapsed="false">
      <c r="A86" s="233" t="s">
        <v>308</v>
      </c>
      <c r="B86" s="233"/>
      <c r="C86" s="233"/>
      <c r="D86" s="233"/>
      <c r="E86" s="233"/>
      <c r="F86" s="234" t="s">
        <v>304</v>
      </c>
      <c r="G86" s="234"/>
      <c r="H86" s="235"/>
    </row>
    <row r="87" customFormat="false" ht="43.5" hidden="true" customHeight="true" outlineLevel="0" collapsed="false">
      <c r="A87" s="236" t="s">
        <v>309</v>
      </c>
      <c r="B87" s="236"/>
      <c r="C87" s="236"/>
      <c r="D87" s="236"/>
      <c r="E87" s="236"/>
      <c r="F87" s="236"/>
      <c r="G87" s="236"/>
      <c r="H87" s="236"/>
    </row>
    <row r="88" customFormat="false" ht="15" hidden="true" customHeight="false" outlineLevel="0" collapsed="false">
      <c r="A88" s="238" t="s">
        <v>310</v>
      </c>
      <c r="B88" s="238"/>
      <c r="C88" s="238"/>
      <c r="D88" s="238"/>
      <c r="E88" s="238"/>
      <c r="F88" s="234" t="s">
        <v>304</v>
      </c>
      <c r="G88" s="234"/>
      <c r="H88" s="239"/>
    </row>
    <row r="89" customFormat="false" ht="43.5" hidden="true" customHeight="true" outlineLevel="0" collapsed="false">
      <c r="A89" s="236" t="s">
        <v>311</v>
      </c>
      <c r="B89" s="236"/>
      <c r="C89" s="236"/>
      <c r="D89" s="236"/>
      <c r="E89" s="236"/>
      <c r="F89" s="236"/>
      <c r="G89" s="236"/>
      <c r="H89" s="236"/>
    </row>
    <row r="90" customFormat="false" ht="15" hidden="true" customHeight="false" outlineLevel="0" collapsed="false">
      <c r="A90" s="240"/>
      <c r="H90" s="241"/>
    </row>
  </sheetData>
  <sheetProtection algorithmName="SHA-512" hashValue="Ai/mjzsfOMdlnLWN48+wCn9ZTnh34bJcNh4YypEdPXyN1XwaLSISON2R8jXl3ZZ8uinHOiXo1hbcj6c7KLElBw==" saltValue="SbtBm59T6zT5M6Ns2hq03Q==" spinCount="100000" sheet="true" objects="true" scenarios="true"/>
  <mergeCells count="92">
    <mergeCell ref="A5:A6"/>
    <mergeCell ref="B5:B6"/>
    <mergeCell ref="C5:C6"/>
    <mergeCell ref="D5:D6"/>
    <mergeCell ref="E5:E6"/>
    <mergeCell ref="F5:F6"/>
    <mergeCell ref="G5:G6"/>
    <mergeCell ref="H5:H6"/>
    <mergeCell ref="I5:I6"/>
    <mergeCell ref="J5:J6"/>
    <mergeCell ref="K5:K6"/>
    <mergeCell ref="L5:L6"/>
    <mergeCell ref="M5:M6"/>
    <mergeCell ref="U5:U6"/>
    <mergeCell ref="V5:V6"/>
    <mergeCell ref="A7:A9"/>
    <mergeCell ref="A10:A15"/>
    <mergeCell ref="A18:G18"/>
    <mergeCell ref="B19:D19"/>
    <mergeCell ref="E19:G19"/>
    <mergeCell ref="B20:D20"/>
    <mergeCell ref="E20:G20"/>
    <mergeCell ref="B21:D21"/>
    <mergeCell ref="E21:G21"/>
    <mergeCell ref="B22:D22"/>
    <mergeCell ref="E22:G22"/>
    <mergeCell ref="B23:D23"/>
    <mergeCell ref="E23:G23"/>
    <mergeCell ref="A25:G25"/>
    <mergeCell ref="B26:F26"/>
    <mergeCell ref="B28:F28"/>
    <mergeCell ref="B29:F29"/>
    <mergeCell ref="B30:F30"/>
    <mergeCell ref="A32:G32"/>
    <mergeCell ref="B33:F33"/>
    <mergeCell ref="A35:G35"/>
    <mergeCell ref="B36:F36"/>
    <mergeCell ref="B37:F37"/>
    <mergeCell ref="A38:A41"/>
    <mergeCell ref="B38:C41"/>
    <mergeCell ref="D38:F38"/>
    <mergeCell ref="D39:F39"/>
    <mergeCell ref="D40:F40"/>
    <mergeCell ref="D41:F41"/>
    <mergeCell ref="A42:A44"/>
    <mergeCell ref="B42:C44"/>
    <mergeCell ref="D42:F42"/>
    <mergeCell ref="D43:F43"/>
    <mergeCell ref="H43:N43"/>
    <mergeCell ref="D44:F44"/>
    <mergeCell ref="B45:F45"/>
    <mergeCell ref="B46:F46"/>
    <mergeCell ref="A48:G48"/>
    <mergeCell ref="B49:F49"/>
    <mergeCell ref="B50:F50"/>
    <mergeCell ref="A52:G52"/>
    <mergeCell ref="A53:A55"/>
    <mergeCell ref="B53:G55"/>
    <mergeCell ref="B56:E56"/>
    <mergeCell ref="F56:G56"/>
    <mergeCell ref="B57:F57"/>
    <mergeCell ref="B58:F58"/>
    <mergeCell ref="B59:F59"/>
    <mergeCell ref="B60:F60"/>
    <mergeCell ref="A65:H65"/>
    <mergeCell ref="A66:B66"/>
    <mergeCell ref="E66:H66"/>
    <mergeCell ref="A67:B67"/>
    <mergeCell ref="E67:H67"/>
    <mergeCell ref="A68:B68"/>
    <mergeCell ref="E68:H68"/>
    <mergeCell ref="A69:B69"/>
    <mergeCell ref="E69:H69"/>
    <mergeCell ref="A70:B70"/>
    <mergeCell ref="E70:H70"/>
    <mergeCell ref="A72:C73"/>
    <mergeCell ref="A74:C75"/>
    <mergeCell ref="A76:C77"/>
    <mergeCell ref="A78:C79"/>
    <mergeCell ref="A81:H81"/>
    <mergeCell ref="A82:E82"/>
    <mergeCell ref="F82:G82"/>
    <mergeCell ref="A83:H83"/>
    <mergeCell ref="A84:E84"/>
    <mergeCell ref="F84:G84"/>
    <mergeCell ref="A85:H85"/>
    <mergeCell ref="A86:E86"/>
    <mergeCell ref="F86:G86"/>
    <mergeCell ref="A87:H87"/>
    <mergeCell ref="A88:E88"/>
    <mergeCell ref="F88:G88"/>
    <mergeCell ref="A89:H89"/>
  </mergeCells>
  <dataValidations count="3">
    <dataValidation allowBlank="true" errorStyle="stop" operator="between" showDropDown="false" showErrorMessage="true" showInputMessage="true" sqref="F56" type="list">
      <formula1>"LUCRO REAL,LUCRO PRESUMIDO,SIMPLES NACIONAL,OUTRO"</formula1>
      <formula2>0</formula2>
    </dataValidation>
    <dataValidation allowBlank="true" errorStyle="stop" operator="between" showDropDown="false" showErrorMessage="true" showInputMessage="true" sqref="I66:L70" type="list">
      <formula1>"NÃO,SIM"</formula1>
      <formula2>0</formula2>
    </dataValidation>
    <dataValidation allowBlank="true" errorStyle="stop" operator="between" showDropDown="false" showErrorMessage="true" showInputMessage="true" sqref="D73 D75 D77 D79" type="list">
      <formula1>"INICIAL,1º IPCA,2º IPCA,3º IPCA,4º IPCA,5º IPCA"</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61"/>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A1" activeCellId="0" sqref="A1"/>
    </sheetView>
  </sheetViews>
  <sheetFormatPr defaultColWidth="9.00390625" defaultRowHeight="15" customHeight="true" zeroHeight="false" outlineLevelRow="0" outlineLevelCol="0"/>
  <cols>
    <col collapsed="false" customWidth="true" hidden="false" outlineLevel="0" max="2" min="2" style="0" width="59.57"/>
    <col collapsed="false" customWidth="true" hidden="false" outlineLevel="0" max="3" min="3" style="0" width="15.71"/>
    <col collapsed="false" customWidth="true" hidden="false" outlineLevel="0" max="4" min="4" style="0" width="4.86"/>
    <col collapsed="false" customWidth="true" hidden="false" outlineLevel="0" max="5" min="5" style="0" width="41.71"/>
    <col collapsed="false" customWidth="true" hidden="false" outlineLevel="0" max="8" min="6" style="0" width="11"/>
    <col collapsed="false" customWidth="true" hidden="false" outlineLevel="0" max="258" min="258" style="0" width="55.57"/>
    <col collapsed="false" customWidth="true" hidden="false" outlineLevel="0" max="259" min="259" style="0" width="13.15"/>
    <col collapsed="false" customWidth="true" hidden="false" outlineLevel="0" max="261" min="261" style="0" width="35.14"/>
    <col collapsed="false" customWidth="true" hidden="false" outlineLevel="0" max="264" min="262" style="0" width="11"/>
    <col collapsed="false" customWidth="true" hidden="false" outlineLevel="0" max="514" min="514" style="0" width="55.57"/>
    <col collapsed="false" customWidth="true" hidden="false" outlineLevel="0" max="515" min="515" style="0" width="13.15"/>
    <col collapsed="false" customWidth="true" hidden="false" outlineLevel="0" max="517" min="517" style="0" width="35.14"/>
    <col collapsed="false" customWidth="true" hidden="false" outlineLevel="0" max="520" min="518" style="0" width="11"/>
    <col collapsed="false" customWidth="true" hidden="false" outlineLevel="0" max="770" min="770" style="0" width="55.57"/>
    <col collapsed="false" customWidth="true" hidden="false" outlineLevel="0" max="771" min="771" style="0" width="13.15"/>
    <col collapsed="false" customWidth="true" hidden="false" outlineLevel="0" max="773" min="773" style="0" width="35.14"/>
    <col collapsed="false" customWidth="true" hidden="false" outlineLevel="0" max="776" min="774" style="0" width="11"/>
  </cols>
  <sheetData>
    <row r="1" customFormat="false" ht="15" hidden="false" customHeight="false" outlineLevel="0" collapsed="false">
      <c r="A1" s="242"/>
      <c r="B1" s="243" t="str">
        <f aca="false">INSTRUÇÕES!B1</f>
        <v>Tribunal Regional Federal da 6ª Região</v>
      </c>
      <c r="C1" s="244"/>
    </row>
    <row r="2" customFormat="false" ht="15" hidden="false" customHeight="false" outlineLevel="0" collapsed="false">
      <c r="A2" s="245"/>
      <c r="B2" s="156" t="str">
        <f aca="false">INSTRUÇÕES!B2</f>
        <v>Seção Judiciária de Minas Gerais</v>
      </c>
      <c r="C2" s="246"/>
    </row>
    <row r="3" customFormat="false" ht="15" hidden="false" customHeight="false" outlineLevel="0" collapsed="false">
      <c r="A3" s="247"/>
      <c r="B3" s="156" t="str">
        <f aca="false">INSTRUÇÕES!B3</f>
        <v>Subseção Judiciária de Uberlândia</v>
      </c>
      <c r="C3" s="246"/>
    </row>
    <row r="4" customFormat="false" ht="21.75" hidden="false" customHeight="true" outlineLevel="0" collapsed="false">
      <c r="A4" s="248" t="s">
        <v>312</v>
      </c>
      <c r="B4" s="248"/>
      <c r="C4" s="248"/>
    </row>
    <row r="5" customFormat="false" ht="21.75" hidden="false" customHeight="true" outlineLevel="0" collapsed="false">
      <c r="A5" s="248" t="s">
        <v>313</v>
      </c>
      <c r="B5" s="248"/>
      <c r="C5" s="248"/>
    </row>
    <row r="6" customFormat="false" ht="26.25" hidden="false" customHeight="true" outlineLevel="0" collapsed="false">
      <c r="A6" s="249" t="s">
        <v>314</v>
      </c>
      <c r="B6" s="249"/>
      <c r="C6" s="249"/>
    </row>
    <row r="7" customFormat="false" ht="15" hidden="false" customHeight="false" outlineLevel="0" collapsed="false">
      <c r="A7" s="250" t="s">
        <v>315</v>
      </c>
      <c r="B7" s="250"/>
      <c r="C7" s="250"/>
    </row>
    <row r="8" customFormat="false" ht="15.75" hidden="false" customHeight="true" outlineLevel="0" collapsed="false">
      <c r="A8" s="251" t="s">
        <v>55</v>
      </c>
      <c r="B8" s="252" t="s">
        <v>316</v>
      </c>
      <c r="C8" s="253" t="s">
        <v>317</v>
      </c>
    </row>
    <row r="9" customFormat="false" ht="15.75" hidden="false" customHeight="true" outlineLevel="0" collapsed="false">
      <c r="A9" s="254" t="s">
        <v>318</v>
      </c>
      <c r="B9" s="255" t="s">
        <v>319</v>
      </c>
      <c r="C9" s="255"/>
    </row>
    <row r="10" customFormat="false" ht="15.75" hidden="false" customHeight="true" outlineLevel="0" collapsed="false">
      <c r="A10" s="256" t="n">
        <v>1</v>
      </c>
      <c r="B10" s="257" t="s">
        <v>320</v>
      </c>
      <c r="C10" s="258" t="n">
        <v>0.2</v>
      </c>
    </row>
    <row r="11" customFormat="false" ht="15.75" hidden="false" customHeight="true" outlineLevel="0" collapsed="false">
      <c r="A11" s="256" t="n">
        <v>2</v>
      </c>
      <c r="B11" s="257" t="s">
        <v>321</v>
      </c>
      <c r="C11" s="258" t="n">
        <v>0.015</v>
      </c>
    </row>
    <row r="12" customFormat="false" ht="15.75" hidden="false" customHeight="true" outlineLevel="0" collapsed="false">
      <c r="A12" s="256" t="n">
        <v>3</v>
      </c>
      <c r="B12" s="257" t="s">
        <v>322</v>
      </c>
      <c r="C12" s="258" t="n">
        <v>0.01</v>
      </c>
    </row>
    <row r="13" customFormat="false" ht="15.75" hidden="false" customHeight="true" outlineLevel="0" collapsed="false">
      <c r="A13" s="256" t="n">
        <v>4</v>
      </c>
      <c r="B13" s="257" t="s">
        <v>323</v>
      </c>
      <c r="C13" s="258" t="n">
        <v>0.002</v>
      </c>
    </row>
    <row r="14" customFormat="false" ht="15.75" hidden="false" customHeight="true" outlineLevel="0" collapsed="false">
      <c r="A14" s="256" t="n">
        <v>5</v>
      </c>
      <c r="B14" s="257" t="s">
        <v>324</v>
      </c>
      <c r="C14" s="258" t="n">
        <v>0.025</v>
      </c>
    </row>
    <row r="15" customFormat="false" ht="15.75" hidden="false" customHeight="true" outlineLevel="0" collapsed="false">
      <c r="A15" s="256" t="n">
        <v>6</v>
      </c>
      <c r="B15" s="257" t="s">
        <v>325</v>
      </c>
      <c r="C15" s="258" t="n">
        <v>0.08</v>
      </c>
    </row>
    <row r="16" customFormat="false" ht="15.75" hidden="false" customHeight="true" outlineLevel="0" collapsed="false">
      <c r="A16" s="256" t="n">
        <v>7</v>
      </c>
      <c r="B16" s="257" t="s">
        <v>326</v>
      </c>
      <c r="C16" s="259" t="n">
        <f aca="false">Dados!G28</f>
        <v>0.06</v>
      </c>
      <c r="D16" s="260" t="s">
        <v>327</v>
      </c>
    </row>
    <row r="17" customFormat="false" ht="15.75" hidden="false" customHeight="true" outlineLevel="0" collapsed="false">
      <c r="A17" s="256" t="n">
        <v>8</v>
      </c>
      <c r="B17" s="257" t="s">
        <v>328</v>
      </c>
      <c r="C17" s="258" t="n">
        <v>0.006</v>
      </c>
    </row>
    <row r="18" customFormat="false" ht="15.75" hidden="false" customHeight="true" outlineLevel="0" collapsed="false">
      <c r="A18" s="261" t="s">
        <v>329</v>
      </c>
      <c r="B18" s="261"/>
      <c r="C18" s="262" t="n">
        <f aca="false">SUM(C10:C17)</f>
        <v>0.398</v>
      </c>
    </row>
    <row r="19" customFormat="false" ht="15.75" hidden="false" customHeight="true" outlineLevel="0" collapsed="false">
      <c r="A19" s="263" t="s">
        <v>330</v>
      </c>
      <c r="B19" s="263"/>
      <c r="C19" s="263"/>
    </row>
    <row r="20" customFormat="false" ht="15.75" hidden="false" customHeight="true" outlineLevel="0" collapsed="false">
      <c r="A20" s="263" t="s">
        <v>331</v>
      </c>
      <c r="B20" s="263"/>
      <c r="C20" s="263"/>
    </row>
    <row r="21" customFormat="false" ht="15.75" hidden="false" customHeight="true" outlineLevel="0" collapsed="false">
      <c r="A21" s="256" t="n">
        <v>9</v>
      </c>
      <c r="B21" s="264" t="s">
        <v>332</v>
      </c>
      <c r="C21" s="265" t="n">
        <f aca="false">ROUND((100%/11),4)</f>
        <v>0.0909</v>
      </c>
    </row>
    <row r="22" customFormat="false" ht="15.75" hidden="false" customHeight="true" outlineLevel="0" collapsed="false">
      <c r="A22" s="256" t="n">
        <v>10</v>
      </c>
      <c r="B22" s="264" t="s">
        <v>333</v>
      </c>
      <c r="C22" s="265" t="n">
        <f aca="false">ROUND((C21/3),4)</f>
        <v>0.0303</v>
      </c>
    </row>
    <row r="23" customFormat="false" ht="15.75" hidden="false" customHeight="true" outlineLevel="0" collapsed="false">
      <c r="A23" s="266" t="s">
        <v>334</v>
      </c>
      <c r="B23" s="266"/>
      <c r="C23" s="267" t="n">
        <f aca="false">SUM(C21:C22)</f>
        <v>0.1212</v>
      </c>
    </row>
    <row r="24" customFormat="false" ht="15.75" hidden="false" customHeight="true" outlineLevel="0" collapsed="false">
      <c r="A24" s="268" t="s">
        <v>335</v>
      </c>
      <c r="B24" s="268"/>
      <c r="C24" s="259" t="n">
        <f aca="false">(C18*C23)</f>
        <v>0.0482376</v>
      </c>
    </row>
    <row r="25" customFormat="false" ht="15.75" hidden="false" customHeight="true" outlineLevel="0" collapsed="false">
      <c r="A25" s="266" t="s">
        <v>336</v>
      </c>
      <c r="B25" s="266"/>
      <c r="C25" s="267" t="n">
        <f aca="false">SUM(C23:C24)</f>
        <v>0.1694376</v>
      </c>
    </row>
    <row r="26" customFormat="false" ht="15.75" hidden="false" customHeight="true" outlineLevel="0" collapsed="false">
      <c r="A26" s="254" t="s">
        <v>337</v>
      </c>
      <c r="B26" s="255" t="s">
        <v>338</v>
      </c>
      <c r="C26" s="255"/>
    </row>
    <row r="27" customFormat="false" ht="15.75" hidden="false" customHeight="true" outlineLevel="0" collapsed="false">
      <c r="A27" s="256" t="n">
        <v>11</v>
      </c>
      <c r="B27" s="257" t="s">
        <v>339</v>
      </c>
      <c r="C27" s="269" t="n">
        <f aca="false">ROUND((0.0144*0.1*0.4509*6/12),4)</f>
        <v>0.0003</v>
      </c>
    </row>
    <row r="28" customFormat="false" ht="15.75" hidden="false" customHeight="true" outlineLevel="0" collapsed="false">
      <c r="A28" s="268" t="s">
        <v>340</v>
      </c>
      <c r="B28" s="268"/>
      <c r="C28" s="270" t="n">
        <f aca="false">C18*C27</f>
        <v>0.0001194</v>
      </c>
    </row>
    <row r="29" customFormat="false" ht="15.75" hidden="false" customHeight="true" outlineLevel="0" collapsed="false">
      <c r="A29" s="266" t="s">
        <v>341</v>
      </c>
      <c r="B29" s="266"/>
      <c r="C29" s="271" t="n">
        <f aca="false">SUM(C27:C28)</f>
        <v>0.0004194</v>
      </c>
    </row>
    <row r="30" customFormat="false" ht="15.75" hidden="false" customHeight="true" outlineLevel="0" collapsed="false">
      <c r="A30" s="254" t="s">
        <v>342</v>
      </c>
      <c r="B30" s="255" t="s">
        <v>343</v>
      </c>
      <c r="C30" s="255"/>
    </row>
    <row r="31" customFormat="false" ht="15.75" hidden="false" customHeight="true" outlineLevel="0" collapsed="false">
      <c r="A31" s="256" t="n">
        <v>12</v>
      </c>
      <c r="B31" s="257" t="s">
        <v>344</v>
      </c>
      <c r="C31" s="258" t="n">
        <f aca="false">ROUND((100%/12)*5%,4)</f>
        <v>0.0042</v>
      </c>
    </row>
    <row r="32" customFormat="false" ht="15.75" hidden="false" customHeight="true" outlineLevel="0" collapsed="false">
      <c r="A32" s="272" t="s">
        <v>345</v>
      </c>
      <c r="B32" s="272"/>
      <c r="C32" s="259" t="n">
        <f aca="false">C15*C31</f>
        <v>0.000336</v>
      </c>
    </row>
    <row r="33" customFormat="false" ht="15.75" hidden="false" customHeight="true" outlineLevel="0" collapsed="false">
      <c r="A33" s="256" t="n">
        <v>13</v>
      </c>
      <c r="B33" s="257" t="s">
        <v>346</v>
      </c>
      <c r="C33" s="265" t="n">
        <f aca="false">ROUND((C15*0.4*0.9*(1+1/11+1/11+(1/3*1/11))),5)</f>
        <v>0.03491</v>
      </c>
    </row>
    <row r="34" customFormat="false" ht="15.75" hidden="false" customHeight="true" outlineLevel="0" collapsed="false">
      <c r="A34" s="256" t="n">
        <v>14</v>
      </c>
      <c r="B34" s="257" t="s">
        <v>347</v>
      </c>
      <c r="C34" s="258" t="n">
        <v>0.0004</v>
      </c>
    </row>
    <row r="35" customFormat="false" ht="15.75" hidden="false" customHeight="true" outlineLevel="0" collapsed="false">
      <c r="A35" s="272" t="s">
        <v>348</v>
      </c>
      <c r="B35" s="272"/>
      <c r="C35" s="259" t="n">
        <f aca="false">ROUND((C34*C18),4)</f>
        <v>0.0002</v>
      </c>
    </row>
    <row r="36" customFormat="false" ht="15.75" hidden="false" customHeight="true" outlineLevel="0" collapsed="false">
      <c r="A36" s="256" t="n">
        <v>15</v>
      </c>
      <c r="B36" s="257" t="s">
        <v>349</v>
      </c>
      <c r="C36" s="259" t="n">
        <f aca="false">(0.4*C15/100)</f>
        <v>0.00032</v>
      </c>
    </row>
    <row r="37" customFormat="false" ht="15.75" hidden="false" customHeight="true" outlineLevel="0" collapsed="false">
      <c r="A37" s="273" t="s">
        <v>350</v>
      </c>
      <c r="B37" s="273"/>
      <c r="C37" s="267" t="n">
        <f aca="false">SUM(C31:C36)</f>
        <v>0.040366</v>
      </c>
    </row>
    <row r="38" customFormat="false" ht="15.75" hidden="false" customHeight="true" outlineLevel="0" collapsed="false">
      <c r="A38" s="254" t="s">
        <v>351</v>
      </c>
      <c r="B38" s="255" t="s">
        <v>352</v>
      </c>
      <c r="C38" s="255"/>
    </row>
    <row r="39" customFormat="false" ht="15.75" hidden="false" customHeight="true" outlineLevel="0" collapsed="false">
      <c r="A39" s="256" t="n">
        <v>16</v>
      </c>
      <c r="B39" s="257" t="s">
        <v>353</v>
      </c>
      <c r="C39" s="265" t="n">
        <f aca="false">ROUND((100%/11),4)</f>
        <v>0.0909</v>
      </c>
    </row>
    <row r="40" customFormat="false" ht="15.75" hidden="false" customHeight="true" outlineLevel="0" collapsed="false">
      <c r="A40" s="256" t="n">
        <v>17</v>
      </c>
      <c r="B40" s="257" t="s">
        <v>354</v>
      </c>
      <c r="C40" s="258" t="n">
        <v>0.0166</v>
      </c>
    </row>
    <row r="41" customFormat="false" ht="15.75" hidden="false" customHeight="true" outlineLevel="0" collapsed="false">
      <c r="A41" s="256" t="n">
        <v>18</v>
      </c>
      <c r="B41" s="257" t="s">
        <v>355</v>
      </c>
      <c r="C41" s="258" t="n">
        <f aca="false">ROUND((5/30/12)*0.022,4)</f>
        <v>0.0003</v>
      </c>
    </row>
    <row r="42" customFormat="false" ht="15.75" hidden="false" customHeight="true" outlineLevel="0" collapsed="false">
      <c r="A42" s="256" t="n">
        <v>19</v>
      </c>
      <c r="B42" s="257" t="s">
        <v>356</v>
      </c>
      <c r="C42" s="258" t="n">
        <f aca="false">ROUND((1/30/12),4)</f>
        <v>0.0028</v>
      </c>
    </row>
    <row r="43" customFormat="false" ht="15.75" hidden="false" customHeight="true" outlineLevel="0" collapsed="false">
      <c r="A43" s="256" t="n">
        <v>20</v>
      </c>
      <c r="B43" s="257" t="s">
        <v>357</v>
      </c>
      <c r="C43" s="258" t="n">
        <f aca="false">ROUND((15/30/12*0.0078),4)</f>
        <v>0.0003</v>
      </c>
    </row>
    <row r="44" customFormat="false" ht="15.75" hidden="false" customHeight="true" outlineLevel="0" collapsed="false">
      <c r="A44" s="273" t="s">
        <v>334</v>
      </c>
      <c r="B44" s="273"/>
      <c r="C44" s="267" t="n">
        <f aca="false">SUM(C39:C43)</f>
        <v>0.1109</v>
      </c>
      <c r="E44" s="274" t="s">
        <v>358</v>
      </c>
      <c r="F44" s="274"/>
      <c r="G44" s="274"/>
      <c r="H44" s="274"/>
    </row>
    <row r="45" customFormat="false" ht="15.75" hidden="false" customHeight="true" outlineLevel="0" collapsed="false">
      <c r="A45" s="272" t="s">
        <v>359</v>
      </c>
      <c r="B45" s="272"/>
      <c r="C45" s="259" t="n">
        <f aca="false">C18*C44</f>
        <v>0.0441382</v>
      </c>
      <c r="E45" s="274"/>
      <c r="F45" s="274"/>
      <c r="G45" s="274"/>
      <c r="H45" s="274"/>
    </row>
    <row r="46" customFormat="false" ht="15" hidden="false" customHeight="true" outlineLevel="0" collapsed="false">
      <c r="A46" s="273" t="s">
        <v>360</v>
      </c>
      <c r="B46" s="273"/>
      <c r="C46" s="267" t="n">
        <f aca="false">SUM(C44:C45)</f>
        <v>0.1550382</v>
      </c>
      <c r="E46" s="275" t="s">
        <v>361</v>
      </c>
      <c r="F46" s="276" t="s">
        <v>362</v>
      </c>
      <c r="G46" s="276"/>
      <c r="H46" s="276"/>
    </row>
    <row r="47" customFormat="false" ht="15.75" hidden="false" customHeight="true" outlineLevel="0" collapsed="false">
      <c r="A47" s="277" t="s">
        <v>363</v>
      </c>
      <c r="B47" s="278" t="s">
        <v>364</v>
      </c>
      <c r="C47" s="279" t="s">
        <v>225</v>
      </c>
      <c r="E47" s="275"/>
      <c r="F47" s="276" t="s">
        <v>365</v>
      </c>
      <c r="G47" s="276"/>
      <c r="H47" s="276"/>
    </row>
    <row r="48" customFormat="false" ht="15.75" hidden="false" customHeight="true" outlineLevel="0" collapsed="false">
      <c r="A48" s="256" t="n">
        <v>21</v>
      </c>
      <c r="B48" s="257" t="s">
        <v>366</v>
      </c>
      <c r="C48" s="258" t="n">
        <v>0.0008</v>
      </c>
      <c r="E48" s="280" t="s">
        <v>367</v>
      </c>
      <c r="F48" s="281" t="s">
        <v>368</v>
      </c>
      <c r="G48" s="281" t="s">
        <v>369</v>
      </c>
      <c r="H48" s="282" t="s">
        <v>370</v>
      </c>
    </row>
    <row r="49" customFormat="false" ht="15.75" hidden="false" customHeight="true" outlineLevel="0" collapsed="false">
      <c r="A49" s="273" t="s">
        <v>371</v>
      </c>
      <c r="B49" s="273"/>
      <c r="C49" s="267" t="n">
        <f aca="false">SUM(C47:C48)</f>
        <v>0.0008</v>
      </c>
      <c r="E49" s="280" t="s">
        <v>372</v>
      </c>
      <c r="F49" s="283" t="n">
        <v>0.343</v>
      </c>
      <c r="G49" s="283" t="n">
        <v>0.398</v>
      </c>
      <c r="H49" s="284" t="n">
        <f aca="false">$C$18</f>
        <v>0.398</v>
      </c>
    </row>
    <row r="50" customFormat="false" ht="15.75" hidden="false" customHeight="true" outlineLevel="0" collapsed="false">
      <c r="A50" s="285" t="s">
        <v>373</v>
      </c>
      <c r="B50" s="285"/>
      <c r="C50" s="285"/>
      <c r="E50" s="280" t="s">
        <v>374</v>
      </c>
      <c r="F50" s="283" t="n">
        <v>0.005</v>
      </c>
      <c r="G50" s="283" t="n">
        <v>0.06</v>
      </c>
      <c r="H50" s="284" t="n">
        <f aca="false">$C$16</f>
        <v>0.06</v>
      </c>
    </row>
    <row r="51" customFormat="false" ht="15.75" hidden="false" customHeight="true" outlineLevel="0" collapsed="false">
      <c r="A51" s="272" t="s">
        <v>319</v>
      </c>
      <c r="B51" s="272"/>
      <c r="C51" s="259" t="n">
        <f aca="false">ROUND(C18,4)</f>
        <v>0.398</v>
      </c>
      <c r="E51" s="286" t="s">
        <v>375</v>
      </c>
      <c r="F51" s="287" t="n">
        <f aca="false">$C$21</f>
        <v>0.0909</v>
      </c>
      <c r="G51" s="287" t="n">
        <f aca="false">$F$51</f>
        <v>0.0909</v>
      </c>
      <c r="H51" s="288" t="n">
        <f aca="false">$F$51</f>
        <v>0.0909</v>
      </c>
    </row>
    <row r="52" customFormat="false" ht="15.75" hidden="false" customHeight="true" outlineLevel="0" collapsed="false">
      <c r="A52" s="272" t="s">
        <v>376</v>
      </c>
      <c r="B52" s="272"/>
      <c r="C52" s="259" t="n">
        <f aca="false">ROUND(C25,4)</f>
        <v>0.1694</v>
      </c>
      <c r="E52" s="286" t="s">
        <v>377</v>
      </c>
      <c r="F52" s="287" t="n">
        <f aca="false">$C$39</f>
        <v>0.0909</v>
      </c>
      <c r="G52" s="287" t="n">
        <f aca="false">$F$52</f>
        <v>0.0909</v>
      </c>
      <c r="H52" s="288" t="n">
        <f aca="false">$F$52</f>
        <v>0.0909</v>
      </c>
    </row>
    <row r="53" customFormat="false" ht="15.75" hidden="false" customHeight="true" outlineLevel="0" collapsed="false">
      <c r="A53" s="272" t="s">
        <v>338</v>
      </c>
      <c r="B53" s="272"/>
      <c r="C53" s="259" t="n">
        <f aca="false">ROUND(C29,4)</f>
        <v>0.0004</v>
      </c>
      <c r="E53" s="286" t="s">
        <v>378</v>
      </c>
      <c r="F53" s="287" t="n">
        <f aca="false">$C$22</f>
        <v>0.0303</v>
      </c>
      <c r="G53" s="287" t="n">
        <f aca="false">$F$53</f>
        <v>0.0303</v>
      </c>
      <c r="H53" s="288" t="n">
        <f aca="false">$F$53</f>
        <v>0.0303</v>
      </c>
    </row>
    <row r="54" customFormat="false" ht="15.75" hidden="false" customHeight="true" outlineLevel="0" collapsed="false">
      <c r="A54" s="272" t="s">
        <v>379</v>
      </c>
      <c r="B54" s="272"/>
      <c r="C54" s="259" t="n">
        <f aca="false">ROUND(C37,4)</f>
        <v>0.0404</v>
      </c>
      <c r="E54" s="289" t="s">
        <v>334</v>
      </c>
      <c r="F54" s="290" t="n">
        <f aca="false">SUM(F51:F53)</f>
        <v>0.2121</v>
      </c>
      <c r="G54" s="290" t="n">
        <f aca="false">SUM(G51:G53)</f>
        <v>0.2121</v>
      </c>
      <c r="H54" s="291" t="n">
        <f aca="false">SUM(H51:H53)</f>
        <v>0.2121</v>
      </c>
    </row>
    <row r="55" customFormat="false" ht="15.75" hidden="false" customHeight="true" outlineLevel="0" collapsed="false">
      <c r="A55" s="272" t="s">
        <v>380</v>
      </c>
      <c r="B55" s="272"/>
      <c r="C55" s="259" t="n">
        <f aca="false">ROUND(C46,4)</f>
        <v>0.155</v>
      </c>
      <c r="E55" s="286" t="s">
        <v>381</v>
      </c>
      <c r="F55" s="287" t="n">
        <f aca="false">F54*F49</f>
        <v>0.0727503</v>
      </c>
      <c r="G55" s="287" t="n">
        <f aca="false">G54*G49</f>
        <v>0.0844158</v>
      </c>
      <c r="H55" s="288" t="n">
        <f aca="false">ROUND((H54*H49),4)</f>
        <v>0.0844</v>
      </c>
    </row>
    <row r="56" customFormat="false" ht="15.75" hidden="false" customHeight="true" outlineLevel="0" collapsed="false">
      <c r="A56" s="272" t="s">
        <v>366</v>
      </c>
      <c r="B56" s="272"/>
      <c r="C56" s="259" t="n">
        <f aca="false">ROUND(C49,4)</f>
        <v>0.0008</v>
      </c>
      <c r="E56" s="286" t="s">
        <v>382</v>
      </c>
      <c r="F56" s="287" t="n">
        <v>0.03491</v>
      </c>
      <c r="G56" s="287" t="n">
        <v>0.03491</v>
      </c>
      <c r="H56" s="288" t="n">
        <v>0.03491</v>
      </c>
    </row>
    <row r="57" customFormat="false" ht="15.75" hidden="false" customHeight="true" outlineLevel="0" collapsed="false">
      <c r="A57" s="292" t="s">
        <v>383</v>
      </c>
      <c r="B57" s="292"/>
      <c r="C57" s="262" t="n">
        <f aca="false">SUM(C51:C56)</f>
        <v>0.764</v>
      </c>
      <c r="E57" s="293" t="s">
        <v>384</v>
      </c>
      <c r="F57" s="294" t="n">
        <v>0.3197603</v>
      </c>
      <c r="G57" s="294" t="n">
        <f aca="false">SUM(G54:G56)</f>
        <v>0.3314258</v>
      </c>
      <c r="H57" s="295" t="n">
        <f aca="false">ROUND((SUM(H54:H56)),4)</f>
        <v>0.3314</v>
      </c>
    </row>
    <row r="58" customFormat="false" ht="19.4" hidden="false" customHeight="false" outlineLevel="0" collapsed="false">
      <c r="A58" s="296" t="s">
        <v>46</v>
      </c>
      <c r="B58" s="297"/>
      <c r="C58" s="298"/>
      <c r="E58" s="286" t="s">
        <v>385</v>
      </c>
      <c r="F58" s="299" t="s">
        <v>225</v>
      </c>
      <c r="G58" s="299" t="s">
        <v>225</v>
      </c>
      <c r="H58" s="300" t="s">
        <v>225</v>
      </c>
    </row>
    <row r="59" customFormat="false" ht="54.75" hidden="false" customHeight="true" outlineLevel="0" collapsed="false">
      <c r="A59" s="301" t="s">
        <v>386</v>
      </c>
      <c r="B59" s="301"/>
      <c r="C59" s="301"/>
      <c r="E59" s="302" t="s">
        <v>387</v>
      </c>
      <c r="F59" s="303" t="n">
        <v>0.3197603</v>
      </c>
      <c r="G59" s="303" t="n">
        <v>0.3314258</v>
      </c>
      <c r="H59" s="304" t="n">
        <f aca="false">H57</f>
        <v>0.3314</v>
      </c>
    </row>
    <row r="61" customFormat="false" ht="12.75" hidden="false" customHeight="true" outlineLevel="0" collapsed="false"/>
  </sheetData>
  <sheetProtection algorithmName="SHA-512" hashValue="4EtzTqNks+P6UW+shNF0oUheOraZGs9EQjVGah/Pze8kr0UKZIQKmGcYFpx4jb8+nxmGHEcvvqrUJg1MEmf8Nw==" saltValue="7ByTmLMl57F2Xz4N5sLv0w==" spinCount="100000" sheet="true" objects="true" scenarios="true"/>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1" activeCellId="0" sqref="A1"/>
    </sheetView>
  </sheetViews>
  <sheetFormatPr defaultColWidth="9.00390625" defaultRowHeight="15" customHeight="true" zeroHeight="false" outlineLevelRow="0" outlineLevelCol="0"/>
  <cols>
    <col collapsed="false" customWidth="true" hidden="false" outlineLevel="0" max="1" min="1" style="86" width="6.14"/>
    <col collapsed="false" customWidth="true" hidden="false" outlineLevel="0" max="2" min="2" style="86" width="81.29"/>
    <col collapsed="false" customWidth="true" hidden="false" outlineLevel="0" max="3" min="3" style="86" width="7.86"/>
    <col collapsed="false" customWidth="true" hidden="false" outlineLevel="0" max="7" min="4" style="86" width="13.71"/>
    <col collapsed="false" customWidth="true" hidden="false" outlineLevel="0" max="8" min="8" style="305" width="14.71"/>
    <col collapsed="false" customWidth="true" hidden="false" outlineLevel="0" max="257" min="257" style="0" width="5.57"/>
    <col collapsed="false" customWidth="true" hidden="false" outlineLevel="0" max="258" min="258" style="0" width="45.14"/>
    <col collapsed="false" customWidth="true" hidden="false" outlineLevel="0" max="259" min="259" style="0" width="6.29"/>
    <col collapsed="false" customWidth="true" hidden="false" outlineLevel="0" max="263" min="260" style="0" width="13.71"/>
    <col collapsed="false" customWidth="true" hidden="false" outlineLevel="0" max="513" min="513" style="0" width="5.57"/>
    <col collapsed="false" customWidth="true" hidden="false" outlineLevel="0" max="514" min="514" style="0" width="45.14"/>
    <col collapsed="false" customWidth="true" hidden="false" outlineLevel="0" max="515" min="515" style="0" width="6.29"/>
    <col collapsed="false" customWidth="true" hidden="false" outlineLevel="0" max="519" min="516" style="0" width="13.71"/>
    <col collapsed="false" customWidth="true" hidden="false" outlineLevel="0" max="769" min="769" style="0" width="5.57"/>
    <col collapsed="false" customWidth="true" hidden="false" outlineLevel="0" max="770" min="770" style="0" width="45.14"/>
    <col collapsed="false" customWidth="true" hidden="false" outlineLevel="0" max="771" min="771" style="0" width="6.29"/>
    <col collapsed="false" customWidth="true" hidden="false" outlineLevel="0" max="775" min="772" style="0" width="13.71"/>
  </cols>
  <sheetData>
    <row r="1" s="86" customFormat="true" ht="17.25" hidden="false" customHeight="true" outlineLevel="0" collapsed="false">
      <c r="A1" s="242"/>
      <c r="B1" s="243" t="str">
        <f aca="false">INSTRUÇÕES!B1</f>
        <v>Tribunal Regional Federal da 6ª Região</v>
      </c>
      <c r="C1" s="306"/>
      <c r="D1" s="307"/>
      <c r="E1" s="307"/>
      <c r="F1" s="307"/>
      <c r="G1" s="308"/>
      <c r="H1" s="115"/>
    </row>
    <row r="2" s="107" customFormat="true" ht="16.5" hidden="false" customHeight="true" outlineLevel="0" collapsed="false">
      <c r="A2" s="309"/>
      <c r="B2" s="156" t="str">
        <f aca="false">INSTRUÇÕES!B2</f>
        <v>Seção Judiciária de Minas Gerais</v>
      </c>
      <c r="C2" s="310"/>
      <c r="D2" s="311"/>
      <c r="E2" s="311"/>
      <c r="F2" s="311"/>
      <c r="G2" s="312"/>
      <c r="H2" s="115"/>
    </row>
    <row r="3" s="86" customFormat="true" ht="19.5" hidden="false" customHeight="true" outlineLevel="0" collapsed="false">
      <c r="A3" s="247"/>
      <c r="B3" s="313" t="str">
        <f aca="false">INSTRUÇÕES!B3</f>
        <v>Subseção Judiciária de Uberlândia</v>
      </c>
      <c r="C3" s="314"/>
      <c r="D3" s="315"/>
      <c r="E3" s="315"/>
      <c r="F3" s="315"/>
      <c r="G3" s="316"/>
      <c r="H3" s="115"/>
    </row>
    <row r="4" s="86" customFormat="true" ht="21.75" hidden="false" customHeight="true" outlineLevel="0" collapsed="false">
      <c r="A4" s="317" t="s">
        <v>388</v>
      </c>
      <c r="B4" s="317"/>
      <c r="C4" s="317"/>
      <c r="D4" s="317"/>
      <c r="E4" s="317"/>
      <c r="F4" s="317"/>
      <c r="G4" s="317"/>
      <c r="H4" s="115"/>
    </row>
    <row r="5" s="86" customFormat="true" ht="26.25" hidden="false" customHeight="true" outlineLevel="0" collapsed="false">
      <c r="A5" s="318" t="s">
        <v>389</v>
      </c>
      <c r="B5" s="318"/>
      <c r="C5" s="318"/>
      <c r="D5" s="318"/>
      <c r="E5" s="318"/>
      <c r="F5" s="318"/>
      <c r="G5" s="318"/>
      <c r="H5" s="115"/>
    </row>
    <row r="6" s="86" customFormat="true" ht="15" hidden="false" customHeight="false" outlineLevel="0" collapsed="false">
      <c r="A6" s="319"/>
      <c r="B6" s="320"/>
      <c r="C6" s="320"/>
      <c r="D6" s="320" t="s">
        <v>390</v>
      </c>
      <c r="E6" s="320"/>
      <c r="G6" s="321" t="n">
        <v>0.1</v>
      </c>
      <c r="H6" s="115"/>
    </row>
    <row r="7" s="86" customFormat="true" ht="20.85" hidden="false" customHeight="true" outlineLevel="0" collapsed="false">
      <c r="A7" s="322" t="s">
        <v>391</v>
      </c>
      <c r="B7" s="323" t="s">
        <v>392</v>
      </c>
      <c r="C7" s="323" t="s">
        <v>393</v>
      </c>
      <c r="D7" s="324" t="s">
        <v>394</v>
      </c>
      <c r="E7" s="324" t="s">
        <v>395</v>
      </c>
      <c r="F7" s="324" t="s">
        <v>396</v>
      </c>
      <c r="G7" s="325" t="s">
        <v>397</v>
      </c>
      <c r="H7" s="326" t="s">
        <v>398</v>
      </c>
    </row>
    <row r="8" s="86" customFormat="true" ht="27.75" hidden="false" customHeight="true" outlineLevel="0" collapsed="false">
      <c r="A8" s="327" t="s">
        <v>399</v>
      </c>
      <c r="B8" s="327"/>
      <c r="C8" s="327"/>
      <c r="D8" s="327"/>
      <c r="E8" s="327"/>
      <c r="F8" s="327"/>
      <c r="G8" s="327"/>
      <c r="H8" s="326"/>
    </row>
    <row r="9" s="86" customFormat="true" ht="37.3" hidden="false" customHeight="false" outlineLevel="0" collapsed="false">
      <c r="A9" s="328" t="n">
        <v>1</v>
      </c>
      <c r="B9" s="329" t="s">
        <v>400</v>
      </c>
      <c r="C9" s="330" t="n">
        <v>1</v>
      </c>
      <c r="D9" s="331" t="n">
        <v>1881.57</v>
      </c>
      <c r="E9" s="332" t="n">
        <f aca="false">ROUND((D9*C9),2)</f>
        <v>1881.57</v>
      </c>
      <c r="F9" s="332" t="n">
        <f aca="false">ROUND(E9*$G$6,2)</f>
        <v>188.16</v>
      </c>
      <c r="G9" s="333" t="n">
        <f aca="false">ROUND(F9/12,2)</f>
        <v>15.68</v>
      </c>
      <c r="H9" s="326"/>
    </row>
    <row r="10" s="86" customFormat="true" ht="15" hidden="false" customHeight="false" outlineLevel="0" collapsed="false">
      <c r="A10" s="334" t="n">
        <v>2</v>
      </c>
      <c r="B10" s="335" t="s">
        <v>401</v>
      </c>
      <c r="C10" s="336" t="n">
        <v>1</v>
      </c>
      <c r="D10" s="337" t="n">
        <v>735.76</v>
      </c>
      <c r="E10" s="338" t="n">
        <f aca="false">ROUND((D10*C10),2)</f>
        <v>735.76</v>
      </c>
      <c r="F10" s="338" t="n">
        <f aca="false">ROUND(E10*$G$6,2)</f>
        <v>73.58</v>
      </c>
      <c r="G10" s="339" t="n">
        <f aca="false">ROUND(F10/12,2)</f>
        <v>6.13</v>
      </c>
      <c r="H10" s="326"/>
    </row>
    <row r="11" s="86" customFormat="true" ht="15" hidden="false" customHeight="false" outlineLevel="0" collapsed="false">
      <c r="A11" s="334" t="n">
        <v>3</v>
      </c>
      <c r="B11" s="335" t="s">
        <v>402</v>
      </c>
      <c r="C11" s="336" t="n">
        <v>1</v>
      </c>
      <c r="D11" s="337" t="n">
        <v>57.33</v>
      </c>
      <c r="E11" s="338" t="n">
        <f aca="false">ROUND((D11*C11),2)</f>
        <v>57.33</v>
      </c>
      <c r="F11" s="338" t="n">
        <f aca="false">ROUND(E11*$G$6,2)</f>
        <v>5.73</v>
      </c>
      <c r="G11" s="339" t="n">
        <f aca="false">ROUND(F11/12,2)</f>
        <v>0.48</v>
      </c>
      <c r="H11" s="326"/>
    </row>
    <row r="12" s="86" customFormat="true" ht="19.4" hidden="false" customHeight="false" outlineLevel="0" collapsed="false">
      <c r="A12" s="334" t="n">
        <v>4</v>
      </c>
      <c r="B12" s="335" t="s">
        <v>403</v>
      </c>
      <c r="C12" s="336" t="n">
        <v>1</v>
      </c>
      <c r="D12" s="337" t="n">
        <v>1771.31</v>
      </c>
      <c r="E12" s="338" t="n">
        <f aca="false">ROUND((D12*C12),2)</f>
        <v>1771.31</v>
      </c>
      <c r="F12" s="338" t="n">
        <f aca="false">ROUND(E12*$G$6,2)</f>
        <v>177.13</v>
      </c>
      <c r="G12" s="339" t="n">
        <f aca="false">ROUND(F12/12,2)</f>
        <v>14.76</v>
      </c>
      <c r="H12" s="326"/>
    </row>
    <row r="13" s="86" customFormat="true" ht="19.4" hidden="false" customHeight="false" outlineLevel="0" collapsed="false">
      <c r="A13" s="334" t="n">
        <v>5</v>
      </c>
      <c r="B13" s="335" t="s">
        <v>404</v>
      </c>
      <c r="C13" s="336" t="n">
        <v>1</v>
      </c>
      <c r="D13" s="337" t="n">
        <v>56.69</v>
      </c>
      <c r="E13" s="338" t="n">
        <f aca="false">ROUND((D13*C13),2)</f>
        <v>56.69</v>
      </c>
      <c r="F13" s="338" t="n">
        <f aca="false">ROUND(E13*$G$6,2)</f>
        <v>5.67</v>
      </c>
      <c r="G13" s="339" t="n">
        <f aca="false">ROUND(F13/12,2)</f>
        <v>0.47</v>
      </c>
      <c r="H13" s="326"/>
    </row>
    <row r="14" s="86" customFormat="true" ht="19.4" hidden="false" customHeight="false" outlineLevel="0" collapsed="false">
      <c r="A14" s="334" t="n">
        <v>6</v>
      </c>
      <c r="B14" s="335" t="s">
        <v>405</v>
      </c>
      <c r="C14" s="336" t="n">
        <v>1</v>
      </c>
      <c r="D14" s="337" t="n">
        <v>220.68</v>
      </c>
      <c r="E14" s="338" t="n">
        <f aca="false">ROUND((D14*C14),2)</f>
        <v>220.68</v>
      </c>
      <c r="F14" s="338" t="n">
        <f aca="false">ROUND(E14*$G$6,2)</f>
        <v>22.07</v>
      </c>
      <c r="G14" s="339" t="n">
        <f aca="false">ROUND(F14/12,2)</f>
        <v>1.84</v>
      </c>
      <c r="H14" s="326"/>
    </row>
    <row r="15" s="86" customFormat="true" ht="19.4" hidden="false" customHeight="false" outlineLevel="0" collapsed="false">
      <c r="A15" s="334" t="n">
        <v>7</v>
      </c>
      <c r="B15" s="335" t="s">
        <v>406</v>
      </c>
      <c r="C15" s="336" t="n">
        <v>1</v>
      </c>
      <c r="D15" s="337" t="n">
        <v>45.85</v>
      </c>
      <c r="E15" s="338" t="n">
        <f aca="false">ROUND((D15*C15),2)</f>
        <v>45.85</v>
      </c>
      <c r="F15" s="338" t="n">
        <f aca="false">ROUND(E15*$G$6,2)</f>
        <v>4.59</v>
      </c>
      <c r="G15" s="339" t="n">
        <f aca="false">ROUND(F15/12,2)</f>
        <v>0.38</v>
      </c>
      <c r="H15" s="326"/>
    </row>
    <row r="16" s="86" customFormat="true" ht="15" hidden="false" customHeight="false" outlineLevel="0" collapsed="false">
      <c r="A16" s="334" t="n">
        <v>8</v>
      </c>
      <c r="B16" s="335" t="s">
        <v>407</v>
      </c>
      <c r="C16" s="336" t="n">
        <v>1</v>
      </c>
      <c r="D16" s="337" t="n">
        <v>30.66</v>
      </c>
      <c r="E16" s="338" t="n">
        <f aca="false">ROUND((D16*C16),2)</f>
        <v>30.66</v>
      </c>
      <c r="F16" s="338" t="n">
        <f aca="false">ROUND(E16*$G$6,2)</f>
        <v>3.07</v>
      </c>
      <c r="G16" s="339" t="n">
        <f aca="false">ROUND(F16/12,2)</f>
        <v>0.26</v>
      </c>
      <c r="H16" s="326"/>
    </row>
    <row r="17" s="86" customFormat="true" ht="15.75" hidden="false" customHeight="true" outlineLevel="0" collapsed="false">
      <c r="A17" s="340" t="s">
        <v>408</v>
      </c>
      <c r="B17" s="340"/>
      <c r="C17" s="340"/>
      <c r="D17" s="340"/>
      <c r="E17" s="340"/>
      <c r="F17" s="340"/>
      <c r="G17" s="341" t="n">
        <f aca="false">SUM(G9:G16)</f>
        <v>40</v>
      </c>
      <c r="H17" s="342" t="n">
        <f aca="false">Dados!B14</f>
        <v>1</v>
      </c>
    </row>
    <row r="18" customFormat="false" ht="28.5" hidden="false" customHeight="true" outlineLevel="0" collapsed="false">
      <c r="A18" s="343" t="s">
        <v>409</v>
      </c>
      <c r="B18" s="343"/>
      <c r="C18" s="343"/>
      <c r="D18" s="343"/>
      <c r="E18" s="343"/>
      <c r="F18" s="343"/>
      <c r="G18" s="343"/>
      <c r="H18" s="343"/>
    </row>
    <row r="19" customFormat="false" ht="39.75" hidden="false" customHeight="true" outlineLevel="0" collapsed="false">
      <c r="A19" s="344" t="n">
        <v>1</v>
      </c>
      <c r="B19" s="345" t="s">
        <v>410</v>
      </c>
      <c r="C19" s="346" t="n">
        <v>2</v>
      </c>
      <c r="D19" s="331" t="n">
        <v>2319.55</v>
      </c>
      <c r="E19" s="332" t="n">
        <f aca="false">ROUND((D19*C19),2)</f>
        <v>4639.1</v>
      </c>
      <c r="F19" s="332" t="n">
        <f aca="false">ROUND(E19*$G$6,2)</f>
        <v>463.91</v>
      </c>
      <c r="G19" s="333" t="n">
        <f aca="false">ROUND(F19/12,2)</f>
        <v>38.66</v>
      </c>
      <c r="H19" s="347" t="s">
        <v>398</v>
      </c>
    </row>
    <row r="20" customFormat="false" ht="15.75" hidden="false" customHeight="true" outlineLevel="0" collapsed="false">
      <c r="A20" s="348" t="s">
        <v>411</v>
      </c>
      <c r="B20" s="348"/>
      <c r="C20" s="348"/>
      <c r="D20" s="348"/>
      <c r="E20" s="348"/>
      <c r="F20" s="348"/>
      <c r="G20" s="349" t="n">
        <f aca="false">SUM(G19)</f>
        <v>38.66</v>
      </c>
      <c r="H20" s="350" t="n">
        <f aca="false">Dados!B10+Dados!B12+Dados!B13</f>
        <v>11</v>
      </c>
    </row>
    <row r="22" customFormat="false" ht="27" hidden="false" customHeight="true" outlineLevel="0" collapsed="false">
      <c r="A22" s="343" t="s">
        <v>412</v>
      </c>
      <c r="B22" s="343"/>
      <c r="C22" s="343"/>
      <c r="D22" s="343"/>
      <c r="E22" s="343"/>
      <c r="F22" s="343"/>
      <c r="G22" s="343"/>
      <c r="H22" s="343"/>
    </row>
    <row r="23" customFormat="false" ht="27.75" hidden="false" customHeight="true" outlineLevel="0" collapsed="false">
      <c r="A23" s="344" t="n">
        <v>1</v>
      </c>
      <c r="B23" s="345" t="s">
        <v>413</v>
      </c>
      <c r="C23" s="346" t="n">
        <v>2</v>
      </c>
      <c r="D23" s="331" t="n">
        <v>598.49</v>
      </c>
      <c r="E23" s="332" t="n">
        <f aca="false">ROUND((D23*C23),2)</f>
        <v>1196.98</v>
      </c>
      <c r="F23" s="332" t="n">
        <f aca="false">ROUND(E23*$G$6,2)</f>
        <v>119.7</v>
      </c>
      <c r="G23" s="333" t="n">
        <f aca="false">ROUND(F23/12,2)</f>
        <v>9.98</v>
      </c>
      <c r="H23" s="347" t="s">
        <v>398</v>
      </c>
    </row>
    <row r="24" customFormat="false" ht="15" hidden="false" customHeight="true" outlineLevel="0" collapsed="false">
      <c r="A24" s="348" t="s">
        <v>414</v>
      </c>
      <c r="B24" s="348"/>
      <c r="C24" s="348"/>
      <c r="D24" s="348"/>
      <c r="E24" s="348"/>
      <c r="F24" s="348"/>
      <c r="G24" s="349" t="n">
        <f aca="false">SUM(G23)</f>
        <v>9.98</v>
      </c>
      <c r="H24" s="350" t="n">
        <f aca="false">Dados!B10+Dados!B12+Dados!B13+Dados!B14+Dados!B11</f>
        <v>13</v>
      </c>
    </row>
    <row r="26" customFormat="false" ht="27" hidden="false" customHeight="true" outlineLevel="0" collapsed="false">
      <c r="A26" s="343" t="s">
        <v>415</v>
      </c>
      <c r="B26" s="343"/>
      <c r="C26" s="343"/>
      <c r="D26" s="343"/>
      <c r="E26" s="343"/>
      <c r="F26" s="343"/>
      <c r="G26" s="343"/>
      <c r="H26" s="343"/>
    </row>
    <row r="27" customFormat="false" ht="28.35" hidden="false" customHeight="false" outlineLevel="0" collapsed="false">
      <c r="A27" s="344" t="n">
        <v>1</v>
      </c>
      <c r="B27" s="345" t="s">
        <v>416</v>
      </c>
      <c r="C27" s="346" t="n">
        <v>1</v>
      </c>
      <c r="D27" s="331" t="n">
        <v>377.77</v>
      </c>
      <c r="E27" s="332" t="n">
        <f aca="false">ROUND((D27*C27),2)</f>
        <v>377.77</v>
      </c>
      <c r="F27" s="332" t="n">
        <f aca="false">ROUND(E27*$G$6,2)</f>
        <v>37.78</v>
      </c>
      <c r="G27" s="333" t="n">
        <f aca="false">ROUND(F27/12,2)</f>
        <v>3.15</v>
      </c>
      <c r="H27" s="347" t="s">
        <v>398</v>
      </c>
    </row>
    <row r="28" customFormat="false" ht="15" hidden="false" customHeight="true" outlineLevel="0" collapsed="false">
      <c r="A28" s="348" t="s">
        <v>417</v>
      </c>
      <c r="B28" s="348"/>
      <c r="C28" s="348"/>
      <c r="D28" s="348"/>
      <c r="E28" s="348"/>
      <c r="F28" s="348"/>
      <c r="G28" s="349" t="n">
        <f aca="false">SUM(G27)</f>
        <v>3.15</v>
      </c>
      <c r="H28" s="350" t="n">
        <f aca="false">Dados!B10+Dados!B12+Dados!B13+Dados!B14</f>
        <v>12</v>
      </c>
    </row>
    <row r="30" customFormat="false" ht="27.75" hidden="false" customHeight="true" outlineLevel="0" collapsed="false">
      <c r="A30" s="343" t="s">
        <v>418</v>
      </c>
      <c r="B30" s="343"/>
      <c r="C30" s="343"/>
      <c r="D30" s="343"/>
      <c r="E30" s="343"/>
      <c r="F30" s="343"/>
      <c r="G30" s="343"/>
      <c r="H30" s="343"/>
    </row>
    <row r="31" customFormat="false" ht="29.25" hidden="false" customHeight="true" outlineLevel="0" collapsed="false">
      <c r="A31" s="344" t="n">
        <v>1</v>
      </c>
      <c r="B31" s="345" t="s">
        <v>419</v>
      </c>
      <c r="C31" s="346" t="n">
        <v>1</v>
      </c>
      <c r="D31" s="331" t="n">
        <v>834.47</v>
      </c>
      <c r="E31" s="332" t="n">
        <f aca="false">ROUND((D31*C31),2)</f>
        <v>834.47</v>
      </c>
      <c r="F31" s="332" t="n">
        <f aca="false">ROUND(E31*$G$6,2)</f>
        <v>83.45</v>
      </c>
      <c r="G31" s="333" t="n">
        <f aca="false">ROUND(F31/12,2)</f>
        <v>6.95</v>
      </c>
      <c r="H31" s="347" t="s">
        <v>398</v>
      </c>
    </row>
    <row r="32" customFormat="false" ht="15" hidden="false" customHeight="true" outlineLevel="0" collapsed="false">
      <c r="A32" s="348" t="s">
        <v>420</v>
      </c>
      <c r="B32" s="348"/>
      <c r="C32" s="348"/>
      <c r="D32" s="348"/>
      <c r="E32" s="348"/>
      <c r="F32" s="348"/>
      <c r="G32" s="349" t="n">
        <f aca="false">SUM(G31)</f>
        <v>6.95</v>
      </c>
      <c r="H32" s="350" t="n">
        <f aca="false">Dados!B14+Dados!B11</f>
        <v>2</v>
      </c>
    </row>
  </sheetData>
  <sheetProtection algorithmName="SHA-512" hashValue="rTJ2F5CLHOd1Gqk30Ts5jByECu7Sco2F+f/QhqTp0T7fqQ8LmakxF9wOhBxVCSev6PAPtYv9lPnBkyLW7ItChw==" saltValue="2UWwj8pFRMoK9hTUyG1mUw==" spinCount="100000" sheet="true" objects="true" scenarios="true"/>
  <mergeCells count="13">
    <mergeCell ref="A4:G4"/>
    <mergeCell ref="A5:G5"/>
    <mergeCell ref="H7:H16"/>
    <mergeCell ref="A8:G8"/>
    <mergeCell ref="A17:F17"/>
    <mergeCell ref="A18:H18"/>
    <mergeCell ref="A20:F20"/>
    <mergeCell ref="A22:H22"/>
    <mergeCell ref="A24:F24"/>
    <mergeCell ref="A26:H26"/>
    <mergeCell ref="A28:F28"/>
    <mergeCell ref="A30:H30"/>
    <mergeCell ref="A32:F32"/>
  </mergeCells>
  <printOptions headings="false" gridLines="false" gridLinesSet="true" horizontalCentered="false" verticalCentered="false"/>
  <pageMargins left="0.511805555555556" right="0.511805555555556" top="0.7875" bottom="0.7875"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2" min="2" style="0" width="54.29"/>
  </cols>
  <sheetData>
    <row r="1" customFormat="false" ht="15" hidden="false" customHeight="false" outlineLevel="0" collapsed="false">
      <c r="B1" s="243" t="str">
        <f aca="false">INSTRUÇÕES!B1</f>
        <v>Tribunal Regional Federal da 6ª Região</v>
      </c>
    </row>
    <row r="2" customFormat="false" ht="15" hidden="false" customHeight="false" outlineLevel="0" collapsed="false">
      <c r="B2" s="156" t="str">
        <f aca="false">INSTRUÇÕES!B2</f>
        <v>Seção Judiciária de Minas Gerais</v>
      </c>
    </row>
    <row r="3" customFormat="false" ht="15" hidden="false" customHeight="false" outlineLevel="0" collapsed="false">
      <c r="B3" s="313" t="str">
        <f aca="false">INSTRUÇÕES!B3</f>
        <v>Subseção Judiciária de Uberlândia</v>
      </c>
    </row>
    <row r="4" customFormat="false" ht="15" hidden="false" customHeight="false" outlineLevel="0" collapsed="false">
      <c r="A4" s="351" t="s">
        <v>421</v>
      </c>
      <c r="B4" s="351"/>
      <c r="C4" s="351"/>
      <c r="D4" s="351"/>
      <c r="E4" s="351"/>
      <c r="F4" s="351"/>
      <c r="G4" s="351"/>
    </row>
    <row r="5" customFormat="false" ht="26.25" hidden="false" customHeight="true" outlineLevel="0" collapsed="false">
      <c r="A5" s="352" t="s">
        <v>389</v>
      </c>
      <c r="B5" s="352"/>
      <c r="C5" s="352"/>
      <c r="D5" s="352"/>
      <c r="E5" s="352"/>
      <c r="F5" s="352"/>
      <c r="G5" s="352"/>
    </row>
    <row r="6" customFormat="false" ht="15" hidden="false" customHeight="true" outlineLevel="0" collapsed="false">
      <c r="A6" s="353"/>
      <c r="B6" s="354"/>
      <c r="C6" s="354"/>
      <c r="D6" s="354" t="s">
        <v>390</v>
      </c>
      <c r="E6" s="354"/>
      <c r="F6" s="354"/>
      <c r="G6" s="355"/>
      <c r="I6" s="356" t="s">
        <v>422</v>
      </c>
      <c r="J6" s="356"/>
    </row>
    <row r="7" customFormat="false" ht="20.85" hidden="false" customHeight="false" outlineLevel="0" collapsed="false">
      <c r="A7" s="357" t="s">
        <v>391</v>
      </c>
      <c r="B7" s="358" t="s">
        <v>392</v>
      </c>
      <c r="C7" s="358" t="s">
        <v>393</v>
      </c>
      <c r="D7" s="359" t="s">
        <v>394</v>
      </c>
      <c r="E7" s="359" t="s">
        <v>67</v>
      </c>
      <c r="F7" s="359" t="s">
        <v>395</v>
      </c>
      <c r="G7" s="360" t="s">
        <v>397</v>
      </c>
      <c r="I7" s="361" t="s">
        <v>65</v>
      </c>
      <c r="J7" s="362" t="s">
        <v>64</v>
      </c>
    </row>
    <row r="8" customFormat="false" ht="20.85" hidden="false" customHeight="false" outlineLevel="0" collapsed="false">
      <c r="A8" s="363" t="n">
        <v>1</v>
      </c>
      <c r="B8" s="364" t="s">
        <v>423</v>
      </c>
      <c r="C8" s="365" t="n">
        <f aca="false">Dados!B10+Dados!B12+Dados!B13+Dados!B14+Dados!B11</f>
        <v>13</v>
      </c>
      <c r="D8" s="366" t="n">
        <v>59.29</v>
      </c>
      <c r="E8" s="367" t="s">
        <v>424</v>
      </c>
      <c r="F8" s="338" t="n">
        <f aca="false">ROUND((D8*C8),2)</f>
        <v>770.77</v>
      </c>
      <c r="G8" s="368" t="n">
        <f aca="false">J8</f>
        <v>64.2308333333333</v>
      </c>
      <c r="I8" s="367" t="n">
        <f aca="false">C8/IF(E8="MENSAL",1,IF(E8="BIMESTRAL",2,IF(E8="TRIMESTRAL",3,IF(E8="QUADRIMESTRAL",4,IF(E8="SEMESTRAL",6,IF(E8="ANUAL",12,IF(E8="BIENAL",24,"")))))))</f>
        <v>1.08333333333333</v>
      </c>
      <c r="J8" s="369" t="n">
        <f aca="false">D8*I8</f>
        <v>64.2308333333333</v>
      </c>
    </row>
    <row r="9" customFormat="false" ht="15" hidden="false" customHeight="true" outlineLevel="0" collapsed="false">
      <c r="A9" s="370" t="s">
        <v>425</v>
      </c>
      <c r="B9" s="370"/>
      <c r="C9" s="370"/>
      <c r="D9" s="370"/>
      <c r="E9" s="370"/>
      <c r="F9" s="370"/>
      <c r="G9" s="371" t="n">
        <f aca="false">G8</f>
        <v>64.2308333333333</v>
      </c>
    </row>
  </sheetData>
  <sheetProtection algorithmName="SHA-512" hashValue="ToIpaUA5x8EwUkaHHWsdzy/WK/yuIqtxX8dZm1AuET6Xnc1WGgfkwNs2BgwZrDQ48msnC/aEmXLBwQZSR0FwvA==" saltValue="gwM1z2y0L8Tlu1vn7EHBKw==" spinCount="100000" sheet="true" objects="true" scenarios="true"/>
  <mergeCells count="4">
    <mergeCell ref="A4:G4"/>
    <mergeCell ref="A5:G5"/>
    <mergeCell ref="I6:J6"/>
    <mergeCell ref="A9:F9"/>
  </mergeCells>
  <dataValidations count="1">
    <dataValidation allowBlank="true" errorStyle="stop" operator="between" showDropDown="false" showErrorMessage="true" showInputMessage="true" sqref="E8" type="list">
      <formula1>"Mensal,Bimestral,Trimestral,Quadrimestral,Semestral,Anual,Bienal"</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X111"/>
  <sheetViews>
    <sheetView showFormulas="false" showGridLines="true" showRowColHeaders="true" showZeros="true" rightToLeft="false" tabSelected="false" showOutlineSymbols="true" defaultGridColor="true" view="normal" topLeftCell="A97" colorId="64" zoomScale="100" zoomScaleNormal="100" zoomScalePageLayoutView="100" workbookViewId="0">
      <selection pane="topLeft" activeCell="S108" activeCellId="0" sqref="S108"/>
    </sheetView>
  </sheetViews>
  <sheetFormatPr defaultColWidth="9.00390625" defaultRowHeight="15" customHeight="true" zeroHeight="false" outlineLevelRow="0" outlineLevelCol="0"/>
  <cols>
    <col collapsed="false" customWidth="true" hidden="false" outlineLevel="0" max="1" min="1" style="115" width="5"/>
    <col collapsed="false" customWidth="true" hidden="false" outlineLevel="0" max="2" min="2" style="86" width="90.14"/>
    <col collapsed="false" customWidth="true" hidden="false" outlineLevel="0" max="3" min="3" style="372" width="8.71"/>
    <col collapsed="false" customWidth="true" hidden="false" outlineLevel="0" max="4" min="4" style="373" width="14.14"/>
    <col collapsed="false" customWidth="true" hidden="false" outlineLevel="0" max="5" min="5" style="374" width="13.86"/>
    <col collapsed="false" customWidth="true" hidden="false" outlineLevel="0" max="6" min="6" style="86" width="16"/>
    <col collapsed="false" customWidth="true" hidden="false" outlineLevel="0" max="7" min="7" style="86" width="18.42"/>
    <col collapsed="false" customWidth="true" hidden="false" outlineLevel="0" max="8" min="8" style="0" width="23.71"/>
    <col collapsed="false" customWidth="true" hidden="false" outlineLevel="0" max="9" min="9" style="0" width="4.29"/>
    <col collapsed="false" customWidth="true" hidden="false" outlineLevel="0" max="10" min="10" style="0" width="11.43"/>
    <col collapsed="false" customWidth="true" hidden="false" outlineLevel="0" max="11" min="11" style="86" width="12.42"/>
    <col collapsed="false" customWidth="true" hidden="true" outlineLevel="0" max="13" min="13" style="0" width="25"/>
    <col collapsed="false" customWidth="true" hidden="true" outlineLevel="0" max="14" min="14" style="0" width="10.57"/>
    <col collapsed="false" customWidth="true" hidden="true" outlineLevel="0" max="15" min="15" style="0" width="10"/>
    <col collapsed="false" customWidth="true" hidden="true" outlineLevel="0" max="16" min="16" style="0" width="10.85"/>
    <col collapsed="false" customWidth="true" hidden="true" outlineLevel="0" max="17" min="17" style="0" width="10.14"/>
    <col collapsed="false" customWidth="true" hidden="true" outlineLevel="0" max="18" min="18" style="0" width="11.14"/>
    <col collapsed="false" customWidth="true" hidden="false" outlineLevel="0" max="256" min="256" style="0" width="8.29"/>
    <col collapsed="false" customWidth="true" hidden="false" outlineLevel="0" max="257" min="257" style="0" width="44.57"/>
    <col collapsed="false" customWidth="true" hidden="false" outlineLevel="0" max="258" min="258" style="0" width="7.42"/>
    <col collapsed="false" customWidth="true" hidden="false" outlineLevel="0" max="259" min="259" style="0" width="13"/>
    <col collapsed="false" customWidth="true" hidden="false" outlineLevel="0" max="260" min="260" style="0" width="11.71"/>
    <col collapsed="false" customWidth="true" hidden="false" outlineLevel="0" max="261" min="261" style="0" width="10.57"/>
    <col collapsed="false" customWidth="true" hidden="false" outlineLevel="0" max="262" min="262" style="0" width="14.42"/>
    <col collapsed="false" customWidth="true" hidden="false" outlineLevel="0" max="263" min="263" style="0" width="35.43"/>
    <col collapsed="false" customWidth="true" hidden="false" outlineLevel="0" max="264" min="264" style="0" width="14"/>
    <col collapsed="false" customWidth="true" hidden="false" outlineLevel="0" max="265" min="265" style="0" width="11.71"/>
    <col collapsed="false" customWidth="true" hidden="false" outlineLevel="0" max="266" min="266" style="0" width="13.57"/>
    <col collapsed="false" customWidth="true" hidden="false" outlineLevel="0" max="512" min="512" style="0" width="8.29"/>
    <col collapsed="false" customWidth="true" hidden="false" outlineLevel="0" max="513" min="513" style="0" width="44.57"/>
    <col collapsed="false" customWidth="true" hidden="false" outlineLevel="0" max="514" min="514" style="0" width="7.42"/>
    <col collapsed="false" customWidth="true" hidden="false" outlineLevel="0" max="515" min="515" style="0" width="13"/>
    <col collapsed="false" customWidth="true" hidden="false" outlineLevel="0" max="516" min="516" style="0" width="11.71"/>
    <col collapsed="false" customWidth="true" hidden="false" outlineLevel="0" max="517" min="517" style="0" width="10.57"/>
    <col collapsed="false" customWidth="true" hidden="false" outlineLevel="0" max="518" min="518" style="0" width="14.42"/>
    <col collapsed="false" customWidth="true" hidden="false" outlineLevel="0" max="519" min="519" style="0" width="35.43"/>
    <col collapsed="false" customWidth="true" hidden="false" outlineLevel="0" max="520" min="520" style="0" width="14"/>
    <col collapsed="false" customWidth="true" hidden="false" outlineLevel="0" max="521" min="521" style="0" width="11.71"/>
    <col collapsed="false" customWidth="true" hidden="false" outlineLevel="0" max="522" min="522" style="0" width="13.57"/>
    <col collapsed="false" customWidth="true" hidden="false" outlineLevel="0" max="768" min="768" style="0" width="8.29"/>
    <col collapsed="false" customWidth="true" hidden="false" outlineLevel="0" max="769" min="769" style="0" width="44.57"/>
    <col collapsed="false" customWidth="true" hidden="false" outlineLevel="0" max="770" min="770" style="0" width="7.42"/>
    <col collapsed="false" customWidth="true" hidden="false" outlineLevel="0" max="771" min="771" style="0" width="13"/>
    <col collapsed="false" customWidth="true" hidden="false" outlineLevel="0" max="772" min="772" style="0" width="11.71"/>
    <col collapsed="false" customWidth="true" hidden="false" outlineLevel="0" max="773" min="773" style="0" width="10.57"/>
    <col collapsed="false" customWidth="true" hidden="false" outlineLevel="0" max="774" min="774" style="0" width="14.42"/>
    <col collapsed="false" customWidth="true" hidden="false" outlineLevel="0" max="775" min="775" style="0" width="35.43"/>
    <col collapsed="false" customWidth="true" hidden="false" outlineLevel="0" max="776" min="776" style="0" width="14"/>
    <col collapsed="false" customWidth="true" hidden="false" outlineLevel="0" max="777" min="777" style="0" width="11.71"/>
    <col collapsed="false" customWidth="true" hidden="false" outlineLevel="0" max="778" min="778" style="0" width="13.57"/>
  </cols>
  <sheetData>
    <row r="1" s="86" customFormat="true" ht="15" hidden="false" customHeight="true" outlineLevel="0" collapsed="false">
      <c r="A1" s="375"/>
      <c r="B1" s="243" t="str">
        <f aca="false">INSTRUÇÕES!B1</f>
        <v>Tribunal Regional Federal da 6ª Região</v>
      </c>
      <c r="C1" s="376"/>
      <c r="D1" s="377"/>
      <c r="E1" s="378"/>
      <c r="F1" s="379"/>
      <c r="G1" s="379"/>
      <c r="H1" s="380"/>
    </row>
    <row r="2" s="86" customFormat="true" ht="17.25" hidden="false" customHeight="true" outlineLevel="0" collapsed="false">
      <c r="A2" s="381"/>
      <c r="B2" s="156" t="str">
        <f aca="false">INSTRUÇÕES!B2</f>
        <v>Seção Judiciária de Minas Gerais</v>
      </c>
      <c r="C2" s="372"/>
      <c r="D2" s="373"/>
      <c r="E2" s="374"/>
      <c r="H2" s="382"/>
    </row>
    <row r="3" s="86" customFormat="true" ht="16.5" hidden="false" customHeight="true" outlineLevel="0" collapsed="false">
      <c r="A3" s="381"/>
      <c r="B3" s="156" t="str">
        <f aca="false">INSTRUÇÕES!B3</f>
        <v>Subseção Judiciária de Uberlândia</v>
      </c>
      <c r="C3" s="372"/>
      <c r="D3" s="373"/>
      <c r="E3" s="374"/>
      <c r="H3" s="382"/>
    </row>
    <row r="4" s="86" customFormat="true" ht="27.75" hidden="false" customHeight="true" outlineLevel="0" collapsed="false">
      <c r="A4" s="383" t="s">
        <v>426</v>
      </c>
      <c r="B4" s="383"/>
      <c r="C4" s="383"/>
      <c r="D4" s="383"/>
      <c r="E4" s="383"/>
      <c r="F4" s="383"/>
      <c r="G4" s="383"/>
      <c r="H4" s="383"/>
      <c r="I4" s="384"/>
      <c r="J4" s="384"/>
    </row>
    <row r="5" s="386" customFormat="true" ht="24" hidden="false" customHeight="true" outlineLevel="0" collapsed="false">
      <c r="A5" s="385" t="s">
        <v>389</v>
      </c>
      <c r="B5" s="385"/>
      <c r="C5" s="385"/>
      <c r="D5" s="385"/>
      <c r="E5" s="385"/>
      <c r="F5" s="385"/>
      <c r="G5" s="385"/>
      <c r="H5" s="385"/>
      <c r="K5" s="387"/>
    </row>
    <row r="6" s="86" customFormat="true" ht="12.75" hidden="false" customHeight="true" outlineLevel="0" collapsed="false">
      <c r="A6" s="388" t="s">
        <v>55</v>
      </c>
      <c r="B6" s="389" t="s">
        <v>427</v>
      </c>
      <c r="C6" s="389"/>
      <c r="D6" s="389"/>
      <c r="E6" s="390"/>
      <c r="F6" s="390"/>
      <c r="G6" s="390"/>
      <c r="H6" s="391" t="s">
        <v>428</v>
      </c>
      <c r="I6" s="85"/>
      <c r="J6" s="85"/>
    </row>
    <row r="7" s="86" customFormat="true" ht="12.75" hidden="false" customHeight="true" outlineLevel="0" collapsed="false">
      <c r="A7" s="388"/>
      <c r="B7" s="389"/>
      <c r="C7" s="389"/>
      <c r="D7" s="389"/>
      <c r="E7" s="390"/>
      <c r="F7" s="390"/>
      <c r="G7" s="390"/>
      <c r="H7" s="391"/>
      <c r="I7" s="85"/>
      <c r="J7" s="392" t="s">
        <v>422</v>
      </c>
      <c r="K7" s="392"/>
      <c r="M7" s="91" t="s">
        <v>429</v>
      </c>
      <c r="N7" s="91"/>
      <c r="O7" s="91"/>
      <c r="P7" s="91"/>
      <c r="Q7" s="91"/>
      <c r="R7" s="91"/>
    </row>
    <row r="8" s="86" customFormat="true" ht="30.55" hidden="false" customHeight="false" outlineLevel="0" collapsed="false">
      <c r="A8" s="388"/>
      <c r="B8" s="389" t="s">
        <v>60</v>
      </c>
      <c r="C8" s="393" t="s">
        <v>61</v>
      </c>
      <c r="D8" s="393" t="s">
        <v>62</v>
      </c>
      <c r="E8" s="389" t="s">
        <v>430</v>
      </c>
      <c r="F8" s="389" t="s">
        <v>67</v>
      </c>
      <c r="G8" s="393" t="s">
        <v>431</v>
      </c>
      <c r="H8" s="391"/>
      <c r="I8" s="85"/>
      <c r="J8" s="394" t="s">
        <v>65</v>
      </c>
      <c r="K8" s="395" t="s">
        <v>64</v>
      </c>
      <c r="M8" s="396" t="s">
        <v>432</v>
      </c>
      <c r="N8" s="77" t="s">
        <v>296</v>
      </c>
      <c r="O8" s="77" t="s">
        <v>297</v>
      </c>
      <c r="P8" s="77" t="s">
        <v>298</v>
      </c>
      <c r="Q8" s="77" t="s">
        <v>299</v>
      </c>
      <c r="R8" s="93" t="s">
        <v>300</v>
      </c>
    </row>
    <row r="9" s="86" customFormat="true" ht="19.4" hidden="false" customHeight="false" outlineLevel="0" collapsed="false">
      <c r="A9" s="95" t="n">
        <v>1</v>
      </c>
      <c r="B9" s="335" t="s">
        <v>433</v>
      </c>
      <c r="C9" s="397" t="s">
        <v>434</v>
      </c>
      <c r="D9" s="398" t="s">
        <v>435</v>
      </c>
      <c r="E9" s="399" t="n">
        <v>16</v>
      </c>
      <c r="F9" s="97" t="s">
        <v>436</v>
      </c>
      <c r="G9" s="400" t="n">
        <v>15.23</v>
      </c>
      <c r="H9" s="401"/>
      <c r="I9" s="85"/>
      <c r="J9" s="402" t="n">
        <f aca="false">'Ocorrências Mensais - FAT'!G32</f>
        <v>16</v>
      </c>
      <c r="K9" s="403" t="n">
        <f aca="false">G9*J9</f>
        <v>243.68</v>
      </c>
      <c r="M9" s="404" t="n">
        <v>32</v>
      </c>
      <c r="N9" s="405" t="n">
        <f aca="false">ROUND(IF(Dados!$J$62="SIM",M9*Dados!$N$62,M9),2)</f>
        <v>32</v>
      </c>
      <c r="O9" s="405" t="n">
        <f aca="false">ROUND(IF(Dados!$J$63="SIM",N9*Dados!$N$63,N9),2)</f>
        <v>32</v>
      </c>
      <c r="P9" s="405" t="n">
        <f aca="false">ROUND(IF(Dados!$J$64="SIM",O9*Dados!$N$64,O9),2)</f>
        <v>32</v>
      </c>
      <c r="Q9" s="405" t="n">
        <f aca="false">ROUND(IF(Dados!$J$65="SIM",P9*Dados!$N$65,P9),2)</f>
        <v>32</v>
      </c>
      <c r="R9" s="406" t="n">
        <f aca="false">ROUND(IF(Dados!$J$66="SIM",Q9*Dados!$N$66,Q9),2)</f>
        <v>32</v>
      </c>
    </row>
    <row r="10" s="86" customFormat="true" ht="37.3" hidden="false" customHeight="false" outlineLevel="0" collapsed="false">
      <c r="A10" s="95" t="n">
        <v>2</v>
      </c>
      <c r="B10" s="407" t="s">
        <v>437</v>
      </c>
      <c r="C10" s="397" t="s">
        <v>434</v>
      </c>
      <c r="D10" s="408" t="s">
        <v>438</v>
      </c>
      <c r="E10" s="399" t="n">
        <v>2</v>
      </c>
      <c r="F10" s="97" t="s">
        <v>436</v>
      </c>
      <c r="G10" s="400" t="n">
        <v>57.39</v>
      </c>
      <c r="H10" s="401"/>
      <c r="I10" s="85"/>
      <c r="J10" s="402" t="n">
        <f aca="false">'Ocorrências Mensais - FAT'!G33</f>
        <v>2</v>
      </c>
      <c r="K10" s="403" t="n">
        <f aca="false">G10*J10</f>
        <v>114.78</v>
      </c>
      <c r="M10" s="404" t="n">
        <v>7.14</v>
      </c>
      <c r="N10" s="405" t="n">
        <f aca="false">ROUND(IF(Dados!$J$62="SIM",M10*Dados!$N$62,M10),2)</f>
        <v>7.14</v>
      </c>
      <c r="O10" s="405" t="n">
        <f aca="false">ROUND(IF(Dados!$J$63="SIM",N10*Dados!$N$63,N10),2)</f>
        <v>7.14</v>
      </c>
      <c r="P10" s="405" t="n">
        <f aca="false">ROUND(IF(Dados!$J$64="SIM",O10*Dados!$N$64,O10),2)</f>
        <v>7.14</v>
      </c>
      <c r="Q10" s="405" t="n">
        <f aca="false">ROUND(IF(Dados!$J$65="SIM",P10*Dados!$N$65,P10),2)</f>
        <v>7.14</v>
      </c>
      <c r="R10" s="406" t="n">
        <f aca="false">ROUND(IF(Dados!$J$66="SIM",Q10*Dados!$N$66,Q10),2)</f>
        <v>7.14</v>
      </c>
    </row>
    <row r="11" s="86" customFormat="true" ht="19.4" hidden="false" customHeight="false" outlineLevel="0" collapsed="false">
      <c r="A11" s="95" t="n">
        <v>3</v>
      </c>
      <c r="B11" s="335" t="s">
        <v>439</v>
      </c>
      <c r="C11" s="397" t="s">
        <v>440</v>
      </c>
      <c r="D11" s="397" t="s">
        <v>441</v>
      </c>
      <c r="E11" s="399" t="n">
        <v>20</v>
      </c>
      <c r="F11" s="97" t="s">
        <v>442</v>
      </c>
      <c r="G11" s="400" t="n">
        <v>13.89</v>
      </c>
      <c r="H11" s="401"/>
      <c r="I11" s="85"/>
      <c r="J11" s="97" t="n">
        <f aca="false">'Ocorrências Mensais - FAT'!G34</f>
        <v>3.33333333333333</v>
      </c>
      <c r="K11" s="403" t="n">
        <f aca="false">G11*J11</f>
        <v>46.3</v>
      </c>
      <c r="M11" s="404" t="n">
        <v>12</v>
      </c>
      <c r="N11" s="405" t="n">
        <f aca="false">ROUND(IF(Dados!$J$62="SIM",M11*Dados!$N$62,M11),2)</f>
        <v>12</v>
      </c>
      <c r="O11" s="405" t="n">
        <f aca="false">ROUND(IF(Dados!$J$63="SIM",N11*Dados!$N$63,N11),2)</f>
        <v>12</v>
      </c>
      <c r="P11" s="405" t="n">
        <f aca="false">ROUND(IF(Dados!$J$64="SIM",O11*Dados!$N$64,O11),2)</f>
        <v>12</v>
      </c>
      <c r="Q11" s="405" t="n">
        <f aca="false">ROUND(IF(Dados!$J$65="SIM",P11*Dados!$N$65,P11),2)</f>
        <v>12</v>
      </c>
      <c r="R11" s="406" t="n">
        <f aca="false">ROUND(IF(Dados!$J$66="SIM",Q11*Dados!$N$66,Q11),2)</f>
        <v>12</v>
      </c>
    </row>
    <row r="12" s="86" customFormat="true" ht="24.75" hidden="false" customHeight="true" outlineLevel="0" collapsed="false">
      <c r="A12" s="95" t="n">
        <v>4</v>
      </c>
      <c r="B12" s="335" t="s">
        <v>443</v>
      </c>
      <c r="C12" s="397" t="s">
        <v>440</v>
      </c>
      <c r="D12" s="397" t="s">
        <v>444</v>
      </c>
      <c r="E12" s="399" t="n">
        <v>20</v>
      </c>
      <c r="F12" s="97" t="s">
        <v>442</v>
      </c>
      <c r="G12" s="400" t="n">
        <v>26.38</v>
      </c>
      <c r="H12" s="401"/>
      <c r="I12" s="85"/>
      <c r="J12" s="97" t="n">
        <f aca="false">'Ocorrências Mensais - FAT'!G35</f>
        <v>3.33333333333333</v>
      </c>
      <c r="K12" s="403" t="n">
        <f aca="false">G12*J12</f>
        <v>87.9333333333333</v>
      </c>
      <c r="M12" s="404" t="n">
        <v>5.5</v>
      </c>
      <c r="N12" s="405" t="n">
        <f aca="false">ROUND(IF(Dados!$J$62="SIM",M12*Dados!$N$62,M12),2)</f>
        <v>5.5</v>
      </c>
      <c r="O12" s="405" t="n">
        <f aca="false">ROUND(IF(Dados!$J$63="SIM",N12*Dados!$N$63,N12),2)</f>
        <v>5.5</v>
      </c>
      <c r="P12" s="405" t="n">
        <f aca="false">ROUND(IF(Dados!$J$64="SIM",O12*Dados!$N$64,O12),2)</f>
        <v>5.5</v>
      </c>
      <c r="Q12" s="405" t="n">
        <f aca="false">ROUND(IF(Dados!$J$65="SIM",P12*Dados!$N$65,P12),2)</f>
        <v>5.5</v>
      </c>
      <c r="R12" s="406" t="n">
        <f aca="false">ROUND(IF(Dados!$J$66="SIM",Q12*Dados!$N$66,Q12),2)</f>
        <v>5.5</v>
      </c>
    </row>
    <row r="13" s="86" customFormat="true" ht="63.75" hidden="false" customHeight="true" outlineLevel="0" collapsed="false">
      <c r="A13" s="95" t="n">
        <v>5</v>
      </c>
      <c r="B13" s="335" t="s">
        <v>445</v>
      </c>
      <c r="C13" s="397" t="s">
        <v>440</v>
      </c>
      <c r="D13" s="397" t="s">
        <v>446</v>
      </c>
      <c r="E13" s="399" t="n">
        <v>2</v>
      </c>
      <c r="F13" s="97" t="s">
        <v>436</v>
      </c>
      <c r="G13" s="400" t="n">
        <v>5.46</v>
      </c>
      <c r="H13" s="401"/>
      <c r="I13" s="85"/>
      <c r="J13" s="97" t="n">
        <f aca="false">'Ocorrências Mensais - FAT'!G36</f>
        <v>2</v>
      </c>
      <c r="K13" s="403" t="n">
        <f aca="false">G13*J13</f>
        <v>10.92</v>
      </c>
      <c r="M13" s="404" t="n">
        <v>6.8</v>
      </c>
      <c r="N13" s="405" t="n">
        <f aca="false">ROUND(IF(Dados!$J$62="SIM",M13*Dados!$N$62,M13),2)</f>
        <v>6.8</v>
      </c>
      <c r="O13" s="405" t="n">
        <f aca="false">ROUND(IF(Dados!$J$63="SIM",N13*Dados!$N$63,N13),2)</f>
        <v>6.8</v>
      </c>
      <c r="P13" s="405" t="n">
        <f aca="false">ROUND(IF(Dados!$J$64="SIM",O13*Dados!$N$64,O13),2)</f>
        <v>6.8</v>
      </c>
      <c r="Q13" s="405" t="n">
        <f aca="false">ROUND(IF(Dados!$J$65="SIM",P13*Dados!$N$65,P13),2)</f>
        <v>6.8</v>
      </c>
      <c r="R13" s="406" t="n">
        <f aca="false">ROUND(IF(Dados!$J$66="SIM",Q13*Dados!$N$66,Q13),2)</f>
        <v>6.8</v>
      </c>
    </row>
    <row r="14" s="86" customFormat="true" ht="19.4" hidden="false" customHeight="false" outlineLevel="0" collapsed="false">
      <c r="A14" s="95" t="n">
        <v>6</v>
      </c>
      <c r="B14" s="335" t="s">
        <v>447</v>
      </c>
      <c r="C14" s="397" t="s">
        <v>440</v>
      </c>
      <c r="D14" s="397"/>
      <c r="E14" s="399" t="n">
        <v>20</v>
      </c>
      <c r="F14" s="97" t="s">
        <v>424</v>
      </c>
      <c r="G14" s="400" t="n">
        <v>99</v>
      </c>
      <c r="H14" s="401"/>
      <c r="I14" s="85"/>
      <c r="J14" s="97" t="n">
        <f aca="false">'Ocorrências Mensais - FAT'!G37</f>
        <v>1.66666666666667</v>
      </c>
      <c r="K14" s="403" t="n">
        <f aca="false">G14*J14</f>
        <v>165</v>
      </c>
      <c r="M14" s="404" t="n">
        <v>4.32</v>
      </c>
      <c r="N14" s="405" t="n">
        <f aca="false">ROUND(IF(Dados!$J$62="SIM",M14*Dados!$N$62,M14),2)</f>
        <v>4.32</v>
      </c>
      <c r="O14" s="405" t="n">
        <f aca="false">ROUND(IF(Dados!$J$63="SIM",N14*Dados!$N$63,N14),2)</f>
        <v>4.32</v>
      </c>
      <c r="P14" s="405" t="n">
        <f aca="false">ROUND(IF(Dados!$J$64="SIM",O14*Dados!$N$64,O14),2)</f>
        <v>4.32</v>
      </c>
      <c r="Q14" s="405" t="n">
        <f aca="false">ROUND(IF(Dados!$J$65="SIM",P14*Dados!$N$65,P14),2)</f>
        <v>4.32</v>
      </c>
      <c r="R14" s="406" t="n">
        <f aca="false">ROUND(IF(Dados!$J$66="SIM",Q14*Dados!$N$66,Q14),2)</f>
        <v>4.32</v>
      </c>
    </row>
    <row r="15" s="86" customFormat="true" ht="19.4" hidden="false" customHeight="false" outlineLevel="0" collapsed="false">
      <c r="A15" s="105" t="n">
        <v>7</v>
      </c>
      <c r="B15" s="335" t="s">
        <v>448</v>
      </c>
      <c r="C15" s="397" t="s">
        <v>440</v>
      </c>
      <c r="D15" s="397" t="s">
        <v>449</v>
      </c>
      <c r="E15" s="399" t="n">
        <v>3</v>
      </c>
      <c r="F15" s="97" t="s">
        <v>424</v>
      </c>
      <c r="G15" s="400" t="n">
        <v>10.41</v>
      </c>
      <c r="H15" s="401"/>
      <c r="I15" s="85"/>
      <c r="J15" s="97" t="n">
        <f aca="false">'Ocorrências Mensais - FAT'!G38</f>
        <v>0.25</v>
      </c>
      <c r="K15" s="403" t="n">
        <f aca="false">G15*J15</f>
        <v>2.6025</v>
      </c>
      <c r="M15" s="404" t="n">
        <v>5.5</v>
      </c>
      <c r="N15" s="405" t="n">
        <f aca="false">ROUND(IF(Dados!$J$62="SIM",M15*Dados!$N$62,M15),2)</f>
        <v>5.5</v>
      </c>
      <c r="O15" s="405" t="n">
        <f aca="false">ROUND(IF(Dados!$J$63="SIM",N15*Dados!$N$63,N15),2)</f>
        <v>5.5</v>
      </c>
      <c r="P15" s="405" t="n">
        <f aca="false">ROUND(IF(Dados!$J$64="SIM",O15*Dados!$N$64,O15),2)</f>
        <v>5.5</v>
      </c>
      <c r="Q15" s="405" t="n">
        <f aca="false">ROUND(IF(Dados!$J$65="SIM",P15*Dados!$N$65,P15),2)</f>
        <v>5.5</v>
      </c>
      <c r="R15" s="406" t="n">
        <f aca="false">ROUND(IF(Dados!$J$66="SIM",Q15*Dados!$N$66,Q15),2)</f>
        <v>5.5</v>
      </c>
    </row>
    <row r="16" s="86" customFormat="true" ht="19.4" hidden="false" customHeight="false" outlineLevel="0" collapsed="false">
      <c r="A16" s="95" t="n">
        <v>8</v>
      </c>
      <c r="B16" s="335" t="s">
        <v>450</v>
      </c>
      <c r="C16" s="397" t="s">
        <v>61</v>
      </c>
      <c r="D16" s="397" t="s">
        <v>451</v>
      </c>
      <c r="E16" s="399" t="n">
        <v>3</v>
      </c>
      <c r="F16" s="97" t="s">
        <v>424</v>
      </c>
      <c r="G16" s="400" t="n">
        <v>11.08</v>
      </c>
      <c r="H16" s="401"/>
      <c r="I16" s="85"/>
      <c r="J16" s="97" t="n">
        <f aca="false">'Ocorrências Mensais - FAT'!G39</f>
        <v>0.25</v>
      </c>
      <c r="K16" s="403" t="n">
        <f aca="false">G16*J16</f>
        <v>2.77</v>
      </c>
      <c r="M16" s="404" t="n">
        <v>11.48</v>
      </c>
      <c r="N16" s="405" t="n">
        <f aca="false">ROUND(IF(Dados!$J$62="SIM",M16*Dados!$N$62,M16),2)</f>
        <v>11.48</v>
      </c>
      <c r="O16" s="405" t="n">
        <f aca="false">ROUND(IF(Dados!$J$63="SIM",N16*Dados!$N$63,N16),2)</f>
        <v>11.48</v>
      </c>
      <c r="P16" s="405" t="n">
        <f aca="false">ROUND(IF(Dados!$J$64="SIM",O16*Dados!$N$64,O16),2)</f>
        <v>11.48</v>
      </c>
      <c r="Q16" s="405" t="n">
        <f aca="false">ROUND(IF(Dados!$J$65="SIM",P16*Dados!$N$65,P16),2)</f>
        <v>11.48</v>
      </c>
      <c r="R16" s="406" t="n">
        <f aca="false">ROUND(IF(Dados!$J$66="SIM",Q16*Dados!$N$66,Q16),2)</f>
        <v>11.48</v>
      </c>
    </row>
    <row r="17" s="86" customFormat="true" ht="28.35" hidden="false" customHeight="false" outlineLevel="0" collapsed="false">
      <c r="A17" s="95" t="n">
        <v>9</v>
      </c>
      <c r="B17" s="335" t="s">
        <v>452</v>
      </c>
      <c r="C17" s="397" t="s">
        <v>440</v>
      </c>
      <c r="D17" s="397" t="s">
        <v>453</v>
      </c>
      <c r="E17" s="409" t="n">
        <v>30</v>
      </c>
      <c r="F17" s="97" t="s">
        <v>436</v>
      </c>
      <c r="G17" s="400" t="n">
        <v>17.19</v>
      </c>
      <c r="H17" s="401"/>
      <c r="I17" s="85"/>
      <c r="J17" s="97" t="n">
        <f aca="false">'Ocorrências Mensais - FAT'!G40</f>
        <v>30</v>
      </c>
      <c r="K17" s="403" t="n">
        <f aca="false">G17*J17</f>
        <v>515.7</v>
      </c>
      <c r="M17" s="404" t="n">
        <v>2.17</v>
      </c>
      <c r="N17" s="405" t="n">
        <f aca="false">ROUND(IF(Dados!$J$62="SIM",M17*Dados!$N$62,M17),2)</f>
        <v>2.17</v>
      </c>
      <c r="O17" s="405" t="n">
        <f aca="false">ROUND(IF(Dados!$J$63="SIM",N17*Dados!$N$63,N17),2)</f>
        <v>2.17</v>
      </c>
      <c r="P17" s="405" t="n">
        <f aca="false">ROUND(IF(Dados!$J$64="SIM",O17*Dados!$N$64,O17),2)</f>
        <v>2.17</v>
      </c>
      <c r="Q17" s="405" t="n">
        <f aca="false">ROUND(IF(Dados!$J$65="SIM",P17*Dados!$N$65,P17),2)</f>
        <v>2.17</v>
      </c>
      <c r="R17" s="406" t="n">
        <f aca="false">ROUND(IF(Dados!$J$66="SIM",Q17*Dados!$N$66,Q17),2)</f>
        <v>2.17</v>
      </c>
    </row>
    <row r="18" s="86" customFormat="true" ht="28.35" hidden="false" customHeight="false" outlineLevel="0" collapsed="false">
      <c r="A18" s="95" t="n">
        <v>10</v>
      </c>
      <c r="B18" s="335" t="s">
        <v>454</v>
      </c>
      <c r="C18" s="397" t="s">
        <v>434</v>
      </c>
      <c r="D18" s="397" t="s">
        <v>455</v>
      </c>
      <c r="E18" s="409" t="n">
        <v>35</v>
      </c>
      <c r="F18" s="97" t="s">
        <v>436</v>
      </c>
      <c r="G18" s="400" t="n">
        <v>44.79</v>
      </c>
      <c r="H18" s="401"/>
      <c r="I18" s="85"/>
      <c r="J18" s="97" t="n">
        <f aca="false">'Ocorrências Mensais - FAT'!G41</f>
        <v>35</v>
      </c>
      <c r="K18" s="403" t="n">
        <f aca="false">G18*J18</f>
        <v>1567.65</v>
      </c>
      <c r="M18" s="404" t="n">
        <v>18.84</v>
      </c>
      <c r="N18" s="405" t="n">
        <f aca="false">ROUND(IF(Dados!$J$62="SIM",M18*Dados!$N$62,M18),2)</f>
        <v>18.84</v>
      </c>
      <c r="O18" s="405" t="n">
        <f aca="false">ROUND(IF(Dados!$J$63="SIM",N18*Dados!$N$63,N18),2)</f>
        <v>18.84</v>
      </c>
      <c r="P18" s="405" t="n">
        <f aca="false">ROUND(IF(Dados!$J$64="SIM",O18*Dados!$N$64,O18),2)</f>
        <v>18.84</v>
      </c>
      <c r="Q18" s="405" t="n">
        <f aca="false">ROUND(IF(Dados!$J$65="SIM",P18*Dados!$N$65,P18),2)</f>
        <v>18.84</v>
      </c>
      <c r="R18" s="406" t="n">
        <f aca="false">ROUND(IF(Dados!$J$66="SIM",Q18*Dados!$N$66,Q18),2)</f>
        <v>18.84</v>
      </c>
    </row>
    <row r="19" s="86" customFormat="true" ht="28.35" hidden="false" customHeight="false" outlineLevel="0" collapsed="false">
      <c r="A19" s="95" t="n">
        <v>11</v>
      </c>
      <c r="B19" s="335" t="s">
        <v>456</v>
      </c>
      <c r="C19" s="397" t="s">
        <v>440</v>
      </c>
      <c r="D19" s="397" t="s">
        <v>457</v>
      </c>
      <c r="E19" s="399" t="n">
        <v>6</v>
      </c>
      <c r="F19" s="97" t="s">
        <v>442</v>
      </c>
      <c r="G19" s="400" t="n">
        <v>28.44</v>
      </c>
      <c r="H19" s="401"/>
      <c r="I19" s="85"/>
      <c r="J19" s="97" t="n">
        <f aca="false">'Ocorrências Mensais - FAT'!G42</f>
        <v>1</v>
      </c>
      <c r="K19" s="403" t="n">
        <f aca="false">G19*J19</f>
        <v>28.44</v>
      </c>
      <c r="M19" s="404" t="n">
        <v>24</v>
      </c>
      <c r="N19" s="405" t="n">
        <f aca="false">ROUND(IF(Dados!$J$62="SIM",M19*Dados!$N$62,M19),2)</f>
        <v>24</v>
      </c>
      <c r="O19" s="405" t="n">
        <f aca="false">ROUND(IF(Dados!$J$63="SIM",N19*Dados!$N$63,N19),2)</f>
        <v>24</v>
      </c>
      <c r="P19" s="405" t="n">
        <f aca="false">ROUND(IF(Dados!$J$64="SIM",O19*Dados!$N$64,O19),2)</f>
        <v>24</v>
      </c>
      <c r="Q19" s="405" t="n">
        <f aca="false">ROUND(IF(Dados!$J$65="SIM",P19*Dados!$N$65,P19),2)</f>
        <v>24</v>
      </c>
      <c r="R19" s="406" t="n">
        <f aca="false">ROUND(IF(Dados!$J$66="SIM",Q19*Dados!$N$66,Q19),2)</f>
        <v>24</v>
      </c>
    </row>
    <row r="20" s="86" customFormat="true" ht="19.4" hidden="false" customHeight="false" outlineLevel="0" collapsed="false">
      <c r="A20" s="95" t="n">
        <v>12</v>
      </c>
      <c r="B20" s="335" t="s">
        <v>458</v>
      </c>
      <c r="C20" s="397" t="s">
        <v>440</v>
      </c>
      <c r="D20" s="397" t="s">
        <v>459</v>
      </c>
      <c r="E20" s="409" t="n">
        <v>5</v>
      </c>
      <c r="F20" s="97" t="s">
        <v>460</v>
      </c>
      <c r="G20" s="400" t="n">
        <v>5.57</v>
      </c>
      <c r="H20" s="401"/>
      <c r="I20" s="85"/>
      <c r="J20" s="97" t="n">
        <f aca="false">'Ocorrências Mensais - FAT'!G43</f>
        <v>1.66666666666667</v>
      </c>
      <c r="K20" s="403" t="n">
        <f aca="false">G20*J20</f>
        <v>9.28333333333334</v>
      </c>
      <c r="M20" s="404" t="n">
        <v>2.9</v>
      </c>
      <c r="N20" s="405" t="n">
        <f aca="false">ROUND(IF(Dados!$J$62="SIM",M20*Dados!$N$62,M20),2)</f>
        <v>2.9</v>
      </c>
      <c r="O20" s="405" t="n">
        <f aca="false">ROUND(IF(Dados!$J$63="SIM",N20*Dados!$N$63,N20),2)</f>
        <v>2.9</v>
      </c>
      <c r="P20" s="405" t="n">
        <f aca="false">ROUND(IF(Dados!$J$64="SIM",O20*Dados!$N$64,O20),2)</f>
        <v>2.9</v>
      </c>
      <c r="Q20" s="405" t="n">
        <f aca="false">ROUND(IF(Dados!$J$65="SIM",P20*Dados!$N$65,P20),2)</f>
        <v>2.9</v>
      </c>
      <c r="R20" s="406" t="n">
        <f aca="false">ROUND(IF(Dados!$J$66="SIM",Q20*Dados!$N$66,Q20),2)</f>
        <v>2.9</v>
      </c>
    </row>
    <row r="21" s="86" customFormat="true" ht="19.4" hidden="false" customHeight="false" outlineLevel="0" collapsed="false">
      <c r="A21" s="95" t="n">
        <v>13</v>
      </c>
      <c r="B21" s="335" t="s">
        <v>461</v>
      </c>
      <c r="C21" s="397" t="s">
        <v>440</v>
      </c>
      <c r="D21" s="397" t="s">
        <v>462</v>
      </c>
      <c r="E21" s="399" t="n">
        <v>30</v>
      </c>
      <c r="F21" s="97" t="s">
        <v>424</v>
      </c>
      <c r="G21" s="410" t="n">
        <v>16.11</v>
      </c>
      <c r="H21" s="401"/>
      <c r="I21" s="85"/>
      <c r="J21" s="97" t="n">
        <f aca="false">'Ocorrências Mensais - FAT'!G44</f>
        <v>2.5</v>
      </c>
      <c r="K21" s="403" t="n">
        <f aca="false">G21*J21</f>
        <v>40.275</v>
      </c>
      <c r="M21" s="404" t="n">
        <v>19.9</v>
      </c>
      <c r="N21" s="405" t="n">
        <f aca="false">ROUND(IF(Dados!$J$62="SIM",M21*Dados!$N$62,M21),2)</f>
        <v>19.9</v>
      </c>
      <c r="O21" s="405" t="n">
        <f aca="false">ROUND(IF(Dados!$J$63="SIM",N21*Dados!$N$63,N21),2)</f>
        <v>19.9</v>
      </c>
      <c r="P21" s="405" t="n">
        <f aca="false">ROUND(IF(Dados!$J$64="SIM",O21*Dados!$N$64,O21),2)</f>
        <v>19.9</v>
      </c>
      <c r="Q21" s="405" t="n">
        <f aca="false">ROUND(IF(Dados!$J$65="SIM",P21*Dados!$N$65,P21),2)</f>
        <v>19.9</v>
      </c>
      <c r="R21" s="406" t="n">
        <f aca="false">ROUND(IF(Dados!$J$66="SIM",Q21*Dados!$N$66,Q21),2)</f>
        <v>19.9</v>
      </c>
    </row>
    <row r="22" s="86" customFormat="true" ht="28.35" hidden="false" customHeight="false" outlineLevel="0" collapsed="false">
      <c r="A22" s="95" t="n">
        <v>14</v>
      </c>
      <c r="B22" s="411" t="s">
        <v>463</v>
      </c>
      <c r="C22" s="397" t="s">
        <v>464</v>
      </c>
      <c r="D22" s="412" t="s">
        <v>465</v>
      </c>
      <c r="E22" s="413" t="n">
        <v>6</v>
      </c>
      <c r="F22" s="414" t="s">
        <v>436</v>
      </c>
      <c r="G22" s="410" t="n">
        <v>6.4</v>
      </c>
      <c r="H22" s="401"/>
      <c r="I22" s="85"/>
      <c r="J22" s="97" t="n">
        <f aca="false">'Ocorrências Mensais - FAT'!G45</f>
        <v>6</v>
      </c>
      <c r="K22" s="403" t="n">
        <f aca="false">G22*J22</f>
        <v>38.4</v>
      </c>
      <c r="M22" s="404" t="n">
        <v>20.9</v>
      </c>
      <c r="N22" s="405" t="n">
        <f aca="false">ROUND(IF(Dados!$J$62="SIM",M22*Dados!$N$62,M22),2)</f>
        <v>20.9</v>
      </c>
      <c r="O22" s="405" t="n">
        <f aca="false">ROUND(IF(Dados!$J$63="SIM",N22*Dados!$N$63,N22),2)</f>
        <v>20.9</v>
      </c>
      <c r="P22" s="405" t="n">
        <f aca="false">ROUND(IF(Dados!$J$64="SIM",O22*Dados!$N$64,O22),2)</f>
        <v>20.9</v>
      </c>
      <c r="Q22" s="405" t="n">
        <f aca="false">ROUND(IF(Dados!$J$65="SIM",P22*Dados!$N$65,P22),2)</f>
        <v>20.9</v>
      </c>
      <c r="R22" s="406" t="n">
        <f aca="false">ROUND(IF(Dados!$J$66="SIM",Q22*Dados!$N$66,Q22),2)</f>
        <v>20.9</v>
      </c>
    </row>
    <row r="23" s="86" customFormat="true" ht="19.4" hidden="false" customHeight="false" outlineLevel="0" collapsed="false">
      <c r="A23" s="95" t="n">
        <v>15</v>
      </c>
      <c r="B23" s="335" t="s">
        <v>466</v>
      </c>
      <c r="C23" s="397" t="s">
        <v>464</v>
      </c>
      <c r="D23" s="398" t="s">
        <v>467</v>
      </c>
      <c r="E23" s="399" t="n">
        <v>4</v>
      </c>
      <c r="F23" s="97" t="s">
        <v>436</v>
      </c>
      <c r="G23" s="410" t="n">
        <v>2.94</v>
      </c>
      <c r="H23" s="401"/>
      <c r="I23" s="85"/>
      <c r="J23" s="97" t="n">
        <f aca="false">'Ocorrências Mensais - FAT'!G46</f>
        <v>4</v>
      </c>
      <c r="K23" s="403" t="n">
        <f aca="false">G23*J23</f>
        <v>11.76</v>
      </c>
      <c r="M23" s="404" t="n">
        <v>0.9</v>
      </c>
      <c r="N23" s="405" t="n">
        <f aca="false">ROUND(IF(Dados!$J$62="SIM",M23*Dados!$N$62,M23),2)</f>
        <v>0.9</v>
      </c>
      <c r="O23" s="405" t="n">
        <f aca="false">ROUND(IF(Dados!$J$63="SIM",N23*Dados!$N$63,N23),2)</f>
        <v>0.9</v>
      </c>
      <c r="P23" s="405" t="n">
        <f aca="false">ROUND(IF(Dados!$J$64="SIM",O23*Dados!$N$64,O23),2)</f>
        <v>0.9</v>
      </c>
      <c r="Q23" s="405" t="n">
        <f aca="false">ROUND(IF(Dados!$J$65="SIM",P23*Dados!$N$65,P23),2)</f>
        <v>0.9</v>
      </c>
      <c r="R23" s="406" t="n">
        <f aca="false">ROUND(IF(Dados!$J$66="SIM",Q23*Dados!$N$66,Q23),2)</f>
        <v>0.9</v>
      </c>
    </row>
    <row r="24" s="86" customFormat="true" ht="46.25" hidden="false" customHeight="false" outlineLevel="0" collapsed="false">
      <c r="A24" s="95" t="n">
        <v>16</v>
      </c>
      <c r="B24" s="335" t="s">
        <v>468</v>
      </c>
      <c r="C24" s="397" t="s">
        <v>440</v>
      </c>
      <c r="D24" s="397" t="s">
        <v>469</v>
      </c>
      <c r="E24" s="409" t="n">
        <v>24</v>
      </c>
      <c r="F24" s="97" t="s">
        <v>436</v>
      </c>
      <c r="G24" s="400" t="n">
        <v>4.28</v>
      </c>
      <c r="H24" s="401"/>
      <c r="I24" s="85"/>
      <c r="J24" s="97" t="n">
        <f aca="false">'Ocorrências Mensais - FAT'!G47</f>
        <v>24</v>
      </c>
      <c r="K24" s="403" t="n">
        <f aca="false">G24*J24</f>
        <v>102.72</v>
      </c>
      <c r="M24" s="404" t="n">
        <v>20.24</v>
      </c>
      <c r="N24" s="405" t="n">
        <f aca="false">ROUND(IF(Dados!$J$62="SIM",M24*Dados!$N$62,M24),2)</f>
        <v>20.24</v>
      </c>
      <c r="O24" s="405" t="n">
        <f aca="false">ROUND(IF(Dados!$J$63="SIM",N24*Dados!$N$63,N24),2)</f>
        <v>20.24</v>
      </c>
      <c r="P24" s="405" t="n">
        <f aca="false">ROUND(IF(Dados!$J$64="SIM",O24*Dados!$N$64,O24),2)</f>
        <v>20.24</v>
      </c>
      <c r="Q24" s="405" t="n">
        <f aca="false">ROUND(IF(Dados!$J$65="SIM",P24*Dados!$N$65,P24),2)</f>
        <v>20.24</v>
      </c>
      <c r="R24" s="406" t="n">
        <f aca="false">ROUND(IF(Dados!$J$66="SIM",Q24*Dados!$N$66,Q24),2)</f>
        <v>20.24</v>
      </c>
    </row>
    <row r="25" s="86" customFormat="true" ht="15" hidden="false" customHeight="false" outlineLevel="0" collapsed="false">
      <c r="A25" s="95" t="n">
        <v>17</v>
      </c>
      <c r="B25" s="335" t="s">
        <v>470</v>
      </c>
      <c r="C25" s="397" t="s">
        <v>440</v>
      </c>
      <c r="D25" s="397" t="s">
        <v>471</v>
      </c>
      <c r="E25" s="399" t="n">
        <v>5</v>
      </c>
      <c r="F25" s="97" t="s">
        <v>424</v>
      </c>
      <c r="G25" s="410" t="n">
        <v>9.24</v>
      </c>
      <c r="H25" s="401"/>
      <c r="I25" s="85"/>
      <c r="J25" s="97" t="n">
        <f aca="false">'Ocorrências Mensais - FAT'!G48</f>
        <v>0.416666666666667</v>
      </c>
      <c r="K25" s="403" t="n">
        <f aca="false">G25*J25</f>
        <v>3.85</v>
      </c>
      <c r="M25" s="404" t="n">
        <v>21.55</v>
      </c>
      <c r="N25" s="405" t="n">
        <f aca="false">ROUND(IF(Dados!$J$62="SIM",M25*Dados!$N$62,M25),2)</f>
        <v>21.55</v>
      </c>
      <c r="O25" s="405" t="n">
        <f aca="false">ROUND(IF(Dados!$J$63="SIM",N25*Dados!$N$63,N25),2)</f>
        <v>21.55</v>
      </c>
      <c r="P25" s="405" t="n">
        <f aca="false">ROUND(IF(Dados!$J$64="SIM",O25*Dados!$N$64,O25),2)</f>
        <v>21.55</v>
      </c>
      <c r="Q25" s="405" t="n">
        <f aca="false">ROUND(IF(Dados!$J$65="SIM",P25*Dados!$N$65,P25),2)</f>
        <v>21.55</v>
      </c>
      <c r="R25" s="406" t="n">
        <f aca="false">ROUND(IF(Dados!$J$66="SIM",Q25*Dados!$N$66,Q25),2)</f>
        <v>21.55</v>
      </c>
    </row>
    <row r="26" s="86" customFormat="true" ht="28.35" hidden="false" customHeight="false" outlineLevel="0" collapsed="false">
      <c r="A26" s="95" t="n">
        <v>18</v>
      </c>
      <c r="B26" s="335" t="s">
        <v>472</v>
      </c>
      <c r="C26" s="397" t="s">
        <v>440</v>
      </c>
      <c r="D26" s="398" t="s">
        <v>473</v>
      </c>
      <c r="E26" s="399" t="n">
        <v>2</v>
      </c>
      <c r="F26" s="97" t="s">
        <v>442</v>
      </c>
      <c r="G26" s="400" t="n">
        <v>165.65</v>
      </c>
      <c r="H26" s="401"/>
      <c r="I26" s="85"/>
      <c r="J26" s="97" t="n">
        <f aca="false">'Ocorrências Mensais - FAT'!G49</f>
        <v>0.333333333333333</v>
      </c>
      <c r="K26" s="403" t="n">
        <f aca="false">G26*J26</f>
        <v>55.2166666666667</v>
      </c>
      <c r="M26" s="404" t="n">
        <v>24.97</v>
      </c>
      <c r="N26" s="405" t="n">
        <f aca="false">ROUND(IF(Dados!$J$62="SIM",M26*Dados!$N$62,M26),2)</f>
        <v>24.97</v>
      </c>
      <c r="O26" s="405" t="n">
        <f aca="false">ROUND(IF(Dados!$J$63="SIM",N26*Dados!$N$63,N26),2)</f>
        <v>24.97</v>
      </c>
      <c r="P26" s="405" t="n">
        <f aca="false">ROUND(IF(Dados!$J$64="SIM",O26*Dados!$N$64,O26),2)</f>
        <v>24.97</v>
      </c>
      <c r="Q26" s="405" t="n">
        <f aca="false">ROUND(IF(Dados!$J$65="SIM",P26*Dados!$N$65,P26),2)</f>
        <v>24.97</v>
      </c>
      <c r="R26" s="406" t="n">
        <f aca="false">ROUND(IF(Dados!$J$66="SIM",Q26*Dados!$N$66,Q26),2)</f>
        <v>24.97</v>
      </c>
    </row>
    <row r="27" s="86" customFormat="true" ht="28.35" hidden="false" customHeight="false" outlineLevel="0" collapsed="false">
      <c r="A27" s="95" t="n">
        <v>19</v>
      </c>
      <c r="B27" s="335" t="s">
        <v>474</v>
      </c>
      <c r="C27" s="397" t="s">
        <v>434</v>
      </c>
      <c r="D27" s="397" t="s">
        <v>475</v>
      </c>
      <c r="E27" s="409" t="n">
        <v>5</v>
      </c>
      <c r="F27" s="97" t="s">
        <v>460</v>
      </c>
      <c r="G27" s="400" t="n">
        <v>58.35</v>
      </c>
      <c r="H27" s="401"/>
      <c r="I27" s="85"/>
      <c r="J27" s="97" t="n">
        <f aca="false">'Ocorrências Mensais - FAT'!G50</f>
        <v>1.66666666666667</v>
      </c>
      <c r="K27" s="403" t="n">
        <f aca="false">G27*J27</f>
        <v>97.25</v>
      </c>
      <c r="M27" s="404" t="n">
        <v>2.43</v>
      </c>
      <c r="N27" s="405" t="n">
        <f aca="false">ROUND(IF(Dados!$J$62="SIM",M27*Dados!$N$62,M27),2)</f>
        <v>2.43</v>
      </c>
      <c r="O27" s="405" t="n">
        <f aca="false">ROUND(IF(Dados!$J$63="SIM",N27*Dados!$N$63,N27),2)</f>
        <v>2.43</v>
      </c>
      <c r="P27" s="405" t="n">
        <f aca="false">ROUND(IF(Dados!$J$64="SIM",O27*Dados!$N$64,O27),2)</f>
        <v>2.43</v>
      </c>
      <c r="Q27" s="405" t="n">
        <f aca="false">ROUND(IF(Dados!$J$65="SIM",P27*Dados!$N$65,P27),2)</f>
        <v>2.43</v>
      </c>
      <c r="R27" s="406" t="n">
        <f aca="false">ROUND(IF(Dados!$J$66="SIM",Q27*Dados!$N$66,Q27),2)</f>
        <v>2.43</v>
      </c>
    </row>
    <row r="28" s="86" customFormat="true" ht="28.35" hidden="false" customHeight="false" outlineLevel="0" collapsed="false">
      <c r="A28" s="95" t="n">
        <v>20</v>
      </c>
      <c r="B28" s="335" t="s">
        <v>476</v>
      </c>
      <c r="C28" s="397" t="s">
        <v>61</v>
      </c>
      <c r="D28" s="397" t="s">
        <v>477</v>
      </c>
      <c r="E28" s="399" t="n">
        <v>2</v>
      </c>
      <c r="F28" s="97" t="s">
        <v>436</v>
      </c>
      <c r="G28" s="400" t="n">
        <v>6.82</v>
      </c>
      <c r="H28" s="401"/>
      <c r="I28" s="85"/>
      <c r="J28" s="97" t="n">
        <f aca="false">'Ocorrências Mensais - FAT'!G51</f>
        <v>2</v>
      </c>
      <c r="K28" s="403" t="n">
        <f aca="false">G28*J28</f>
        <v>13.64</v>
      </c>
      <c r="M28" s="404" t="n">
        <v>2.65</v>
      </c>
      <c r="N28" s="405" t="n">
        <f aca="false">ROUND(IF(Dados!$J$62="SIM",M28*Dados!$N$62,M28),2)</f>
        <v>2.65</v>
      </c>
      <c r="O28" s="405" t="n">
        <f aca="false">ROUND(IF(Dados!$J$63="SIM",N28*Dados!$N$63,N28),2)</f>
        <v>2.65</v>
      </c>
      <c r="P28" s="405" t="n">
        <f aca="false">ROUND(IF(Dados!$J$64="SIM",O28*Dados!$N$64,O28),2)</f>
        <v>2.65</v>
      </c>
      <c r="Q28" s="405" t="n">
        <f aca="false">ROUND(IF(Dados!$J$65="SIM",P28*Dados!$N$65,P28),2)</f>
        <v>2.65</v>
      </c>
      <c r="R28" s="406" t="n">
        <f aca="false">ROUND(IF(Dados!$J$66="SIM",Q28*Dados!$N$66,Q28),2)</f>
        <v>2.65</v>
      </c>
    </row>
    <row r="29" s="86" customFormat="true" ht="19.4" hidden="false" customHeight="false" outlineLevel="0" collapsed="false">
      <c r="A29" s="95" t="n">
        <v>21</v>
      </c>
      <c r="B29" s="335" t="s">
        <v>478</v>
      </c>
      <c r="C29" s="397" t="s">
        <v>479</v>
      </c>
      <c r="D29" s="398" t="s">
        <v>480</v>
      </c>
      <c r="E29" s="399" t="n">
        <v>35</v>
      </c>
      <c r="F29" s="97" t="s">
        <v>436</v>
      </c>
      <c r="G29" s="410" t="n">
        <v>13.38</v>
      </c>
      <c r="H29" s="401"/>
      <c r="I29" s="85"/>
      <c r="J29" s="97" t="n">
        <f aca="false">'Ocorrências Mensais - FAT'!G52</f>
        <v>35</v>
      </c>
      <c r="K29" s="403" t="n">
        <f aca="false">G29*J29</f>
        <v>468.3</v>
      </c>
      <c r="M29" s="404" t="n">
        <v>12</v>
      </c>
      <c r="N29" s="405" t="n">
        <f aca="false">ROUND(IF(Dados!$J$62="SIM",M29*Dados!$N$62,M29),2)</f>
        <v>12</v>
      </c>
      <c r="O29" s="405" t="n">
        <f aca="false">ROUND(IF(Dados!$J$63="SIM",N29*Dados!$N$63,N29),2)</f>
        <v>12</v>
      </c>
      <c r="P29" s="405" t="n">
        <f aca="false">ROUND(IF(Dados!$J$64="SIM",O29*Dados!$N$64,O29),2)</f>
        <v>12</v>
      </c>
      <c r="Q29" s="405" t="n">
        <f aca="false">ROUND(IF(Dados!$J$65="SIM",P29*Dados!$N$65,P29),2)</f>
        <v>12</v>
      </c>
      <c r="R29" s="406" t="n">
        <f aca="false">ROUND(IF(Dados!$J$66="SIM",Q29*Dados!$N$66,Q29),2)</f>
        <v>12</v>
      </c>
    </row>
    <row r="30" s="86" customFormat="true" ht="15" hidden="false" customHeight="false" outlineLevel="0" collapsed="false">
      <c r="A30" s="95" t="n">
        <v>22</v>
      </c>
      <c r="B30" s="335" t="s">
        <v>481</v>
      </c>
      <c r="C30" s="397" t="s">
        <v>440</v>
      </c>
      <c r="D30" s="397" t="s">
        <v>482</v>
      </c>
      <c r="E30" s="409" t="n">
        <v>2</v>
      </c>
      <c r="F30" s="97" t="s">
        <v>424</v>
      </c>
      <c r="G30" s="400" t="n">
        <v>148.99</v>
      </c>
      <c r="H30" s="401"/>
      <c r="I30" s="85"/>
      <c r="J30" s="97" t="n">
        <f aca="false">'Ocorrências Mensais - FAT'!G53</f>
        <v>0.166666666666667</v>
      </c>
      <c r="K30" s="403" t="n">
        <f aca="false">G30*J30</f>
        <v>24.8316666666667</v>
      </c>
      <c r="M30" s="404" t="n">
        <v>4.2</v>
      </c>
      <c r="N30" s="405" t="n">
        <f aca="false">ROUND(IF(Dados!$J$62="SIM",M30*Dados!$N$62,M30),2)</f>
        <v>4.2</v>
      </c>
      <c r="O30" s="405" t="n">
        <f aca="false">ROUND(IF(Dados!$J$63="SIM",N30*Dados!$N$63,N30),2)</f>
        <v>4.2</v>
      </c>
      <c r="P30" s="405" t="n">
        <f aca="false">ROUND(IF(Dados!$J$64="SIM",O30*Dados!$N$64,O30),2)</f>
        <v>4.2</v>
      </c>
      <c r="Q30" s="405" t="n">
        <f aca="false">ROUND(IF(Dados!$J$65="SIM",P30*Dados!$N$65,P30),2)</f>
        <v>4.2</v>
      </c>
      <c r="R30" s="406" t="n">
        <f aca="false">ROUND(IF(Dados!$J$66="SIM",Q30*Dados!$N$66,Q30),2)</f>
        <v>4.2</v>
      </c>
    </row>
    <row r="31" s="86" customFormat="true" ht="15" hidden="false" customHeight="false" outlineLevel="0" collapsed="false">
      <c r="A31" s="95" t="n">
        <v>23</v>
      </c>
      <c r="B31" s="335" t="s">
        <v>483</v>
      </c>
      <c r="C31" s="397" t="s">
        <v>440</v>
      </c>
      <c r="D31" s="397" t="s">
        <v>480</v>
      </c>
      <c r="E31" s="409" t="n">
        <v>20</v>
      </c>
      <c r="F31" s="97" t="s">
        <v>460</v>
      </c>
      <c r="G31" s="400" t="n">
        <v>13.09</v>
      </c>
      <c r="H31" s="401"/>
      <c r="I31" s="85"/>
      <c r="J31" s="97" t="n">
        <f aca="false">'Ocorrências Mensais - FAT'!G54</f>
        <v>6.66666666666667</v>
      </c>
      <c r="K31" s="403" t="n">
        <f aca="false">G31*J31</f>
        <v>87.2666666666667</v>
      </c>
      <c r="M31" s="404" t="n">
        <v>9.06</v>
      </c>
      <c r="N31" s="405" t="n">
        <f aca="false">ROUND(IF(Dados!$J$62="SIM",M31*Dados!$N$62,M31),2)</f>
        <v>9.06</v>
      </c>
      <c r="O31" s="405" t="n">
        <f aca="false">ROUND(IF(Dados!$J$63="SIM",N31*Dados!$N$63,N31),2)</f>
        <v>9.06</v>
      </c>
      <c r="P31" s="405" t="n">
        <f aca="false">ROUND(IF(Dados!$J$64="SIM",O31*Dados!$N$64,O31),2)</f>
        <v>9.06</v>
      </c>
      <c r="Q31" s="405" t="n">
        <f aca="false">ROUND(IF(Dados!$J$65="SIM",P31*Dados!$N$65,P31),2)</f>
        <v>9.06</v>
      </c>
      <c r="R31" s="406" t="n">
        <f aca="false">ROUND(IF(Dados!$J$66="SIM",Q31*Dados!$N$66,Q31),2)</f>
        <v>9.06</v>
      </c>
    </row>
    <row r="32" s="86" customFormat="true" ht="19.4" hidden="false" customHeight="false" outlineLevel="0" collapsed="false">
      <c r="A32" s="95" t="n">
        <v>24</v>
      </c>
      <c r="B32" s="407" t="s">
        <v>484</v>
      </c>
      <c r="C32" s="397" t="s">
        <v>485</v>
      </c>
      <c r="D32" s="397" t="s">
        <v>486</v>
      </c>
      <c r="E32" s="399" t="n">
        <v>240</v>
      </c>
      <c r="F32" s="97" t="s">
        <v>436</v>
      </c>
      <c r="G32" s="410" t="n">
        <v>3.75</v>
      </c>
      <c r="H32" s="401"/>
      <c r="I32" s="85"/>
      <c r="J32" s="97" t="n">
        <f aca="false">'Ocorrências Mensais - FAT'!G55</f>
        <v>240</v>
      </c>
      <c r="K32" s="403" t="n">
        <f aca="false">G32*J32</f>
        <v>900</v>
      </c>
      <c r="M32" s="404" t="n">
        <v>3.79</v>
      </c>
      <c r="N32" s="405" t="n">
        <f aca="false">ROUND(IF(Dados!$J$62="SIM",M32*Dados!$N$62,M32),2)</f>
        <v>3.79</v>
      </c>
      <c r="O32" s="405" t="n">
        <f aca="false">ROUND(IF(Dados!$J$63="SIM",N32*Dados!$N$63,N32),2)</f>
        <v>3.79</v>
      </c>
      <c r="P32" s="405" t="n">
        <f aca="false">ROUND(IF(Dados!$J$64="SIM",O32*Dados!$N$64,O32),2)</f>
        <v>3.79</v>
      </c>
      <c r="Q32" s="405" t="n">
        <f aca="false">ROUND(IF(Dados!$J$65="SIM",P32*Dados!$N$65,P32),2)</f>
        <v>3.79</v>
      </c>
      <c r="R32" s="406" t="n">
        <f aca="false">ROUND(IF(Dados!$J$66="SIM",Q32*Dados!$N$66,Q32),2)</f>
        <v>3.79</v>
      </c>
    </row>
    <row r="33" s="86" customFormat="true" ht="19.4" hidden="false" customHeight="false" outlineLevel="0" collapsed="false">
      <c r="A33" s="95" t="n">
        <v>25</v>
      </c>
      <c r="B33" s="335" t="s">
        <v>487</v>
      </c>
      <c r="C33" s="397" t="s">
        <v>488</v>
      </c>
      <c r="D33" s="397" t="s">
        <v>489</v>
      </c>
      <c r="E33" s="399" t="n">
        <v>90</v>
      </c>
      <c r="F33" s="97" t="s">
        <v>436</v>
      </c>
      <c r="G33" s="410" t="n">
        <v>22.89</v>
      </c>
      <c r="H33" s="401"/>
      <c r="I33" s="85"/>
      <c r="J33" s="97" t="n">
        <f aca="false">'Ocorrências Mensais - FAT'!G56</f>
        <v>90</v>
      </c>
      <c r="K33" s="403" t="n">
        <f aca="false">G33*J33</f>
        <v>2060.1</v>
      </c>
      <c r="M33" s="404" t="n">
        <v>3.79</v>
      </c>
      <c r="N33" s="405" t="n">
        <f aca="false">ROUND(IF(Dados!$J$62="SIM",M33*Dados!$N$62,M33),2)</f>
        <v>3.79</v>
      </c>
      <c r="O33" s="405" t="n">
        <f aca="false">ROUND(IF(Dados!$J$63="SIM",N33*Dados!$N$63,N33),2)</f>
        <v>3.79</v>
      </c>
      <c r="P33" s="405" t="n">
        <f aca="false">ROUND(IF(Dados!$J$64="SIM",O33*Dados!$N$64,O33),2)</f>
        <v>3.79</v>
      </c>
      <c r="Q33" s="405" t="n">
        <f aca="false">ROUND(IF(Dados!$J$65="SIM",P33*Dados!$N$65,P33),2)</f>
        <v>3.79</v>
      </c>
      <c r="R33" s="406" t="n">
        <f aca="false">ROUND(IF(Dados!$J$66="SIM",Q33*Dados!$N$66,Q33),2)</f>
        <v>3.79</v>
      </c>
    </row>
    <row r="34" s="86" customFormat="true" ht="17.25" hidden="false" customHeight="true" outlineLevel="0" collapsed="false">
      <c r="A34" s="95" t="n">
        <v>26</v>
      </c>
      <c r="B34" s="335" t="s">
        <v>490</v>
      </c>
      <c r="C34" s="397" t="s">
        <v>440</v>
      </c>
      <c r="D34" s="397" t="s">
        <v>491</v>
      </c>
      <c r="E34" s="409" t="n">
        <v>200</v>
      </c>
      <c r="F34" s="97" t="s">
        <v>436</v>
      </c>
      <c r="G34" s="400" t="n">
        <v>2.41</v>
      </c>
      <c r="H34" s="401"/>
      <c r="I34" s="85"/>
      <c r="J34" s="97" t="n">
        <f aca="false">'Ocorrências Mensais - FAT'!G57</f>
        <v>200</v>
      </c>
      <c r="K34" s="403" t="n">
        <f aca="false">G34*J34</f>
        <v>482</v>
      </c>
      <c r="M34" s="404" t="n">
        <v>3.5</v>
      </c>
      <c r="N34" s="405" t="n">
        <f aca="false">ROUND(IF(Dados!$J$62="SIM",M34*Dados!$N$62,M34),2)</f>
        <v>3.5</v>
      </c>
      <c r="O34" s="405" t="n">
        <f aca="false">ROUND(IF(Dados!$J$63="SIM",N34*Dados!$N$63,N34),2)</f>
        <v>3.5</v>
      </c>
      <c r="P34" s="405" t="n">
        <f aca="false">ROUND(IF(Dados!$J$64="SIM",O34*Dados!$N$64,O34),2)</f>
        <v>3.5</v>
      </c>
      <c r="Q34" s="405" t="n">
        <f aca="false">ROUND(IF(Dados!$J$65="SIM",P34*Dados!$N$65,P34),2)</f>
        <v>3.5</v>
      </c>
      <c r="R34" s="406" t="n">
        <f aca="false">ROUND(IF(Dados!$J$66="SIM",Q34*Dados!$N$66,Q34),2)</f>
        <v>3.5</v>
      </c>
    </row>
    <row r="35" s="86" customFormat="true" ht="19.4" hidden="false" customHeight="false" outlineLevel="0" collapsed="false">
      <c r="A35" s="95" t="n">
        <v>27</v>
      </c>
      <c r="B35" s="335" t="s">
        <v>492</v>
      </c>
      <c r="C35" s="397" t="s">
        <v>440</v>
      </c>
      <c r="D35" s="397" t="s">
        <v>493</v>
      </c>
      <c r="E35" s="399" t="n">
        <v>20</v>
      </c>
      <c r="F35" s="97" t="s">
        <v>460</v>
      </c>
      <c r="G35" s="410" t="n">
        <v>19.9</v>
      </c>
      <c r="H35" s="401"/>
      <c r="I35" s="85"/>
      <c r="J35" s="97" t="n">
        <f aca="false">'Ocorrências Mensais - FAT'!G58</f>
        <v>6.66666666666667</v>
      </c>
      <c r="K35" s="403" t="n">
        <f aca="false">G35*J35</f>
        <v>132.666666666667</v>
      </c>
      <c r="M35" s="404" t="n">
        <v>6.5</v>
      </c>
      <c r="N35" s="405" t="n">
        <f aca="false">ROUND(IF(Dados!$J$62="SIM",M35*Dados!$N$62,M35),2)</f>
        <v>6.5</v>
      </c>
      <c r="O35" s="405" t="n">
        <f aca="false">ROUND(IF(Dados!$J$63="SIM",N35*Dados!$N$63,N35),2)</f>
        <v>6.5</v>
      </c>
      <c r="P35" s="405" t="n">
        <f aca="false">ROUND(IF(Dados!$J$64="SIM",O35*Dados!$N$64,O35),2)</f>
        <v>6.5</v>
      </c>
      <c r="Q35" s="405" t="n">
        <f aca="false">ROUND(IF(Dados!$J$65="SIM",P35*Dados!$N$65,P35),2)</f>
        <v>6.5</v>
      </c>
      <c r="R35" s="406" t="n">
        <f aca="false">ROUND(IF(Dados!$J$66="SIM",Q35*Dados!$N$66,Q35),2)</f>
        <v>6.5</v>
      </c>
    </row>
    <row r="36" s="86" customFormat="true" ht="19.4" hidden="false" customHeight="false" outlineLevel="0" collapsed="false">
      <c r="A36" s="95" t="n">
        <v>28</v>
      </c>
      <c r="B36" s="335" t="s">
        <v>494</v>
      </c>
      <c r="C36" s="397" t="s">
        <v>61</v>
      </c>
      <c r="D36" s="397" t="s">
        <v>493</v>
      </c>
      <c r="E36" s="399" t="n">
        <v>20</v>
      </c>
      <c r="F36" s="97" t="s">
        <v>460</v>
      </c>
      <c r="G36" s="400" t="n">
        <v>25.67</v>
      </c>
      <c r="H36" s="401"/>
      <c r="I36" s="85"/>
      <c r="J36" s="97" t="n">
        <f aca="false">'Ocorrências Mensais - FAT'!G59</f>
        <v>6.66666666666667</v>
      </c>
      <c r="K36" s="403" t="n">
        <f aca="false">G36*J36</f>
        <v>171.133333333333</v>
      </c>
      <c r="M36" s="404" t="n">
        <v>65.6</v>
      </c>
      <c r="N36" s="405" t="n">
        <f aca="false">ROUND(IF(Dados!$J$62="SIM",M36*Dados!$N$62,M36),2)</f>
        <v>65.6</v>
      </c>
      <c r="O36" s="405" t="n">
        <f aca="false">ROUND(IF(Dados!$J$63="SIM",N36*Dados!$N$63,N36),2)</f>
        <v>65.6</v>
      </c>
      <c r="P36" s="405" t="n">
        <f aca="false">ROUND(IF(Dados!$J$64="SIM",O36*Dados!$N$64,O36),2)</f>
        <v>65.6</v>
      </c>
      <c r="Q36" s="405" t="n">
        <f aca="false">ROUND(IF(Dados!$J$65="SIM",P36*Dados!$N$65,P36),2)</f>
        <v>65.6</v>
      </c>
      <c r="R36" s="406" t="n">
        <f aca="false">ROUND(IF(Dados!$J$66="SIM",Q36*Dados!$N$66,Q36),2)</f>
        <v>65.6</v>
      </c>
    </row>
    <row r="37" s="86" customFormat="true" ht="15" hidden="false" customHeight="false" outlineLevel="0" collapsed="false">
      <c r="A37" s="95" t="n">
        <v>29</v>
      </c>
      <c r="B37" s="335" t="s">
        <v>495</v>
      </c>
      <c r="C37" s="397" t="s">
        <v>61</v>
      </c>
      <c r="D37" s="415"/>
      <c r="E37" s="399" t="n">
        <v>2</v>
      </c>
      <c r="F37" s="97" t="s">
        <v>442</v>
      </c>
      <c r="G37" s="400" t="n">
        <v>31.9</v>
      </c>
      <c r="H37" s="401"/>
      <c r="I37" s="85"/>
      <c r="J37" s="97" t="n">
        <f aca="false">'Ocorrências Mensais - FAT'!G60</f>
        <v>0.333333333333333</v>
      </c>
      <c r="K37" s="403" t="n">
        <f aca="false">G37*J37</f>
        <v>10.6333333333333</v>
      </c>
      <c r="M37" s="404" t="n">
        <v>43.78</v>
      </c>
      <c r="N37" s="405" t="n">
        <f aca="false">ROUND(IF(Dados!$J$62="SIM",M37*Dados!$N$62,M37),2)</f>
        <v>43.78</v>
      </c>
      <c r="O37" s="405" t="n">
        <f aca="false">ROUND(IF(Dados!$J$63="SIM",N37*Dados!$N$63,N37),2)</f>
        <v>43.78</v>
      </c>
      <c r="P37" s="405" t="n">
        <f aca="false">ROUND(IF(Dados!$J$64="SIM",O37*Dados!$N$64,O37),2)</f>
        <v>43.78</v>
      </c>
      <c r="Q37" s="405" t="n">
        <f aca="false">ROUND(IF(Dados!$J$65="SIM",P37*Dados!$N$65,P37),2)</f>
        <v>43.78</v>
      </c>
      <c r="R37" s="406" t="n">
        <f aca="false">ROUND(IF(Dados!$J$66="SIM",Q37*Dados!$N$66,Q37),2)</f>
        <v>43.78</v>
      </c>
    </row>
    <row r="38" s="86" customFormat="true" ht="15" hidden="false" customHeight="false" outlineLevel="0" collapsed="false">
      <c r="A38" s="95" t="n">
        <v>30</v>
      </c>
      <c r="B38" s="335" t="s">
        <v>496</v>
      </c>
      <c r="C38" s="397" t="s">
        <v>464</v>
      </c>
      <c r="D38" s="397" t="s">
        <v>497</v>
      </c>
      <c r="E38" s="399" t="n">
        <v>5</v>
      </c>
      <c r="F38" s="97" t="s">
        <v>436</v>
      </c>
      <c r="G38" s="400" t="n">
        <v>12</v>
      </c>
      <c r="H38" s="401"/>
      <c r="I38" s="85"/>
      <c r="J38" s="97" t="n">
        <f aca="false">'Ocorrências Mensais - FAT'!G61</f>
        <v>5</v>
      </c>
      <c r="K38" s="403" t="n">
        <f aca="false">G38*J38</f>
        <v>60</v>
      </c>
      <c r="M38" s="404" t="n">
        <v>14.94</v>
      </c>
      <c r="N38" s="405" t="n">
        <f aca="false">ROUND(IF(Dados!$J$62="SIM",M38*Dados!$N$62,M38),2)</f>
        <v>14.94</v>
      </c>
      <c r="O38" s="405" t="n">
        <f aca="false">ROUND(IF(Dados!$J$63="SIM",N38*Dados!$N$63,N38),2)</f>
        <v>14.94</v>
      </c>
      <c r="P38" s="405" t="n">
        <f aca="false">ROUND(IF(Dados!$J$64="SIM",O38*Dados!$N$64,O38),2)</f>
        <v>14.94</v>
      </c>
      <c r="Q38" s="405" t="n">
        <f aca="false">ROUND(IF(Dados!$J$65="SIM",P38*Dados!$N$65,P38),2)</f>
        <v>14.94</v>
      </c>
      <c r="R38" s="406" t="n">
        <f aca="false">ROUND(IF(Dados!$J$66="SIM",Q38*Dados!$N$66,Q38),2)</f>
        <v>14.94</v>
      </c>
    </row>
    <row r="39" s="86" customFormat="true" ht="15" hidden="false" customHeight="false" outlineLevel="0" collapsed="false">
      <c r="A39" s="95" t="n">
        <v>31</v>
      </c>
      <c r="B39" s="335" t="s">
        <v>498</v>
      </c>
      <c r="C39" s="397" t="s">
        <v>440</v>
      </c>
      <c r="D39" s="397" t="s">
        <v>499</v>
      </c>
      <c r="E39" s="409" t="n">
        <v>4</v>
      </c>
      <c r="F39" s="97" t="s">
        <v>436</v>
      </c>
      <c r="G39" s="400" t="n">
        <v>15.6</v>
      </c>
      <c r="H39" s="401"/>
      <c r="I39" s="85"/>
      <c r="J39" s="97" t="n">
        <f aca="false">'Ocorrências Mensais - FAT'!G62</f>
        <v>4</v>
      </c>
      <c r="K39" s="403" t="n">
        <f aca="false">G39*J39</f>
        <v>62.4</v>
      </c>
      <c r="M39" s="404" t="n">
        <v>5.5</v>
      </c>
      <c r="N39" s="405" t="n">
        <f aca="false">ROUND(IF(Dados!$J$62="SIM",M39*Dados!$N$62,M39),2)</f>
        <v>5.5</v>
      </c>
      <c r="O39" s="405" t="n">
        <f aca="false">ROUND(IF(Dados!$J$63="SIM",N39*Dados!$N$63,N39),2)</f>
        <v>5.5</v>
      </c>
      <c r="P39" s="405" t="n">
        <f aca="false">ROUND(IF(Dados!$J$64="SIM",O39*Dados!$N$64,O39),2)</f>
        <v>5.5</v>
      </c>
      <c r="Q39" s="405" t="n">
        <f aca="false">ROUND(IF(Dados!$J$65="SIM",P39*Dados!$N$65,P39),2)</f>
        <v>5.5</v>
      </c>
      <c r="R39" s="406" t="n">
        <f aca="false">ROUND(IF(Dados!$J$66="SIM",Q39*Dados!$N$66,Q39),2)</f>
        <v>5.5</v>
      </c>
    </row>
    <row r="40" s="86" customFormat="true" ht="15" hidden="false" customHeight="false" outlineLevel="0" collapsed="false">
      <c r="A40" s="95" t="n">
        <v>32</v>
      </c>
      <c r="B40" s="335" t="s">
        <v>500</v>
      </c>
      <c r="C40" s="397" t="s">
        <v>440</v>
      </c>
      <c r="D40" s="397" t="s">
        <v>467</v>
      </c>
      <c r="E40" s="409" t="n">
        <v>20</v>
      </c>
      <c r="F40" s="97" t="s">
        <v>436</v>
      </c>
      <c r="G40" s="416" t="n">
        <v>6.24</v>
      </c>
      <c r="H40" s="401"/>
      <c r="I40" s="85"/>
      <c r="J40" s="97" t="n">
        <f aca="false">'Ocorrências Mensais - FAT'!G63</f>
        <v>20</v>
      </c>
      <c r="K40" s="403" t="n">
        <f aca="false">G40*J40</f>
        <v>124.8</v>
      </c>
      <c r="M40" s="417" t="n">
        <v>12</v>
      </c>
      <c r="N40" s="405" t="n">
        <f aca="false">ROUND(IF(Dados!$J$62="SIM",M40*Dados!$N$62,M40),2)</f>
        <v>12</v>
      </c>
      <c r="O40" s="405" t="n">
        <f aca="false">ROUND(IF(Dados!$J$63="SIM",N40*Dados!$N$63,N40),2)</f>
        <v>12</v>
      </c>
      <c r="P40" s="405" t="n">
        <f aca="false">ROUND(IF(Dados!$J$64="SIM",O40*Dados!$N$64,O40),2)</f>
        <v>12</v>
      </c>
      <c r="Q40" s="405" t="n">
        <f aca="false">ROUND(IF(Dados!$J$65="SIM",P40*Dados!$N$65,P40),2)</f>
        <v>12</v>
      </c>
      <c r="R40" s="406" t="n">
        <f aca="false">ROUND(IF(Dados!$J$66="SIM",Q40*Dados!$N$66,Q40),2)</f>
        <v>12</v>
      </c>
    </row>
    <row r="41" s="86" customFormat="true" ht="27" hidden="false" customHeight="true" outlineLevel="0" collapsed="false">
      <c r="A41" s="95" t="n">
        <v>33</v>
      </c>
      <c r="B41" s="335" t="s">
        <v>501</v>
      </c>
      <c r="C41" s="397" t="s">
        <v>434</v>
      </c>
      <c r="D41" s="397" t="s">
        <v>502</v>
      </c>
      <c r="E41" s="409" t="n">
        <v>15</v>
      </c>
      <c r="F41" s="97" t="s">
        <v>436</v>
      </c>
      <c r="G41" s="418" t="n">
        <v>23.76</v>
      </c>
      <c r="H41" s="419"/>
      <c r="I41" s="85"/>
      <c r="J41" s="97" t="n">
        <f aca="false">'Ocorrências Mensais - FAT'!G64</f>
        <v>15</v>
      </c>
      <c r="K41" s="403" t="n">
        <f aca="false">G41*J41</f>
        <v>356.4</v>
      </c>
      <c r="M41" s="417" t="n">
        <v>28.27</v>
      </c>
      <c r="N41" s="405" t="n">
        <f aca="false">ROUND(IF(Dados!$J$62="SIM",M41*Dados!$N$62,M41),2)</f>
        <v>28.27</v>
      </c>
      <c r="O41" s="405" t="n">
        <f aca="false">ROUND(IF(Dados!$J$63="SIM",N41*Dados!$N$63,N41),2)</f>
        <v>28.27</v>
      </c>
      <c r="P41" s="405" t="n">
        <f aca="false">ROUND(IF(Dados!$J$64="SIM",O41*Dados!$N$64,O41),2)</f>
        <v>28.27</v>
      </c>
      <c r="Q41" s="405" t="n">
        <f aca="false">ROUND(IF(Dados!$J$65="SIM",P41*Dados!$N$65,P41),2)</f>
        <v>28.27</v>
      </c>
      <c r="R41" s="406" t="n">
        <f aca="false">ROUND(IF(Dados!$J$66="SIM",Q41*Dados!$N$66,Q41),2)</f>
        <v>28.27</v>
      </c>
    </row>
    <row r="42" s="86" customFormat="true" ht="18.75" hidden="false" customHeight="true" outlineLevel="0" collapsed="false">
      <c r="A42" s="95" t="n">
        <v>34</v>
      </c>
      <c r="B42" s="335" t="s">
        <v>503</v>
      </c>
      <c r="C42" s="397" t="s">
        <v>440</v>
      </c>
      <c r="D42" s="397" t="s">
        <v>504</v>
      </c>
      <c r="E42" s="409" t="n">
        <v>70</v>
      </c>
      <c r="F42" s="97" t="s">
        <v>436</v>
      </c>
      <c r="G42" s="418" t="n">
        <v>8.23</v>
      </c>
      <c r="H42" s="419"/>
      <c r="I42" s="85"/>
      <c r="J42" s="97" t="n">
        <f aca="false">'Ocorrências Mensais - FAT'!G65</f>
        <v>70</v>
      </c>
      <c r="K42" s="403" t="n">
        <f aca="false">G42*J42</f>
        <v>576.1</v>
      </c>
      <c r="M42" s="417" t="n">
        <v>21.5</v>
      </c>
      <c r="N42" s="405" t="n">
        <f aca="false">ROUND(IF(Dados!$J$62="SIM",M42*Dados!$N$62,M42),2)</f>
        <v>21.5</v>
      </c>
      <c r="O42" s="405" t="n">
        <f aca="false">ROUND(IF(Dados!$J$63="SIM",N42*Dados!$N$63,N42),2)</f>
        <v>21.5</v>
      </c>
      <c r="P42" s="405" t="n">
        <f aca="false">ROUND(IF(Dados!$J$64="SIM",O42*Dados!$N$64,O42),2)</f>
        <v>21.5</v>
      </c>
      <c r="Q42" s="405" t="n">
        <f aca="false">ROUND(IF(Dados!$J$65="SIM",P42*Dados!$N$65,P42),2)</f>
        <v>21.5</v>
      </c>
      <c r="R42" s="406" t="n">
        <f aca="false">ROUND(IF(Dados!$J$66="SIM",Q42*Dados!$N$66,Q42),2)</f>
        <v>21.5</v>
      </c>
    </row>
    <row r="43" s="86" customFormat="true" ht="19.4" hidden="false" customHeight="false" outlineLevel="0" collapsed="false">
      <c r="A43" s="95" t="n">
        <v>35</v>
      </c>
      <c r="B43" s="335" t="s">
        <v>505</v>
      </c>
      <c r="C43" s="397" t="s">
        <v>464</v>
      </c>
      <c r="D43" s="397" t="s">
        <v>506</v>
      </c>
      <c r="E43" s="399" t="n">
        <v>20</v>
      </c>
      <c r="F43" s="97" t="s">
        <v>436</v>
      </c>
      <c r="G43" s="418" t="n">
        <v>16.49</v>
      </c>
      <c r="H43" s="419"/>
      <c r="I43" s="85"/>
      <c r="J43" s="97" t="n">
        <f aca="false">'Ocorrências Mensais - FAT'!G66</f>
        <v>20</v>
      </c>
      <c r="K43" s="403" t="n">
        <f aca="false">G43*J43</f>
        <v>329.8</v>
      </c>
      <c r="M43" s="417" t="n">
        <v>44.11</v>
      </c>
      <c r="N43" s="405" t="n">
        <f aca="false">ROUND(IF(Dados!$J$62="SIM",M43*Dados!$N$62,M43),2)</f>
        <v>44.11</v>
      </c>
      <c r="O43" s="405" t="n">
        <f aca="false">ROUND(IF(Dados!$J$63="SIM",N43*Dados!$N$63,N43),2)</f>
        <v>44.11</v>
      </c>
      <c r="P43" s="405" t="n">
        <f aca="false">ROUND(IF(Dados!$J$64="SIM",O43*Dados!$N$64,O43),2)</f>
        <v>44.11</v>
      </c>
      <c r="Q43" s="405" t="n">
        <f aca="false">ROUND(IF(Dados!$J$65="SIM",P43*Dados!$N$65,P43),2)</f>
        <v>44.11</v>
      </c>
      <c r="R43" s="406" t="n">
        <f aca="false">ROUND(IF(Dados!$J$66="SIM",Q43*Dados!$N$66,Q43),2)</f>
        <v>44.11</v>
      </c>
    </row>
    <row r="44" s="86" customFormat="true" ht="19.4" hidden="false" customHeight="false" outlineLevel="0" collapsed="false">
      <c r="A44" s="95" t="n">
        <v>36</v>
      </c>
      <c r="B44" s="335" t="s">
        <v>507</v>
      </c>
      <c r="C44" s="397" t="s">
        <v>508</v>
      </c>
      <c r="D44" s="397" t="s">
        <v>509</v>
      </c>
      <c r="E44" s="399" t="n">
        <v>3</v>
      </c>
      <c r="F44" s="97" t="s">
        <v>436</v>
      </c>
      <c r="G44" s="416" t="n">
        <v>60.16</v>
      </c>
      <c r="H44" s="419"/>
      <c r="I44" s="85"/>
      <c r="J44" s="97" t="n">
        <f aca="false">'Ocorrências Mensais - FAT'!G67</f>
        <v>3</v>
      </c>
      <c r="K44" s="403" t="n">
        <f aca="false">G44*J44</f>
        <v>180.48</v>
      </c>
      <c r="M44" s="417" t="n">
        <v>5.5</v>
      </c>
      <c r="N44" s="405" t="n">
        <f aca="false">ROUND(IF(Dados!$J$62="SIM",M44*Dados!$N$62,M44),2)</f>
        <v>5.5</v>
      </c>
      <c r="O44" s="405" t="n">
        <f aca="false">ROUND(IF(Dados!$J$63="SIM",N44*Dados!$N$63,N44),2)</f>
        <v>5.5</v>
      </c>
      <c r="P44" s="405" t="n">
        <f aca="false">ROUND(IF(Dados!$J$64="SIM",O44*Dados!$N$64,O44),2)</f>
        <v>5.5</v>
      </c>
      <c r="Q44" s="405" t="n">
        <f aca="false">ROUND(IF(Dados!$J$65="SIM",P44*Dados!$N$65,P44),2)</f>
        <v>5.5</v>
      </c>
      <c r="R44" s="406" t="n">
        <f aca="false">ROUND(IF(Dados!$J$66="SIM",Q44*Dados!$N$66,Q44),2)</f>
        <v>5.5</v>
      </c>
    </row>
    <row r="45" s="86" customFormat="true" ht="18.75" hidden="false" customHeight="true" outlineLevel="0" collapsed="false">
      <c r="A45" s="95" t="n">
        <v>37</v>
      </c>
      <c r="B45" s="335" t="s">
        <v>510</v>
      </c>
      <c r="C45" s="397" t="s">
        <v>440</v>
      </c>
      <c r="D45" s="397" t="s">
        <v>493</v>
      </c>
      <c r="E45" s="399" t="n">
        <v>5</v>
      </c>
      <c r="F45" s="97" t="s">
        <v>460</v>
      </c>
      <c r="G45" s="416" t="n">
        <v>18.22</v>
      </c>
      <c r="H45" s="419"/>
      <c r="I45" s="85"/>
      <c r="J45" s="97" t="n">
        <f aca="false">'Ocorrências Mensais - FAT'!G68</f>
        <v>1.66666666666667</v>
      </c>
      <c r="K45" s="403" t="n">
        <f aca="false">G45*J45</f>
        <v>30.3666666666667</v>
      </c>
      <c r="M45" s="417" t="n">
        <v>12.5</v>
      </c>
      <c r="N45" s="405" t="n">
        <f aca="false">ROUND(IF(Dados!$J$62="SIM",M45*Dados!$N$62,M45),2)</f>
        <v>12.5</v>
      </c>
      <c r="O45" s="405" t="n">
        <f aca="false">ROUND(IF(Dados!$J$63="SIM",N45*Dados!$N$63,N45),2)</f>
        <v>12.5</v>
      </c>
      <c r="P45" s="405" t="n">
        <f aca="false">ROUND(IF(Dados!$J$64="SIM",O45*Dados!$N$64,O45),2)</f>
        <v>12.5</v>
      </c>
      <c r="Q45" s="405" t="n">
        <f aca="false">ROUND(IF(Dados!$J$65="SIM",P45*Dados!$N$65,P45),2)</f>
        <v>12.5</v>
      </c>
      <c r="R45" s="406" t="n">
        <f aca="false">ROUND(IF(Dados!$J$66="SIM",Q45*Dados!$N$66,Q45),2)</f>
        <v>12.5</v>
      </c>
    </row>
    <row r="46" s="86" customFormat="true" ht="19.4" hidden="false" customHeight="false" outlineLevel="0" collapsed="false">
      <c r="A46" s="95" t="n">
        <v>38</v>
      </c>
      <c r="B46" s="335" t="s">
        <v>511</v>
      </c>
      <c r="C46" s="397" t="s">
        <v>440</v>
      </c>
      <c r="D46" s="397" t="s">
        <v>449</v>
      </c>
      <c r="E46" s="399" t="n">
        <v>20</v>
      </c>
      <c r="F46" s="97" t="s">
        <v>460</v>
      </c>
      <c r="G46" s="418" t="n">
        <v>16.46</v>
      </c>
      <c r="H46" s="419"/>
      <c r="I46" s="85"/>
      <c r="J46" s="97" t="n">
        <f aca="false">'Ocorrências Mensais - FAT'!G69</f>
        <v>6.66666666666667</v>
      </c>
      <c r="K46" s="403" t="n">
        <f aca="false">G46*J46</f>
        <v>109.733333333333</v>
      </c>
      <c r="M46" s="417" t="n">
        <v>2.32</v>
      </c>
      <c r="N46" s="405" t="n">
        <f aca="false">ROUND(IF(Dados!$J$62="SIM",M46*Dados!$N$62,M46),2)</f>
        <v>2.32</v>
      </c>
      <c r="O46" s="405" t="n">
        <f aca="false">ROUND(IF(Dados!$J$63="SIM",N46*Dados!$N$63,N46),2)</f>
        <v>2.32</v>
      </c>
      <c r="P46" s="405" t="n">
        <f aca="false">ROUND(IF(Dados!$J$64="SIM",O46*Dados!$N$64,O46),2)</f>
        <v>2.32</v>
      </c>
      <c r="Q46" s="405" t="n">
        <f aca="false">ROUND(IF(Dados!$J$65="SIM",P46*Dados!$N$65,P46),2)</f>
        <v>2.32</v>
      </c>
      <c r="R46" s="406" t="n">
        <f aca="false">ROUND(IF(Dados!$J$66="SIM",Q46*Dados!$N$66,Q46),2)</f>
        <v>2.32</v>
      </c>
    </row>
    <row r="47" s="86" customFormat="true" ht="19.4" hidden="false" customHeight="false" outlineLevel="0" collapsed="false">
      <c r="A47" s="95" t="n">
        <v>39</v>
      </c>
      <c r="B47" s="335" t="s">
        <v>512</v>
      </c>
      <c r="C47" s="397" t="s">
        <v>440</v>
      </c>
      <c r="D47" s="397" t="s">
        <v>513</v>
      </c>
      <c r="E47" s="399" t="n">
        <v>10</v>
      </c>
      <c r="F47" s="97" t="s">
        <v>460</v>
      </c>
      <c r="G47" s="418" t="n">
        <v>18.1</v>
      </c>
      <c r="H47" s="419"/>
      <c r="I47" s="85"/>
      <c r="J47" s="97" t="n">
        <f aca="false">'Ocorrências Mensais - FAT'!G70</f>
        <v>3.33333333333333</v>
      </c>
      <c r="K47" s="403" t="n">
        <f aca="false">G47*J47</f>
        <v>60.3333333333333</v>
      </c>
      <c r="M47" s="417" t="n">
        <v>31.66</v>
      </c>
      <c r="N47" s="405" t="n">
        <f aca="false">ROUND(IF(Dados!$J$62="SIM",M47*Dados!$N$62,M47),2)</f>
        <v>31.66</v>
      </c>
      <c r="O47" s="405" t="n">
        <f aca="false">ROUND(IF(Dados!$J$63="SIM",N47*Dados!$N$63,N47),2)</f>
        <v>31.66</v>
      </c>
      <c r="P47" s="405" t="n">
        <f aca="false">ROUND(IF(Dados!$J$64="SIM",O47*Dados!$N$64,O47),2)</f>
        <v>31.66</v>
      </c>
      <c r="Q47" s="405" t="n">
        <f aca="false">ROUND(IF(Dados!$J$65="SIM",P47*Dados!$N$65,P47),2)</f>
        <v>31.66</v>
      </c>
      <c r="R47" s="406" t="n">
        <f aca="false">ROUND(IF(Dados!$J$66="SIM",Q47*Dados!$N$66,Q47),2)</f>
        <v>31.66</v>
      </c>
    </row>
    <row r="48" s="86" customFormat="true" ht="19.4" hidden="false" customHeight="false" outlineLevel="0" collapsed="false">
      <c r="A48" s="95" t="n">
        <v>40</v>
      </c>
      <c r="B48" s="335" t="s">
        <v>514</v>
      </c>
      <c r="C48" s="397" t="s">
        <v>434</v>
      </c>
      <c r="D48" s="397" t="s">
        <v>515</v>
      </c>
      <c r="E48" s="399" t="n">
        <v>1</v>
      </c>
      <c r="F48" s="97" t="s">
        <v>442</v>
      </c>
      <c r="G48" s="418" t="n">
        <v>43.3</v>
      </c>
      <c r="H48" s="419"/>
      <c r="I48" s="85"/>
      <c r="J48" s="97" t="n">
        <f aca="false">'Ocorrências Mensais - FAT'!G71</f>
        <v>0.166666666666667</v>
      </c>
      <c r="K48" s="403" t="n">
        <f aca="false">G48*J48</f>
        <v>7.21666666666667</v>
      </c>
      <c r="M48" s="417" t="n">
        <v>17.68</v>
      </c>
      <c r="N48" s="405" t="n">
        <f aca="false">ROUND(IF(Dados!$J$62="SIM",M48*Dados!$N$62,M48),2)</f>
        <v>17.68</v>
      </c>
      <c r="O48" s="405" t="n">
        <f aca="false">ROUND(IF(Dados!$J$63="SIM",N48*Dados!$N$63,N48),2)</f>
        <v>17.68</v>
      </c>
      <c r="P48" s="405" t="n">
        <f aca="false">ROUND(IF(Dados!$J$64="SIM",O48*Dados!$N$64,O48),2)</f>
        <v>17.68</v>
      </c>
      <c r="Q48" s="405" t="n">
        <f aca="false">ROUND(IF(Dados!$J$65="SIM",P48*Dados!$N$65,P48),2)</f>
        <v>17.68</v>
      </c>
      <c r="R48" s="406" t="n">
        <f aca="false">ROUND(IF(Dados!$J$66="SIM",Q48*Dados!$N$66,Q48),2)</f>
        <v>17.68</v>
      </c>
    </row>
    <row r="49" s="86" customFormat="true" ht="19.4" hidden="false" customHeight="false" outlineLevel="0" collapsed="false">
      <c r="A49" s="95" t="n">
        <v>41</v>
      </c>
      <c r="B49" s="335" t="s">
        <v>516</v>
      </c>
      <c r="C49" s="397" t="s">
        <v>464</v>
      </c>
      <c r="D49" s="397" t="s">
        <v>506</v>
      </c>
      <c r="E49" s="399" t="n">
        <v>2</v>
      </c>
      <c r="F49" s="97" t="s">
        <v>436</v>
      </c>
      <c r="G49" s="416" t="n">
        <v>51.21</v>
      </c>
      <c r="H49" s="419"/>
      <c r="I49" s="85"/>
      <c r="J49" s="97" t="n">
        <f aca="false">'Ocorrências Mensais - FAT'!G72</f>
        <v>2</v>
      </c>
      <c r="K49" s="403" t="n">
        <f aca="false">G49*J49</f>
        <v>102.42</v>
      </c>
      <c r="M49" s="417" t="n">
        <v>6.5</v>
      </c>
      <c r="N49" s="405" t="n">
        <f aca="false">ROUND(IF(Dados!$J$62="SIM",M49*Dados!$N$62,M49),2)</f>
        <v>6.5</v>
      </c>
      <c r="O49" s="405" t="n">
        <f aca="false">ROUND(IF(Dados!$J$63="SIM",N49*Dados!$N$63,N49),2)</f>
        <v>6.5</v>
      </c>
      <c r="P49" s="405" t="n">
        <f aca="false">ROUND(IF(Dados!$J$64="SIM",O49*Dados!$N$64,O49),2)</f>
        <v>6.5</v>
      </c>
      <c r="Q49" s="405" t="n">
        <f aca="false">ROUND(IF(Dados!$J$65="SIM",P49*Dados!$N$65,P49),2)</f>
        <v>6.5</v>
      </c>
      <c r="R49" s="406" t="n">
        <f aca="false">ROUND(IF(Dados!$J$66="SIM",Q49*Dados!$N$66,Q49),2)</f>
        <v>6.5</v>
      </c>
    </row>
    <row r="50" s="86" customFormat="true" ht="24" hidden="false" customHeight="true" outlineLevel="0" collapsed="false">
      <c r="A50" s="95" t="n">
        <v>42</v>
      </c>
      <c r="B50" s="407" t="s">
        <v>517</v>
      </c>
      <c r="C50" s="420" t="s">
        <v>440</v>
      </c>
      <c r="D50" s="420" t="s">
        <v>518</v>
      </c>
      <c r="E50" s="409" t="n">
        <v>60</v>
      </c>
      <c r="F50" s="97" t="s">
        <v>436</v>
      </c>
      <c r="G50" s="416" t="n">
        <v>2.55</v>
      </c>
      <c r="H50" s="419"/>
      <c r="I50" s="85"/>
      <c r="J50" s="97" t="n">
        <f aca="false">'Ocorrências Mensais - FAT'!G73</f>
        <v>60</v>
      </c>
      <c r="K50" s="403" t="n">
        <f aca="false">G50*J50</f>
        <v>153</v>
      </c>
      <c r="M50" s="417" t="n">
        <v>3.9</v>
      </c>
      <c r="N50" s="405" t="n">
        <f aca="false">ROUND(IF(Dados!$J$62="SIM",M50*Dados!$N$62,M50),2)</f>
        <v>3.9</v>
      </c>
      <c r="O50" s="405" t="n">
        <f aca="false">ROUND(IF(Dados!$J$63="SIM",N50*Dados!$N$63,N50),2)</f>
        <v>3.9</v>
      </c>
      <c r="P50" s="405" t="n">
        <f aca="false">ROUND(IF(Dados!$J$64="SIM",O50*Dados!$N$64,O50),2)</f>
        <v>3.9</v>
      </c>
      <c r="Q50" s="405" t="n">
        <f aca="false">ROUND(IF(Dados!$J$65="SIM",P50*Dados!$N$65,P50),2)</f>
        <v>3.9</v>
      </c>
      <c r="R50" s="406" t="n">
        <f aca="false">ROUND(IF(Dados!$J$66="SIM",Q50*Dados!$N$66,Q50),2)</f>
        <v>3.9</v>
      </c>
    </row>
    <row r="51" s="86" customFormat="true" ht="28.35" hidden="false" customHeight="false" outlineLevel="0" collapsed="false">
      <c r="A51" s="95" t="n">
        <v>43</v>
      </c>
      <c r="B51" s="335" t="s">
        <v>519</v>
      </c>
      <c r="C51" s="397" t="s">
        <v>434</v>
      </c>
      <c r="D51" s="397" t="s">
        <v>520</v>
      </c>
      <c r="E51" s="399" t="n">
        <v>10</v>
      </c>
      <c r="F51" s="97" t="s">
        <v>436</v>
      </c>
      <c r="G51" s="418" t="n">
        <v>22.16</v>
      </c>
      <c r="H51" s="419"/>
      <c r="I51" s="85"/>
      <c r="J51" s="97" t="n">
        <f aca="false">'Ocorrências Mensais - FAT'!G74</f>
        <v>10</v>
      </c>
      <c r="K51" s="403" t="n">
        <f aca="false">G51*J51</f>
        <v>221.6</v>
      </c>
      <c r="M51" s="417" t="n">
        <v>27</v>
      </c>
      <c r="N51" s="405" t="n">
        <f aca="false">ROUND(IF(Dados!$J$62="SIM",M51*Dados!$N$62,M51),2)</f>
        <v>27</v>
      </c>
      <c r="O51" s="405" t="n">
        <f aca="false">ROUND(IF(Dados!$J$63="SIM",N51*Dados!$N$63,N51),2)</f>
        <v>27</v>
      </c>
      <c r="P51" s="405" t="n">
        <f aca="false">ROUND(IF(Dados!$J$64="SIM",O51*Dados!$N$64,O51),2)</f>
        <v>27</v>
      </c>
      <c r="Q51" s="405" t="n">
        <f aca="false">ROUND(IF(Dados!$J$65="SIM",P51*Dados!$N$65,P51),2)</f>
        <v>27</v>
      </c>
      <c r="R51" s="406" t="n">
        <f aca="false">ROUND(IF(Dados!$J$66="SIM",Q51*Dados!$N$66,Q51),2)</f>
        <v>27</v>
      </c>
    </row>
    <row r="52" s="86" customFormat="true" ht="46.25" hidden="false" customHeight="false" outlineLevel="0" collapsed="false">
      <c r="A52" s="95" t="n">
        <v>44</v>
      </c>
      <c r="B52" s="335" t="s">
        <v>521</v>
      </c>
      <c r="C52" s="397" t="s">
        <v>61</v>
      </c>
      <c r="D52" s="397" t="s">
        <v>522</v>
      </c>
      <c r="E52" s="399" t="n">
        <v>10</v>
      </c>
      <c r="F52" s="97" t="s">
        <v>436</v>
      </c>
      <c r="G52" s="416" t="n">
        <v>7.66</v>
      </c>
      <c r="H52" s="419"/>
      <c r="I52" s="85"/>
      <c r="J52" s="97" t="n">
        <f aca="false">'Ocorrências Mensais - FAT'!G75</f>
        <v>10</v>
      </c>
      <c r="K52" s="403" t="n">
        <f aca="false">G52*J52</f>
        <v>76.6</v>
      </c>
      <c r="M52" s="417" t="n">
        <v>3.75</v>
      </c>
      <c r="N52" s="405" t="n">
        <f aca="false">ROUND(IF(Dados!$J$62="SIM",M52*Dados!$N$62,M52),2)</f>
        <v>3.75</v>
      </c>
      <c r="O52" s="405" t="n">
        <f aca="false">ROUND(IF(Dados!$J$63="SIM",N52*Dados!$N$63,N52),2)</f>
        <v>3.75</v>
      </c>
      <c r="P52" s="405" t="n">
        <f aca="false">ROUND(IF(Dados!$J$64="SIM",O52*Dados!$N$64,O52),2)</f>
        <v>3.75</v>
      </c>
      <c r="Q52" s="405" t="n">
        <f aca="false">ROUND(IF(Dados!$J$65="SIM",P52*Dados!$N$65,P52),2)</f>
        <v>3.75</v>
      </c>
      <c r="R52" s="406" t="n">
        <f aca="false">ROUND(IF(Dados!$J$66="SIM",Q52*Dados!$N$66,Q52),2)</f>
        <v>3.75</v>
      </c>
    </row>
    <row r="53" s="86" customFormat="true" ht="28.35" hidden="false" customHeight="false" outlineLevel="0" collapsed="false">
      <c r="A53" s="95" t="n">
        <v>45</v>
      </c>
      <c r="B53" s="335" t="s">
        <v>523</v>
      </c>
      <c r="C53" s="397" t="s">
        <v>434</v>
      </c>
      <c r="D53" s="397" t="s">
        <v>524</v>
      </c>
      <c r="E53" s="399" t="n">
        <v>10</v>
      </c>
      <c r="F53" s="97" t="s">
        <v>460</v>
      </c>
      <c r="G53" s="416" t="n">
        <v>42.11</v>
      </c>
      <c r="H53" s="419"/>
      <c r="I53" s="85"/>
      <c r="J53" s="97" t="n">
        <f aca="false">'Ocorrências Mensais - FAT'!G76</f>
        <v>3.33333333333333</v>
      </c>
      <c r="K53" s="403" t="n">
        <f aca="false">G53*J53</f>
        <v>140.366666666667</v>
      </c>
      <c r="M53" s="417" t="n">
        <v>6.5</v>
      </c>
      <c r="N53" s="405" t="n">
        <f aca="false">ROUND(IF(Dados!$J$62="SIM",M53*Dados!$N$62,M53),2)</f>
        <v>6.5</v>
      </c>
      <c r="O53" s="405" t="n">
        <f aca="false">ROUND(IF(Dados!$J$63="SIM",N53*Dados!$N$63,N53),2)</f>
        <v>6.5</v>
      </c>
      <c r="P53" s="405" t="n">
        <f aca="false">ROUND(IF(Dados!$J$64="SIM",O53*Dados!$N$64,O53),2)</f>
        <v>6.5</v>
      </c>
      <c r="Q53" s="405" t="n">
        <f aca="false">ROUND(IF(Dados!$J$65="SIM",P53*Dados!$N$65,P53),2)</f>
        <v>6.5</v>
      </c>
      <c r="R53" s="406" t="n">
        <f aca="false">ROUND(IF(Dados!$J$66="SIM",Q53*Dados!$N$66,Q53),2)</f>
        <v>6.5</v>
      </c>
    </row>
    <row r="54" s="86" customFormat="true" ht="15" hidden="false" customHeight="false" outlineLevel="0" collapsed="false">
      <c r="A54" s="95" t="n">
        <v>46</v>
      </c>
      <c r="B54" s="335" t="s">
        <v>525</v>
      </c>
      <c r="C54" s="397" t="s">
        <v>61</v>
      </c>
      <c r="D54" s="397"/>
      <c r="E54" s="399" t="n">
        <v>5</v>
      </c>
      <c r="F54" s="97" t="s">
        <v>460</v>
      </c>
      <c r="G54" s="416" t="n">
        <v>35.62</v>
      </c>
      <c r="H54" s="419"/>
      <c r="I54" s="85"/>
      <c r="J54" s="97" t="n">
        <f aca="false">'Ocorrências Mensais - FAT'!G77</f>
        <v>1.66666666666667</v>
      </c>
      <c r="K54" s="403" t="n">
        <f aca="false">G54*J54</f>
        <v>59.3666666666667</v>
      </c>
      <c r="M54" s="417" t="n">
        <v>15.7</v>
      </c>
      <c r="N54" s="405" t="n">
        <f aca="false">ROUND(IF(Dados!$J$62="SIM",M54*Dados!$N$62,M54),2)</f>
        <v>15.7</v>
      </c>
      <c r="O54" s="405" t="n">
        <f aca="false">ROUND(IF(Dados!$J$63="SIM",N54*Dados!$N$63,N54),2)</f>
        <v>15.7</v>
      </c>
      <c r="P54" s="405" t="n">
        <f aca="false">ROUND(IF(Dados!$J$64="SIM",O54*Dados!$N$64,O54),2)</f>
        <v>15.7</v>
      </c>
      <c r="Q54" s="405" t="n">
        <f aca="false">ROUND(IF(Dados!$J$65="SIM",P54*Dados!$N$65,P54),2)</f>
        <v>15.7</v>
      </c>
      <c r="R54" s="406" t="n">
        <f aca="false">ROUND(IF(Dados!$J$66="SIM",Q54*Dados!$N$66,Q54),2)</f>
        <v>15.7</v>
      </c>
    </row>
    <row r="55" s="86" customFormat="true" ht="28.35" hidden="false" customHeight="false" outlineLevel="0" collapsed="false">
      <c r="A55" s="95" t="n">
        <v>47</v>
      </c>
      <c r="B55" s="335" t="s">
        <v>526</v>
      </c>
      <c r="C55" s="397" t="s">
        <v>434</v>
      </c>
      <c r="D55" s="397" t="s">
        <v>527</v>
      </c>
      <c r="E55" s="399" t="n">
        <v>2</v>
      </c>
      <c r="F55" s="97" t="s">
        <v>436</v>
      </c>
      <c r="G55" s="416" t="n">
        <v>38.72</v>
      </c>
      <c r="H55" s="419"/>
      <c r="I55" s="85"/>
      <c r="J55" s="97" t="n">
        <f aca="false">'Ocorrências Mensais - FAT'!G78</f>
        <v>2</v>
      </c>
      <c r="K55" s="403" t="n">
        <f aca="false">G55*J55</f>
        <v>77.44</v>
      </c>
      <c r="M55" s="417"/>
      <c r="N55" s="405"/>
      <c r="O55" s="405"/>
      <c r="P55" s="405"/>
      <c r="Q55" s="405"/>
      <c r="R55" s="406"/>
    </row>
    <row r="56" s="86" customFormat="true" ht="28.35" hidden="false" customHeight="false" outlineLevel="0" collapsed="false">
      <c r="A56" s="95" t="n">
        <v>48</v>
      </c>
      <c r="B56" s="421" t="s">
        <v>528</v>
      </c>
      <c r="C56" s="397" t="s">
        <v>434</v>
      </c>
      <c r="D56" s="412" t="s">
        <v>529</v>
      </c>
      <c r="E56" s="399" t="n">
        <v>7</v>
      </c>
      <c r="F56" s="402" t="s">
        <v>436</v>
      </c>
      <c r="G56" s="418" t="n">
        <v>22.37</v>
      </c>
      <c r="H56" s="419"/>
      <c r="I56" s="85"/>
      <c r="J56" s="97" t="n">
        <f aca="false">'Ocorrências Mensais - FAT'!G79</f>
        <v>7</v>
      </c>
      <c r="K56" s="403" t="n">
        <f aca="false">G56*J56</f>
        <v>156.59</v>
      </c>
      <c r="M56" s="417" t="n">
        <v>29.2</v>
      </c>
      <c r="N56" s="405" t="n">
        <f aca="false">ROUND(IF(Dados!$J$62="SIM",M56*Dados!$N$62,M56),2)</f>
        <v>29.2</v>
      </c>
      <c r="O56" s="405" t="n">
        <f aca="false">ROUND(IF(Dados!$J$63="SIM",N56*Dados!$N$63,N56),2)</f>
        <v>29.2</v>
      </c>
      <c r="P56" s="405" t="n">
        <f aca="false">ROUND(IF(Dados!$J$64="SIM",O56*Dados!$N$64,O56),2)</f>
        <v>29.2</v>
      </c>
      <c r="Q56" s="405" t="n">
        <f aca="false">ROUND(IF(Dados!$J$65="SIM",P56*Dados!$N$65,P56),2)</f>
        <v>29.2</v>
      </c>
      <c r="R56" s="406" t="n">
        <f aca="false">ROUND(IF(Dados!$J$66="SIM",Q56*Dados!$N$66,Q56),2)</f>
        <v>29.2</v>
      </c>
    </row>
    <row r="57" s="86" customFormat="true" ht="28.5" hidden="false" customHeight="true" outlineLevel="0" collapsed="false">
      <c r="A57" s="95" t="n">
        <v>49</v>
      </c>
      <c r="B57" s="407" t="s">
        <v>530</v>
      </c>
      <c r="C57" s="397" t="s">
        <v>440</v>
      </c>
      <c r="D57" s="397" t="s">
        <v>531</v>
      </c>
      <c r="E57" s="409" t="n">
        <v>24</v>
      </c>
      <c r="F57" s="97" t="s">
        <v>436</v>
      </c>
      <c r="G57" s="418" t="n">
        <v>9.81</v>
      </c>
      <c r="H57" s="419"/>
      <c r="I57" s="85"/>
      <c r="J57" s="97" t="n">
        <f aca="false">'Ocorrências Mensais - FAT'!G80</f>
        <v>24</v>
      </c>
      <c r="K57" s="403" t="n">
        <f aca="false">G57*J57</f>
        <v>235.44</v>
      </c>
      <c r="M57" s="417" t="n">
        <v>12.5</v>
      </c>
      <c r="N57" s="405" t="n">
        <f aca="false">ROUND(IF(Dados!$J$62="SIM",M57*Dados!$N$62,M57),2)</f>
        <v>12.5</v>
      </c>
      <c r="O57" s="405" t="n">
        <f aca="false">ROUND(IF(Dados!$J$63="SIM",N57*Dados!$N$63,N57),2)</f>
        <v>12.5</v>
      </c>
      <c r="P57" s="405" t="n">
        <f aca="false">ROUND(IF(Dados!$J$64="SIM",O57*Dados!$N$64,O57),2)</f>
        <v>12.5</v>
      </c>
      <c r="Q57" s="405" t="n">
        <f aca="false">ROUND(IF(Dados!$J$65="SIM",P57*Dados!$N$65,P57),2)</f>
        <v>12.5</v>
      </c>
      <c r="R57" s="406" t="n">
        <f aca="false">ROUND(IF(Dados!$J$66="SIM",Q57*Dados!$N$66,Q57),2)</f>
        <v>12.5</v>
      </c>
    </row>
    <row r="58" s="86" customFormat="true" ht="37.3" hidden="false" customHeight="false" outlineLevel="0" collapsed="false">
      <c r="A58" s="95" t="n">
        <v>50</v>
      </c>
      <c r="B58" s="407" t="s">
        <v>532</v>
      </c>
      <c r="C58" s="397" t="s">
        <v>434</v>
      </c>
      <c r="D58" s="397" t="s">
        <v>533</v>
      </c>
      <c r="E58" s="399" t="n">
        <v>5</v>
      </c>
      <c r="F58" s="97" t="s">
        <v>460</v>
      </c>
      <c r="G58" s="418" t="n">
        <v>43.79</v>
      </c>
      <c r="H58" s="419"/>
      <c r="I58" s="85"/>
      <c r="J58" s="97" t="n">
        <f aca="false">'Ocorrências Mensais - FAT'!G81</f>
        <v>1.66666666666667</v>
      </c>
      <c r="K58" s="403" t="n">
        <f aca="false">G58*J58</f>
        <v>72.9833333333333</v>
      </c>
      <c r="M58" s="417" t="n">
        <v>16.5</v>
      </c>
      <c r="N58" s="405" t="n">
        <f aca="false">ROUND(IF(Dados!$J$62="SIM",M58*Dados!$N$62,M58),2)</f>
        <v>16.5</v>
      </c>
      <c r="O58" s="405" t="n">
        <f aca="false">ROUND(IF(Dados!$J$63="SIM",N58*Dados!$N$63,N58),2)</f>
        <v>16.5</v>
      </c>
      <c r="P58" s="405" t="n">
        <f aca="false">ROUND(IF(Dados!$J$64="SIM",O58*Dados!$N$64,O58),2)</f>
        <v>16.5</v>
      </c>
      <c r="Q58" s="405" t="n">
        <f aca="false">ROUND(IF(Dados!$J$65="SIM",P58*Dados!$N$65,P58),2)</f>
        <v>16.5</v>
      </c>
      <c r="R58" s="406" t="n">
        <f aca="false">ROUND(IF(Dados!$J$66="SIM",Q58*Dados!$N$66,Q58),2)</f>
        <v>16.5</v>
      </c>
    </row>
    <row r="59" customFormat="false" ht="46.25" hidden="false" customHeight="false" outlineLevel="0" collapsed="false">
      <c r="A59" s="95" t="n">
        <v>51</v>
      </c>
      <c r="B59" s="407" t="s">
        <v>534</v>
      </c>
      <c r="C59" s="397" t="s">
        <v>434</v>
      </c>
      <c r="D59" s="397" t="s">
        <v>535</v>
      </c>
      <c r="E59" s="399" t="n">
        <v>3</v>
      </c>
      <c r="F59" s="97" t="s">
        <v>460</v>
      </c>
      <c r="G59" s="418" t="n">
        <v>85.97</v>
      </c>
      <c r="H59" s="419"/>
      <c r="I59" s="85"/>
      <c r="J59" s="97" t="n">
        <f aca="false">'Ocorrências Mensais - FAT'!G82</f>
        <v>1</v>
      </c>
      <c r="K59" s="403" t="n">
        <f aca="false">G59*J59</f>
        <v>85.97</v>
      </c>
      <c r="L59" s="86"/>
      <c r="M59" s="417" t="n">
        <v>15.6</v>
      </c>
      <c r="N59" s="405" t="n">
        <f aca="false">ROUND(IF(Dados!$J$62="SIM",M59*Dados!$N$62,M59),2)</f>
        <v>15.6</v>
      </c>
      <c r="O59" s="405" t="n">
        <f aca="false">ROUND(IF(Dados!$J$63="SIM",N59*Dados!$N$63,N59),2)</f>
        <v>15.6</v>
      </c>
      <c r="P59" s="405" t="n">
        <f aca="false">ROUND(IF(Dados!$J$64="SIM",O59*Dados!$N$64,O59),2)</f>
        <v>15.6</v>
      </c>
      <c r="Q59" s="405" t="n">
        <f aca="false">ROUND(IF(Dados!$J$65="SIM",P59*Dados!$N$65,P59),2)</f>
        <v>15.6</v>
      </c>
      <c r="R59" s="406" t="n">
        <f aca="false">ROUND(IF(Dados!$J$66="SIM",Q59*Dados!$N$66,Q59),2)</f>
        <v>15.6</v>
      </c>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6"/>
      <c r="FK59" s="86"/>
      <c r="FL59" s="86"/>
      <c r="FM59" s="86"/>
      <c r="FN59" s="86"/>
      <c r="FO59" s="86"/>
      <c r="FP59" s="86"/>
      <c r="FQ59" s="86"/>
      <c r="FR59" s="86"/>
      <c r="FS59" s="86"/>
      <c r="FT59" s="86"/>
      <c r="FU59" s="86"/>
      <c r="FV59" s="86"/>
      <c r="FW59" s="86"/>
      <c r="FX59" s="86"/>
      <c r="FY59" s="86"/>
      <c r="FZ59" s="86"/>
      <c r="GA59" s="86"/>
      <c r="GB59" s="86"/>
      <c r="GC59" s="86"/>
      <c r="GD59" s="86"/>
      <c r="GE59" s="86"/>
      <c r="GF59" s="86"/>
      <c r="GG59" s="86"/>
      <c r="GH59" s="86"/>
      <c r="GI59" s="86"/>
      <c r="GJ59" s="86"/>
      <c r="GK59" s="86"/>
      <c r="GL59" s="86"/>
      <c r="GM59" s="86"/>
      <c r="GN59" s="86"/>
      <c r="GO59" s="86"/>
      <c r="GP59" s="86"/>
      <c r="GQ59" s="86"/>
      <c r="GR59" s="86"/>
      <c r="GS59" s="86"/>
      <c r="GT59" s="86"/>
      <c r="GU59" s="86"/>
      <c r="GV59" s="86"/>
      <c r="GW59" s="86"/>
      <c r="GX59" s="86"/>
      <c r="GY59" s="86"/>
      <c r="GZ59" s="86"/>
      <c r="HA59" s="86"/>
      <c r="HB59" s="86"/>
      <c r="HC59" s="86"/>
      <c r="HD59" s="86"/>
      <c r="HE59" s="86"/>
      <c r="HF59" s="86"/>
      <c r="HG59" s="86"/>
      <c r="HH59" s="86"/>
      <c r="HI59" s="86"/>
      <c r="HJ59" s="86"/>
      <c r="HK59" s="86"/>
      <c r="HL59" s="86"/>
      <c r="HM59" s="86"/>
      <c r="HN59" s="86"/>
      <c r="HO59" s="86"/>
      <c r="HP59" s="86"/>
      <c r="HQ59" s="86"/>
      <c r="HR59" s="86"/>
      <c r="HS59" s="86"/>
      <c r="HT59" s="86"/>
      <c r="HU59" s="86"/>
      <c r="HV59" s="86"/>
      <c r="HW59" s="86"/>
      <c r="HX59" s="86"/>
      <c r="HY59" s="86"/>
      <c r="HZ59" s="86"/>
      <c r="IA59" s="86"/>
      <c r="IB59" s="86"/>
      <c r="IC59" s="86"/>
      <c r="ID59" s="86"/>
      <c r="IE59" s="86"/>
      <c r="IF59" s="86"/>
      <c r="IG59" s="86"/>
      <c r="IH59" s="86"/>
      <c r="II59" s="86"/>
      <c r="IJ59" s="86"/>
      <c r="IK59" s="86"/>
      <c r="IL59" s="86"/>
      <c r="IM59" s="86"/>
      <c r="IN59" s="86"/>
      <c r="IO59" s="86"/>
      <c r="IP59" s="86"/>
      <c r="IQ59" s="86"/>
      <c r="IR59" s="86"/>
      <c r="IS59" s="86"/>
      <c r="IT59" s="86"/>
      <c r="IU59" s="86"/>
      <c r="IV59" s="86"/>
      <c r="IW59" s="86"/>
      <c r="IX59" s="86"/>
      <c r="IY59" s="86"/>
      <c r="IZ59" s="86"/>
      <c r="JA59" s="86"/>
      <c r="JB59" s="86"/>
      <c r="JC59" s="86"/>
      <c r="JD59" s="86"/>
      <c r="JE59" s="86"/>
      <c r="JF59" s="86"/>
      <c r="JG59" s="86"/>
      <c r="JH59" s="86"/>
      <c r="JI59" s="86"/>
      <c r="JJ59" s="86"/>
      <c r="JK59" s="86"/>
      <c r="JL59" s="86"/>
      <c r="JM59" s="86"/>
      <c r="JN59" s="86"/>
      <c r="JO59" s="86"/>
      <c r="JP59" s="86"/>
      <c r="JQ59" s="86"/>
      <c r="JR59" s="86"/>
      <c r="JS59" s="86"/>
      <c r="JT59" s="86"/>
      <c r="JU59" s="86"/>
      <c r="JV59" s="86"/>
      <c r="JW59" s="86"/>
      <c r="JX59" s="86"/>
      <c r="JY59" s="86"/>
      <c r="JZ59" s="86"/>
      <c r="KA59" s="86"/>
      <c r="KB59" s="86"/>
      <c r="KC59" s="86"/>
      <c r="KD59" s="86"/>
      <c r="KE59" s="86"/>
      <c r="KF59" s="86"/>
      <c r="KG59" s="86"/>
      <c r="KH59" s="86"/>
      <c r="KI59" s="86"/>
      <c r="KJ59" s="86"/>
      <c r="KK59" s="86"/>
      <c r="KL59" s="86"/>
      <c r="KM59" s="86"/>
      <c r="KN59" s="86"/>
      <c r="KO59" s="86"/>
      <c r="KP59" s="86"/>
      <c r="KQ59" s="86"/>
      <c r="KR59" s="86"/>
      <c r="KS59" s="86"/>
      <c r="KT59" s="86"/>
      <c r="KU59" s="86"/>
      <c r="KV59" s="86"/>
      <c r="KW59" s="86"/>
      <c r="KX59" s="86"/>
      <c r="KY59" s="86"/>
      <c r="KZ59" s="86"/>
      <c r="LA59" s="86"/>
      <c r="LB59" s="86"/>
      <c r="LC59" s="86"/>
      <c r="LD59" s="86"/>
      <c r="LE59" s="86"/>
      <c r="LF59" s="86"/>
      <c r="LG59" s="86"/>
      <c r="LH59" s="86"/>
      <c r="LI59" s="86"/>
      <c r="LJ59" s="86"/>
      <c r="LK59" s="86"/>
      <c r="LL59" s="86"/>
      <c r="LM59" s="86"/>
      <c r="LN59" s="86"/>
      <c r="LO59" s="86"/>
      <c r="LP59" s="86"/>
      <c r="LQ59" s="86"/>
      <c r="LR59" s="86"/>
      <c r="LS59" s="86"/>
      <c r="LT59" s="86"/>
      <c r="LU59" s="86"/>
      <c r="LV59" s="86"/>
      <c r="LW59" s="86"/>
      <c r="LX59" s="86"/>
      <c r="LY59" s="86"/>
      <c r="LZ59" s="86"/>
      <c r="MA59" s="86"/>
      <c r="MB59" s="86"/>
      <c r="MC59" s="86"/>
      <c r="MD59" s="86"/>
      <c r="ME59" s="86"/>
      <c r="MF59" s="86"/>
      <c r="MG59" s="86"/>
      <c r="MH59" s="86"/>
      <c r="MI59" s="86"/>
      <c r="MJ59" s="86"/>
      <c r="MK59" s="86"/>
      <c r="ML59" s="86"/>
      <c r="MM59" s="86"/>
      <c r="MN59" s="86"/>
      <c r="MO59" s="86"/>
      <c r="MP59" s="86"/>
      <c r="MQ59" s="86"/>
      <c r="MR59" s="86"/>
      <c r="MS59" s="86"/>
      <c r="MT59" s="86"/>
      <c r="MU59" s="86"/>
      <c r="MV59" s="86"/>
      <c r="MW59" s="86"/>
      <c r="MX59" s="86"/>
      <c r="MY59" s="86"/>
      <c r="MZ59" s="86"/>
      <c r="NA59" s="86"/>
      <c r="NB59" s="86"/>
      <c r="NC59" s="86"/>
      <c r="ND59" s="86"/>
      <c r="NE59" s="86"/>
      <c r="NF59" s="86"/>
      <c r="NG59" s="86"/>
      <c r="NH59" s="86"/>
      <c r="NI59" s="86"/>
      <c r="NJ59" s="86"/>
      <c r="NK59" s="86"/>
      <c r="NL59" s="86"/>
      <c r="NM59" s="86"/>
      <c r="NN59" s="86"/>
      <c r="NO59" s="86"/>
      <c r="NP59" s="86"/>
      <c r="NQ59" s="86"/>
      <c r="NR59" s="86"/>
      <c r="NS59" s="86"/>
      <c r="NT59" s="86"/>
      <c r="NU59" s="86"/>
      <c r="NV59" s="86"/>
      <c r="NW59" s="86"/>
      <c r="NX59" s="86"/>
      <c r="NY59" s="86"/>
      <c r="NZ59" s="86"/>
      <c r="OA59" s="86"/>
      <c r="OB59" s="86"/>
      <c r="OC59" s="86"/>
      <c r="OD59" s="86"/>
      <c r="OE59" s="86"/>
      <c r="OF59" s="86"/>
      <c r="OG59" s="86"/>
      <c r="OH59" s="86"/>
      <c r="OI59" s="86"/>
      <c r="OJ59" s="86"/>
      <c r="OK59" s="86"/>
      <c r="OL59" s="86"/>
      <c r="OM59" s="86"/>
      <c r="ON59" s="86"/>
      <c r="OO59" s="86"/>
      <c r="OP59" s="86"/>
      <c r="OQ59" s="86"/>
      <c r="OR59" s="86"/>
      <c r="OS59" s="86"/>
      <c r="OT59" s="86"/>
      <c r="OU59" s="86"/>
      <c r="OV59" s="86"/>
      <c r="OW59" s="86"/>
      <c r="OX59" s="86"/>
      <c r="OY59" s="86"/>
      <c r="OZ59" s="86"/>
      <c r="PA59" s="86"/>
      <c r="PB59" s="86"/>
      <c r="PC59" s="86"/>
      <c r="PD59" s="86"/>
      <c r="PE59" s="86"/>
      <c r="PF59" s="86"/>
      <c r="PG59" s="86"/>
      <c r="PH59" s="86"/>
      <c r="PI59" s="86"/>
      <c r="PJ59" s="86"/>
      <c r="PK59" s="86"/>
      <c r="PL59" s="86"/>
      <c r="PM59" s="86"/>
      <c r="PN59" s="86"/>
      <c r="PO59" s="86"/>
      <c r="PP59" s="86"/>
      <c r="PQ59" s="86"/>
      <c r="PR59" s="86"/>
      <c r="PS59" s="86"/>
      <c r="PT59" s="86"/>
      <c r="PU59" s="86"/>
      <c r="PV59" s="86"/>
      <c r="PW59" s="86"/>
      <c r="PX59" s="86"/>
      <c r="PY59" s="86"/>
      <c r="PZ59" s="86"/>
      <c r="QA59" s="86"/>
      <c r="QB59" s="86"/>
      <c r="QC59" s="86"/>
      <c r="QD59" s="86"/>
      <c r="QE59" s="86"/>
      <c r="QF59" s="86"/>
      <c r="QG59" s="86"/>
      <c r="QH59" s="86"/>
      <c r="QI59" s="86"/>
      <c r="QJ59" s="86"/>
      <c r="QK59" s="86"/>
      <c r="QL59" s="86"/>
      <c r="QM59" s="86"/>
      <c r="QN59" s="86"/>
      <c r="QO59" s="86"/>
      <c r="QP59" s="86"/>
      <c r="QQ59" s="86"/>
      <c r="QR59" s="86"/>
      <c r="QS59" s="86"/>
      <c r="QT59" s="86"/>
      <c r="QU59" s="86"/>
      <c r="QV59" s="86"/>
      <c r="QW59" s="86"/>
      <c r="QX59" s="86"/>
      <c r="QY59" s="86"/>
      <c r="QZ59" s="86"/>
      <c r="RA59" s="86"/>
      <c r="RB59" s="86"/>
      <c r="RC59" s="86"/>
      <c r="RD59" s="86"/>
      <c r="RE59" s="86"/>
      <c r="RF59" s="86"/>
      <c r="RG59" s="86"/>
      <c r="RH59" s="86"/>
      <c r="RI59" s="86"/>
      <c r="RJ59" s="86"/>
      <c r="RK59" s="86"/>
      <c r="RL59" s="86"/>
      <c r="RM59" s="86"/>
      <c r="RN59" s="86"/>
      <c r="RO59" s="86"/>
      <c r="RP59" s="86"/>
      <c r="RQ59" s="86"/>
      <c r="RR59" s="86"/>
      <c r="RS59" s="86"/>
      <c r="RT59" s="86"/>
      <c r="RU59" s="86"/>
      <c r="RV59" s="86"/>
      <c r="RW59" s="86"/>
      <c r="RX59" s="86"/>
      <c r="RY59" s="86"/>
      <c r="RZ59" s="86"/>
      <c r="SA59" s="86"/>
      <c r="SB59" s="86"/>
      <c r="SC59" s="86"/>
      <c r="SD59" s="86"/>
      <c r="SE59" s="86"/>
      <c r="SF59" s="86"/>
      <c r="SG59" s="86"/>
      <c r="SH59" s="86"/>
      <c r="SI59" s="86"/>
      <c r="SJ59" s="86"/>
      <c r="SK59" s="86"/>
      <c r="SL59" s="86"/>
      <c r="SM59" s="86"/>
      <c r="SN59" s="86"/>
      <c r="SO59" s="86"/>
      <c r="SP59" s="86"/>
      <c r="SQ59" s="86"/>
      <c r="SR59" s="86"/>
      <c r="SS59" s="86"/>
      <c r="ST59" s="86"/>
      <c r="SU59" s="86"/>
      <c r="SV59" s="86"/>
      <c r="SW59" s="86"/>
      <c r="SX59" s="86"/>
      <c r="SY59" s="86"/>
      <c r="SZ59" s="86"/>
      <c r="TA59" s="86"/>
      <c r="TB59" s="86"/>
      <c r="TC59" s="86"/>
      <c r="TD59" s="86"/>
      <c r="TE59" s="86"/>
      <c r="TF59" s="86"/>
      <c r="TG59" s="86"/>
      <c r="TH59" s="86"/>
      <c r="TI59" s="86"/>
      <c r="TJ59" s="86"/>
      <c r="TK59" s="86"/>
      <c r="TL59" s="86"/>
      <c r="TM59" s="86"/>
      <c r="TN59" s="86"/>
      <c r="TO59" s="86"/>
      <c r="TP59" s="86"/>
      <c r="TQ59" s="86"/>
      <c r="TR59" s="86"/>
      <c r="TS59" s="86"/>
      <c r="TT59" s="86"/>
      <c r="TU59" s="86"/>
      <c r="TV59" s="86"/>
      <c r="TW59" s="86"/>
      <c r="TX59" s="86"/>
      <c r="TY59" s="86"/>
      <c r="TZ59" s="86"/>
      <c r="UA59" s="86"/>
      <c r="UB59" s="86"/>
      <c r="UC59" s="86"/>
      <c r="UD59" s="86"/>
      <c r="UE59" s="86"/>
      <c r="UF59" s="86"/>
      <c r="UG59" s="86"/>
      <c r="UH59" s="86"/>
      <c r="UI59" s="86"/>
      <c r="UJ59" s="86"/>
      <c r="UK59" s="86"/>
      <c r="UL59" s="86"/>
      <c r="UM59" s="86"/>
      <c r="UN59" s="86"/>
      <c r="UO59" s="86"/>
      <c r="UP59" s="86"/>
      <c r="UQ59" s="86"/>
      <c r="UR59" s="86"/>
      <c r="US59" s="86"/>
      <c r="UT59" s="86"/>
      <c r="UU59" s="86"/>
      <c r="UV59" s="86"/>
      <c r="UW59" s="86"/>
      <c r="UX59" s="86"/>
      <c r="UY59" s="86"/>
      <c r="UZ59" s="86"/>
      <c r="VA59" s="86"/>
      <c r="VB59" s="86"/>
      <c r="VC59" s="86"/>
      <c r="VD59" s="86"/>
      <c r="VE59" s="86"/>
      <c r="VF59" s="86"/>
      <c r="VG59" s="86"/>
      <c r="VH59" s="86"/>
      <c r="VI59" s="86"/>
      <c r="VJ59" s="86"/>
      <c r="VK59" s="86"/>
      <c r="VL59" s="86"/>
      <c r="VM59" s="86"/>
      <c r="VN59" s="86"/>
      <c r="VO59" s="86"/>
      <c r="VP59" s="86"/>
      <c r="VQ59" s="86"/>
      <c r="VR59" s="86"/>
      <c r="VS59" s="86"/>
      <c r="VT59" s="86"/>
      <c r="VU59" s="86"/>
      <c r="VV59" s="86"/>
      <c r="VW59" s="86"/>
      <c r="VX59" s="86"/>
      <c r="VY59" s="86"/>
      <c r="VZ59" s="86"/>
      <c r="WA59" s="86"/>
      <c r="WB59" s="86"/>
      <c r="WC59" s="86"/>
      <c r="WD59" s="86"/>
      <c r="WE59" s="86"/>
      <c r="WF59" s="86"/>
      <c r="WG59" s="86"/>
      <c r="WH59" s="86"/>
      <c r="WI59" s="86"/>
      <c r="WJ59" s="86"/>
      <c r="WK59" s="86"/>
      <c r="WL59" s="86"/>
      <c r="WM59" s="86"/>
      <c r="WN59" s="86"/>
      <c r="WO59" s="86"/>
      <c r="WP59" s="86"/>
      <c r="WQ59" s="86"/>
      <c r="WR59" s="86"/>
      <c r="WS59" s="86"/>
      <c r="WT59" s="86"/>
      <c r="WU59" s="86"/>
      <c r="WV59" s="86"/>
      <c r="WW59" s="86"/>
      <c r="WX59" s="86"/>
      <c r="WY59" s="86"/>
      <c r="WZ59" s="86"/>
      <c r="XA59" s="86"/>
      <c r="XB59" s="86"/>
      <c r="XC59" s="86"/>
      <c r="XD59" s="86"/>
      <c r="XE59" s="86"/>
      <c r="XF59" s="86"/>
      <c r="XG59" s="86"/>
      <c r="XH59" s="86"/>
      <c r="XI59" s="86"/>
      <c r="XJ59" s="86"/>
      <c r="XK59" s="86"/>
      <c r="XL59" s="86"/>
      <c r="XM59" s="86"/>
      <c r="XN59" s="86"/>
      <c r="XO59" s="86"/>
      <c r="XP59" s="86"/>
      <c r="XQ59" s="86"/>
      <c r="XR59" s="86"/>
      <c r="XS59" s="86"/>
      <c r="XT59" s="86"/>
      <c r="XU59" s="86"/>
      <c r="XV59" s="86"/>
      <c r="XW59" s="86"/>
      <c r="XX59" s="86"/>
      <c r="XY59" s="86"/>
      <c r="XZ59" s="86"/>
      <c r="YA59" s="86"/>
      <c r="YB59" s="86"/>
      <c r="YC59" s="86"/>
      <c r="YD59" s="86"/>
      <c r="YE59" s="86"/>
      <c r="YF59" s="86"/>
      <c r="YG59" s="86"/>
      <c r="YH59" s="86"/>
      <c r="YI59" s="86"/>
      <c r="YJ59" s="86"/>
      <c r="YK59" s="86"/>
      <c r="YL59" s="86"/>
      <c r="YM59" s="86"/>
      <c r="YN59" s="86"/>
      <c r="YO59" s="86"/>
      <c r="YP59" s="86"/>
      <c r="YQ59" s="86"/>
      <c r="YR59" s="86"/>
      <c r="YS59" s="86"/>
      <c r="YT59" s="86"/>
      <c r="YU59" s="86"/>
      <c r="YV59" s="86"/>
      <c r="YW59" s="86"/>
      <c r="YX59" s="86"/>
      <c r="YY59" s="86"/>
      <c r="YZ59" s="86"/>
      <c r="ZA59" s="86"/>
      <c r="ZB59" s="86"/>
      <c r="ZC59" s="86"/>
      <c r="ZD59" s="86"/>
      <c r="ZE59" s="86"/>
      <c r="ZF59" s="86"/>
      <c r="ZG59" s="86"/>
      <c r="ZH59" s="86"/>
      <c r="ZI59" s="86"/>
      <c r="ZJ59" s="86"/>
      <c r="ZK59" s="86"/>
      <c r="ZL59" s="86"/>
      <c r="ZM59" s="86"/>
      <c r="ZN59" s="86"/>
      <c r="ZO59" s="86"/>
      <c r="ZP59" s="86"/>
      <c r="ZQ59" s="86"/>
      <c r="ZR59" s="86"/>
      <c r="ZS59" s="86"/>
      <c r="ZT59" s="86"/>
      <c r="ZU59" s="86"/>
      <c r="ZV59" s="86"/>
      <c r="ZW59" s="86"/>
      <c r="ZX59" s="86"/>
      <c r="ZY59" s="86"/>
      <c r="ZZ59" s="86"/>
      <c r="AAA59" s="86"/>
      <c r="AAB59" s="86"/>
      <c r="AAC59" s="86"/>
      <c r="AAD59" s="86"/>
      <c r="AAE59" s="86"/>
      <c r="AAF59" s="86"/>
      <c r="AAG59" s="86"/>
      <c r="AAH59" s="86"/>
      <c r="AAI59" s="86"/>
      <c r="AAJ59" s="86"/>
      <c r="AAK59" s="86"/>
      <c r="AAL59" s="86"/>
      <c r="AAM59" s="86"/>
      <c r="AAN59" s="86"/>
      <c r="AAO59" s="86"/>
      <c r="AAP59" s="86"/>
      <c r="AAQ59" s="86"/>
      <c r="AAR59" s="86"/>
      <c r="AAS59" s="86"/>
      <c r="AAT59" s="86"/>
      <c r="AAU59" s="86"/>
      <c r="AAV59" s="86"/>
      <c r="AAW59" s="86"/>
      <c r="AAX59" s="86"/>
      <c r="AAY59" s="86"/>
      <c r="AAZ59" s="86"/>
      <c r="ABA59" s="86"/>
      <c r="ABB59" s="86"/>
      <c r="ABC59" s="86"/>
      <c r="ABD59" s="86"/>
      <c r="ABE59" s="86"/>
      <c r="ABF59" s="86"/>
      <c r="ABG59" s="86"/>
      <c r="ABH59" s="86"/>
      <c r="ABI59" s="86"/>
      <c r="ABJ59" s="86"/>
      <c r="ABK59" s="86"/>
      <c r="ABL59" s="86"/>
      <c r="ABM59" s="86"/>
      <c r="ABN59" s="86"/>
      <c r="ABO59" s="86"/>
      <c r="ABP59" s="86"/>
      <c r="ABQ59" s="86"/>
      <c r="ABR59" s="86"/>
      <c r="ABS59" s="86"/>
      <c r="ABT59" s="86"/>
      <c r="ABU59" s="86"/>
      <c r="ABV59" s="86"/>
      <c r="ABW59" s="86"/>
      <c r="ABX59" s="86"/>
      <c r="ABY59" s="86"/>
      <c r="ABZ59" s="86"/>
      <c r="ACA59" s="86"/>
      <c r="ACB59" s="86"/>
      <c r="ACC59" s="86"/>
      <c r="ACD59" s="86"/>
      <c r="ACE59" s="86"/>
      <c r="ACF59" s="86"/>
      <c r="ACG59" s="86"/>
      <c r="ACH59" s="86"/>
      <c r="ACI59" s="86"/>
      <c r="ACJ59" s="86"/>
      <c r="ACK59" s="86"/>
      <c r="ACL59" s="86"/>
      <c r="ACM59" s="86"/>
      <c r="ACN59" s="86"/>
      <c r="ACO59" s="86"/>
      <c r="ACP59" s="86"/>
      <c r="ACQ59" s="86"/>
      <c r="ACR59" s="86"/>
      <c r="ACS59" s="86"/>
      <c r="ACT59" s="86"/>
      <c r="ACU59" s="86"/>
      <c r="ACV59" s="86"/>
      <c r="ACW59" s="86"/>
      <c r="ACX59" s="86"/>
    </row>
    <row r="60" customFormat="false" ht="12.75" hidden="false" customHeight="true" outlineLevel="0" collapsed="false">
      <c r="A60" s="95" t="n">
        <v>52</v>
      </c>
      <c r="B60" s="407" t="s">
        <v>536</v>
      </c>
      <c r="C60" s="397" t="s">
        <v>434</v>
      </c>
      <c r="D60" s="397" t="s">
        <v>537</v>
      </c>
      <c r="E60" s="399" t="n">
        <v>10</v>
      </c>
      <c r="F60" s="97" t="s">
        <v>436</v>
      </c>
      <c r="G60" s="418" t="n">
        <v>40.32</v>
      </c>
      <c r="H60" s="419"/>
      <c r="I60" s="85"/>
      <c r="J60" s="97" t="n">
        <f aca="false">'Ocorrências Mensais - FAT'!G83</f>
        <v>10</v>
      </c>
      <c r="K60" s="403" t="n">
        <f aca="false">G60*J60</f>
        <v>403.2</v>
      </c>
      <c r="L60" s="86"/>
      <c r="M60" s="417" t="n">
        <v>11.01</v>
      </c>
      <c r="N60" s="405" t="n">
        <f aca="false">ROUND(IF(Dados!$J$62="SIM",M60*Dados!$N$62,M60),2)</f>
        <v>11.01</v>
      </c>
      <c r="O60" s="405" t="n">
        <f aca="false">ROUND(IF(Dados!$J$63="SIM",N60*Dados!$N$63,N60),2)</f>
        <v>11.01</v>
      </c>
      <c r="P60" s="405" t="n">
        <f aca="false">ROUND(IF(Dados!$J$64="SIM",O60*Dados!$N$64,O60),2)</f>
        <v>11.01</v>
      </c>
      <c r="Q60" s="405" t="n">
        <f aca="false">ROUND(IF(Dados!$J$65="SIM",P60*Dados!$N$65,P60),2)</f>
        <v>11.01</v>
      </c>
      <c r="R60" s="406" t="n">
        <f aca="false">ROUND(IF(Dados!$J$66="SIM",Q60*Dados!$N$66,Q60),2)</f>
        <v>11.01</v>
      </c>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86"/>
      <c r="MX60" s="86"/>
      <c r="MY60" s="86"/>
      <c r="MZ60" s="86"/>
      <c r="NA60" s="86"/>
      <c r="NB60" s="86"/>
      <c r="NC60" s="86"/>
      <c r="ND60" s="86"/>
      <c r="NE60" s="86"/>
      <c r="NF60" s="86"/>
      <c r="NG60" s="86"/>
      <c r="NH60" s="86"/>
      <c r="NI60" s="86"/>
      <c r="NJ60" s="86"/>
      <c r="NK60" s="86"/>
      <c r="NL60" s="86"/>
      <c r="NM60" s="86"/>
      <c r="NN60" s="86"/>
      <c r="NO60" s="86"/>
      <c r="NP60" s="86"/>
      <c r="NQ60" s="86"/>
      <c r="NR60" s="86"/>
      <c r="NS60" s="86"/>
      <c r="NT60" s="86"/>
      <c r="NU60" s="86"/>
      <c r="NV60" s="86"/>
      <c r="NW60" s="86"/>
      <c r="NX60" s="86"/>
      <c r="NY60" s="86"/>
      <c r="NZ60" s="86"/>
      <c r="OA60" s="86"/>
      <c r="OB60" s="86"/>
      <c r="OC60" s="86"/>
      <c r="OD60" s="86"/>
      <c r="OE60" s="86"/>
      <c r="OF60" s="86"/>
      <c r="OG60" s="86"/>
      <c r="OH60" s="86"/>
      <c r="OI60" s="86"/>
      <c r="OJ60" s="86"/>
      <c r="OK60" s="86"/>
      <c r="OL60" s="86"/>
      <c r="OM60" s="86"/>
      <c r="ON60" s="86"/>
      <c r="OO60" s="86"/>
      <c r="OP60" s="86"/>
      <c r="OQ60" s="86"/>
      <c r="OR60" s="86"/>
      <c r="OS60" s="86"/>
      <c r="OT60" s="86"/>
      <c r="OU60" s="86"/>
      <c r="OV60" s="86"/>
      <c r="OW60" s="86"/>
      <c r="OX60" s="86"/>
      <c r="OY60" s="86"/>
      <c r="OZ60" s="86"/>
      <c r="PA60" s="86"/>
      <c r="PB60" s="86"/>
      <c r="PC60" s="86"/>
      <c r="PD60" s="86"/>
      <c r="PE60" s="86"/>
      <c r="PF60" s="86"/>
      <c r="PG60" s="86"/>
      <c r="PH60" s="86"/>
      <c r="PI60" s="86"/>
      <c r="PJ60" s="86"/>
      <c r="PK60" s="86"/>
      <c r="PL60" s="86"/>
      <c r="PM60" s="86"/>
      <c r="PN60" s="86"/>
      <c r="PO60" s="86"/>
      <c r="PP60" s="86"/>
      <c r="PQ60" s="86"/>
      <c r="PR60" s="86"/>
      <c r="PS60" s="86"/>
      <c r="PT60" s="86"/>
      <c r="PU60" s="86"/>
      <c r="PV60" s="86"/>
      <c r="PW60" s="86"/>
      <c r="PX60" s="86"/>
      <c r="PY60" s="86"/>
      <c r="PZ60" s="86"/>
      <c r="QA60" s="86"/>
      <c r="QB60" s="86"/>
      <c r="QC60" s="86"/>
      <c r="QD60" s="86"/>
      <c r="QE60" s="86"/>
      <c r="QF60" s="86"/>
      <c r="QG60" s="86"/>
      <c r="QH60" s="86"/>
      <c r="QI60" s="86"/>
      <c r="QJ60" s="86"/>
      <c r="QK60" s="86"/>
      <c r="QL60" s="86"/>
      <c r="QM60" s="86"/>
      <c r="QN60" s="86"/>
      <c r="QO60" s="86"/>
      <c r="QP60" s="86"/>
      <c r="QQ60" s="86"/>
      <c r="QR60" s="86"/>
      <c r="QS60" s="86"/>
      <c r="QT60" s="86"/>
      <c r="QU60" s="86"/>
      <c r="QV60" s="86"/>
      <c r="QW60" s="86"/>
      <c r="QX60" s="86"/>
      <c r="QY60" s="86"/>
      <c r="QZ60" s="86"/>
      <c r="RA60" s="86"/>
      <c r="RB60" s="86"/>
      <c r="RC60" s="86"/>
      <c r="RD60" s="86"/>
      <c r="RE60" s="86"/>
      <c r="RF60" s="86"/>
      <c r="RG60" s="86"/>
      <c r="RH60" s="86"/>
      <c r="RI60" s="86"/>
      <c r="RJ60" s="86"/>
      <c r="RK60" s="86"/>
      <c r="RL60" s="86"/>
      <c r="RM60" s="86"/>
      <c r="RN60" s="86"/>
      <c r="RO60" s="86"/>
      <c r="RP60" s="86"/>
      <c r="RQ60" s="86"/>
      <c r="RR60" s="86"/>
      <c r="RS60" s="86"/>
      <c r="RT60" s="86"/>
      <c r="RU60" s="86"/>
      <c r="RV60" s="86"/>
      <c r="RW60" s="86"/>
      <c r="RX60" s="86"/>
      <c r="RY60" s="86"/>
      <c r="RZ60" s="86"/>
      <c r="SA60" s="86"/>
      <c r="SB60" s="86"/>
      <c r="SC60" s="86"/>
      <c r="SD60" s="86"/>
      <c r="SE60" s="86"/>
      <c r="SF60" s="86"/>
      <c r="SG60" s="86"/>
      <c r="SH60" s="86"/>
      <c r="SI60" s="86"/>
      <c r="SJ60" s="86"/>
      <c r="SK60" s="86"/>
      <c r="SL60" s="86"/>
      <c r="SM60" s="86"/>
      <c r="SN60" s="86"/>
      <c r="SO60" s="86"/>
      <c r="SP60" s="86"/>
      <c r="SQ60" s="86"/>
      <c r="SR60" s="86"/>
      <c r="SS60" s="86"/>
      <c r="ST60" s="86"/>
      <c r="SU60" s="86"/>
      <c r="SV60" s="86"/>
      <c r="SW60" s="86"/>
      <c r="SX60" s="86"/>
      <c r="SY60" s="86"/>
      <c r="SZ60" s="86"/>
      <c r="TA60" s="86"/>
      <c r="TB60" s="86"/>
      <c r="TC60" s="86"/>
      <c r="TD60" s="86"/>
      <c r="TE60" s="86"/>
      <c r="TF60" s="86"/>
      <c r="TG60" s="86"/>
      <c r="TH60" s="86"/>
      <c r="TI60" s="86"/>
      <c r="TJ60" s="86"/>
      <c r="TK60" s="86"/>
      <c r="TL60" s="86"/>
      <c r="TM60" s="86"/>
      <c r="TN60" s="86"/>
      <c r="TO60" s="86"/>
      <c r="TP60" s="86"/>
      <c r="TQ60" s="86"/>
      <c r="TR60" s="86"/>
      <c r="TS60" s="86"/>
      <c r="TT60" s="86"/>
      <c r="TU60" s="86"/>
      <c r="TV60" s="86"/>
      <c r="TW60" s="86"/>
      <c r="TX60" s="86"/>
      <c r="TY60" s="86"/>
      <c r="TZ60" s="86"/>
      <c r="UA60" s="86"/>
      <c r="UB60" s="86"/>
      <c r="UC60" s="86"/>
      <c r="UD60" s="86"/>
      <c r="UE60" s="86"/>
      <c r="UF60" s="86"/>
      <c r="UG60" s="86"/>
      <c r="UH60" s="86"/>
      <c r="UI60" s="86"/>
      <c r="UJ60" s="86"/>
      <c r="UK60" s="86"/>
      <c r="UL60" s="86"/>
      <c r="UM60" s="86"/>
      <c r="UN60" s="86"/>
      <c r="UO60" s="86"/>
      <c r="UP60" s="86"/>
      <c r="UQ60" s="86"/>
      <c r="UR60" s="86"/>
      <c r="US60" s="86"/>
      <c r="UT60" s="86"/>
      <c r="UU60" s="86"/>
      <c r="UV60" s="86"/>
      <c r="UW60" s="86"/>
      <c r="UX60" s="86"/>
      <c r="UY60" s="86"/>
      <c r="UZ60" s="86"/>
      <c r="VA60" s="86"/>
      <c r="VB60" s="86"/>
      <c r="VC60" s="86"/>
      <c r="VD60" s="86"/>
      <c r="VE60" s="86"/>
      <c r="VF60" s="86"/>
      <c r="VG60" s="86"/>
      <c r="VH60" s="86"/>
      <c r="VI60" s="86"/>
      <c r="VJ60" s="86"/>
      <c r="VK60" s="86"/>
      <c r="VL60" s="86"/>
      <c r="VM60" s="86"/>
      <c r="VN60" s="86"/>
      <c r="VO60" s="86"/>
      <c r="VP60" s="86"/>
      <c r="VQ60" s="86"/>
      <c r="VR60" s="86"/>
      <c r="VS60" s="86"/>
      <c r="VT60" s="86"/>
      <c r="VU60" s="86"/>
      <c r="VV60" s="86"/>
      <c r="VW60" s="86"/>
      <c r="VX60" s="86"/>
      <c r="VY60" s="86"/>
      <c r="VZ60" s="86"/>
      <c r="WA60" s="86"/>
      <c r="WB60" s="86"/>
      <c r="WC60" s="86"/>
      <c r="WD60" s="86"/>
      <c r="WE60" s="86"/>
      <c r="WF60" s="86"/>
      <c r="WG60" s="86"/>
      <c r="WH60" s="86"/>
      <c r="WI60" s="86"/>
      <c r="WJ60" s="86"/>
      <c r="WK60" s="86"/>
      <c r="WL60" s="86"/>
      <c r="WM60" s="86"/>
      <c r="WN60" s="86"/>
      <c r="WO60" s="86"/>
      <c r="WP60" s="86"/>
      <c r="WQ60" s="86"/>
      <c r="WR60" s="86"/>
      <c r="WS60" s="86"/>
      <c r="WT60" s="86"/>
      <c r="WU60" s="86"/>
      <c r="WV60" s="86"/>
      <c r="WW60" s="86"/>
      <c r="WX60" s="86"/>
      <c r="WY60" s="86"/>
      <c r="WZ60" s="86"/>
      <c r="XA60" s="86"/>
      <c r="XB60" s="86"/>
      <c r="XC60" s="86"/>
      <c r="XD60" s="86"/>
      <c r="XE60" s="86"/>
      <c r="XF60" s="86"/>
      <c r="XG60" s="86"/>
      <c r="XH60" s="86"/>
      <c r="XI60" s="86"/>
      <c r="XJ60" s="86"/>
      <c r="XK60" s="86"/>
      <c r="XL60" s="86"/>
      <c r="XM60" s="86"/>
      <c r="XN60" s="86"/>
      <c r="XO60" s="86"/>
      <c r="XP60" s="86"/>
      <c r="XQ60" s="86"/>
      <c r="XR60" s="86"/>
      <c r="XS60" s="86"/>
      <c r="XT60" s="86"/>
      <c r="XU60" s="86"/>
      <c r="XV60" s="86"/>
      <c r="XW60" s="86"/>
      <c r="XX60" s="86"/>
      <c r="XY60" s="86"/>
      <c r="XZ60" s="86"/>
      <c r="YA60" s="86"/>
      <c r="YB60" s="86"/>
      <c r="YC60" s="86"/>
      <c r="YD60" s="86"/>
      <c r="YE60" s="86"/>
      <c r="YF60" s="86"/>
      <c r="YG60" s="86"/>
      <c r="YH60" s="86"/>
      <c r="YI60" s="86"/>
      <c r="YJ60" s="86"/>
      <c r="YK60" s="86"/>
      <c r="YL60" s="86"/>
      <c r="YM60" s="86"/>
      <c r="YN60" s="86"/>
      <c r="YO60" s="86"/>
      <c r="YP60" s="86"/>
      <c r="YQ60" s="86"/>
      <c r="YR60" s="86"/>
      <c r="YS60" s="86"/>
      <c r="YT60" s="86"/>
      <c r="YU60" s="86"/>
      <c r="YV60" s="86"/>
      <c r="YW60" s="86"/>
      <c r="YX60" s="86"/>
      <c r="YY60" s="86"/>
      <c r="YZ60" s="86"/>
      <c r="ZA60" s="86"/>
      <c r="ZB60" s="86"/>
      <c r="ZC60" s="86"/>
      <c r="ZD60" s="86"/>
      <c r="ZE60" s="86"/>
      <c r="ZF60" s="86"/>
      <c r="ZG60" s="86"/>
      <c r="ZH60" s="86"/>
      <c r="ZI60" s="86"/>
      <c r="ZJ60" s="86"/>
      <c r="ZK60" s="86"/>
      <c r="ZL60" s="86"/>
      <c r="ZM60" s="86"/>
      <c r="ZN60" s="86"/>
      <c r="ZO60" s="86"/>
      <c r="ZP60" s="86"/>
      <c r="ZQ60" s="86"/>
      <c r="ZR60" s="86"/>
      <c r="ZS60" s="86"/>
      <c r="ZT60" s="86"/>
      <c r="ZU60" s="86"/>
      <c r="ZV60" s="86"/>
      <c r="ZW60" s="86"/>
      <c r="ZX60" s="86"/>
      <c r="ZY60" s="86"/>
      <c r="ZZ60" s="86"/>
      <c r="AAA60" s="86"/>
      <c r="AAB60" s="86"/>
      <c r="AAC60" s="86"/>
      <c r="AAD60" s="86"/>
      <c r="AAE60" s="86"/>
      <c r="AAF60" s="86"/>
      <c r="AAG60" s="86"/>
      <c r="AAH60" s="86"/>
      <c r="AAI60" s="86"/>
      <c r="AAJ60" s="86"/>
      <c r="AAK60" s="86"/>
      <c r="AAL60" s="86"/>
      <c r="AAM60" s="86"/>
      <c r="AAN60" s="86"/>
      <c r="AAO60" s="86"/>
      <c r="AAP60" s="86"/>
      <c r="AAQ60" s="86"/>
      <c r="AAR60" s="86"/>
      <c r="AAS60" s="86"/>
      <c r="AAT60" s="86"/>
      <c r="AAU60" s="86"/>
      <c r="AAV60" s="86"/>
      <c r="AAW60" s="86"/>
      <c r="AAX60" s="86"/>
      <c r="AAY60" s="86"/>
      <c r="AAZ60" s="86"/>
      <c r="ABA60" s="86"/>
      <c r="ABB60" s="86"/>
      <c r="ABC60" s="86"/>
      <c r="ABD60" s="86"/>
      <c r="ABE60" s="86"/>
      <c r="ABF60" s="86"/>
      <c r="ABG60" s="86"/>
      <c r="ABH60" s="86"/>
      <c r="ABI60" s="86"/>
      <c r="ABJ60" s="86"/>
      <c r="ABK60" s="86"/>
      <c r="ABL60" s="86"/>
      <c r="ABM60" s="86"/>
      <c r="ABN60" s="86"/>
      <c r="ABO60" s="86"/>
      <c r="ABP60" s="86"/>
      <c r="ABQ60" s="86"/>
      <c r="ABR60" s="86"/>
      <c r="ABS60" s="86"/>
      <c r="ABT60" s="86"/>
      <c r="ABU60" s="86"/>
      <c r="ABV60" s="86"/>
      <c r="ABW60" s="86"/>
      <c r="ABX60" s="86"/>
      <c r="ABY60" s="86"/>
      <c r="ABZ60" s="86"/>
      <c r="ACA60" s="86"/>
      <c r="ACB60" s="86"/>
      <c r="ACC60" s="86"/>
      <c r="ACD60" s="86"/>
      <c r="ACE60" s="86"/>
      <c r="ACF60" s="86"/>
      <c r="ACG60" s="86"/>
      <c r="ACH60" s="86"/>
      <c r="ACI60" s="86"/>
      <c r="ACJ60" s="86"/>
      <c r="ACK60" s="86"/>
      <c r="ACL60" s="86"/>
      <c r="ACM60" s="86"/>
      <c r="ACN60" s="86"/>
      <c r="ACO60" s="86"/>
      <c r="ACP60" s="86"/>
      <c r="ACQ60" s="86"/>
      <c r="ACR60" s="86"/>
      <c r="ACS60" s="86"/>
      <c r="ACT60" s="86"/>
      <c r="ACU60" s="86"/>
      <c r="ACV60" s="86"/>
      <c r="ACW60" s="86"/>
      <c r="ACX60" s="86"/>
    </row>
    <row r="61" customFormat="false" ht="19.4" hidden="false" customHeight="false" outlineLevel="0" collapsed="false">
      <c r="A61" s="95" t="n">
        <v>53</v>
      </c>
      <c r="B61" s="407" t="s">
        <v>538</v>
      </c>
      <c r="C61" s="397" t="s">
        <v>539</v>
      </c>
      <c r="D61" s="397" t="s">
        <v>540</v>
      </c>
      <c r="E61" s="399" t="n">
        <v>10</v>
      </c>
      <c r="F61" s="97" t="s">
        <v>460</v>
      </c>
      <c r="G61" s="416" t="n">
        <v>3.18</v>
      </c>
      <c r="H61" s="419"/>
      <c r="I61" s="85"/>
      <c r="J61" s="97" t="n">
        <f aca="false">'Ocorrências Mensais - FAT'!G84</f>
        <v>3.33333333333333</v>
      </c>
      <c r="K61" s="403" t="n">
        <f aca="false">G61*J61</f>
        <v>10.6</v>
      </c>
      <c r="L61" s="86"/>
      <c r="M61" s="417" t="n">
        <v>6.5</v>
      </c>
      <c r="N61" s="405" t="n">
        <f aca="false">ROUND(IF(Dados!$J$62="SIM",M61*Dados!$N$62,M61),2)</f>
        <v>6.5</v>
      </c>
      <c r="O61" s="405" t="n">
        <f aca="false">ROUND(IF(Dados!$J$63="SIM",N61*Dados!$N$63,N61),2)</f>
        <v>6.5</v>
      </c>
      <c r="P61" s="405" t="n">
        <f aca="false">ROUND(IF(Dados!$J$64="SIM",O61*Dados!$N$64,O61),2)</f>
        <v>6.5</v>
      </c>
      <c r="Q61" s="405" t="n">
        <f aca="false">ROUND(IF(Dados!$J$65="SIM",P61*Dados!$N$65,P61),2)</f>
        <v>6.5</v>
      </c>
      <c r="R61" s="406" t="n">
        <f aca="false">ROUND(IF(Dados!$J$66="SIM",Q61*Dados!$N$66,Q61),2)</f>
        <v>6.5</v>
      </c>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6"/>
      <c r="NC61" s="86"/>
      <c r="ND61" s="86"/>
      <c r="NE61" s="86"/>
      <c r="NF61" s="86"/>
      <c r="NG61" s="86"/>
      <c r="NH61" s="86"/>
      <c r="NI61" s="86"/>
      <c r="NJ61" s="86"/>
      <c r="NK61" s="86"/>
      <c r="NL61" s="86"/>
      <c r="NM61" s="86"/>
      <c r="NN61" s="86"/>
      <c r="NO61" s="86"/>
      <c r="NP61" s="86"/>
      <c r="NQ61" s="86"/>
      <c r="NR61" s="86"/>
      <c r="NS61" s="86"/>
      <c r="NT61" s="86"/>
      <c r="NU61" s="86"/>
      <c r="NV61" s="86"/>
      <c r="NW61" s="86"/>
      <c r="NX61" s="86"/>
      <c r="NY61" s="86"/>
      <c r="NZ61" s="86"/>
      <c r="OA61" s="86"/>
      <c r="OB61" s="86"/>
      <c r="OC61" s="86"/>
      <c r="OD61" s="86"/>
      <c r="OE61" s="86"/>
      <c r="OF61" s="86"/>
      <c r="OG61" s="86"/>
      <c r="OH61" s="86"/>
      <c r="OI61" s="86"/>
      <c r="OJ61" s="86"/>
      <c r="OK61" s="86"/>
      <c r="OL61" s="86"/>
      <c r="OM61" s="86"/>
      <c r="ON61" s="86"/>
      <c r="OO61" s="86"/>
      <c r="OP61" s="86"/>
      <c r="OQ61" s="86"/>
      <c r="OR61" s="86"/>
      <c r="OS61" s="86"/>
      <c r="OT61" s="86"/>
      <c r="OU61" s="86"/>
      <c r="OV61" s="86"/>
      <c r="OW61" s="86"/>
      <c r="OX61" s="86"/>
      <c r="OY61" s="86"/>
      <c r="OZ61" s="86"/>
      <c r="PA61" s="86"/>
      <c r="PB61" s="86"/>
      <c r="PC61" s="86"/>
      <c r="PD61" s="86"/>
      <c r="PE61" s="86"/>
      <c r="PF61" s="86"/>
      <c r="PG61" s="86"/>
      <c r="PH61" s="86"/>
      <c r="PI61" s="86"/>
      <c r="PJ61" s="86"/>
      <c r="PK61" s="86"/>
      <c r="PL61" s="86"/>
      <c r="PM61" s="86"/>
      <c r="PN61" s="86"/>
      <c r="PO61" s="86"/>
      <c r="PP61" s="86"/>
      <c r="PQ61" s="86"/>
      <c r="PR61" s="86"/>
      <c r="PS61" s="86"/>
      <c r="PT61" s="86"/>
      <c r="PU61" s="86"/>
      <c r="PV61" s="86"/>
      <c r="PW61" s="86"/>
      <c r="PX61" s="86"/>
      <c r="PY61" s="86"/>
      <c r="PZ61" s="86"/>
      <c r="QA61" s="86"/>
      <c r="QB61" s="86"/>
      <c r="QC61" s="86"/>
      <c r="QD61" s="86"/>
      <c r="QE61" s="86"/>
      <c r="QF61" s="86"/>
      <c r="QG61" s="86"/>
      <c r="QH61" s="86"/>
      <c r="QI61" s="86"/>
      <c r="QJ61" s="86"/>
      <c r="QK61" s="86"/>
      <c r="QL61" s="86"/>
      <c r="QM61" s="86"/>
      <c r="QN61" s="86"/>
      <c r="QO61" s="86"/>
      <c r="QP61" s="86"/>
      <c r="QQ61" s="86"/>
      <c r="QR61" s="86"/>
      <c r="QS61" s="86"/>
      <c r="QT61" s="86"/>
      <c r="QU61" s="86"/>
      <c r="QV61" s="86"/>
      <c r="QW61" s="86"/>
      <c r="QX61" s="86"/>
      <c r="QY61" s="86"/>
      <c r="QZ61" s="86"/>
      <c r="RA61" s="86"/>
      <c r="RB61" s="86"/>
      <c r="RC61" s="86"/>
      <c r="RD61" s="86"/>
      <c r="RE61" s="86"/>
      <c r="RF61" s="86"/>
      <c r="RG61" s="86"/>
      <c r="RH61" s="86"/>
      <c r="RI61" s="86"/>
      <c r="RJ61" s="86"/>
      <c r="RK61" s="86"/>
      <c r="RL61" s="86"/>
      <c r="RM61" s="86"/>
      <c r="RN61" s="86"/>
      <c r="RO61" s="86"/>
      <c r="RP61" s="86"/>
      <c r="RQ61" s="86"/>
      <c r="RR61" s="86"/>
      <c r="RS61" s="86"/>
      <c r="RT61" s="86"/>
      <c r="RU61" s="86"/>
      <c r="RV61" s="86"/>
      <c r="RW61" s="86"/>
      <c r="RX61" s="86"/>
      <c r="RY61" s="86"/>
      <c r="RZ61" s="86"/>
      <c r="SA61" s="86"/>
      <c r="SB61" s="86"/>
      <c r="SC61" s="86"/>
      <c r="SD61" s="86"/>
      <c r="SE61" s="86"/>
      <c r="SF61" s="86"/>
      <c r="SG61" s="86"/>
      <c r="SH61" s="86"/>
      <c r="SI61" s="86"/>
      <c r="SJ61" s="86"/>
      <c r="SK61" s="86"/>
      <c r="SL61" s="86"/>
      <c r="SM61" s="86"/>
      <c r="SN61" s="86"/>
      <c r="SO61" s="86"/>
      <c r="SP61" s="86"/>
      <c r="SQ61" s="86"/>
      <c r="SR61" s="86"/>
      <c r="SS61" s="86"/>
      <c r="ST61" s="86"/>
      <c r="SU61" s="86"/>
      <c r="SV61" s="86"/>
      <c r="SW61" s="86"/>
      <c r="SX61" s="86"/>
      <c r="SY61" s="86"/>
      <c r="SZ61" s="86"/>
      <c r="TA61" s="86"/>
      <c r="TB61" s="86"/>
      <c r="TC61" s="86"/>
      <c r="TD61" s="86"/>
      <c r="TE61" s="86"/>
      <c r="TF61" s="86"/>
      <c r="TG61" s="86"/>
      <c r="TH61" s="86"/>
      <c r="TI61" s="86"/>
      <c r="TJ61" s="86"/>
      <c r="TK61" s="86"/>
      <c r="TL61" s="86"/>
      <c r="TM61" s="86"/>
      <c r="TN61" s="86"/>
      <c r="TO61" s="86"/>
      <c r="TP61" s="86"/>
      <c r="TQ61" s="86"/>
      <c r="TR61" s="86"/>
      <c r="TS61" s="86"/>
      <c r="TT61" s="86"/>
      <c r="TU61" s="86"/>
      <c r="TV61" s="86"/>
      <c r="TW61" s="86"/>
      <c r="TX61" s="86"/>
      <c r="TY61" s="86"/>
      <c r="TZ61" s="86"/>
      <c r="UA61" s="86"/>
      <c r="UB61" s="86"/>
      <c r="UC61" s="86"/>
      <c r="UD61" s="86"/>
      <c r="UE61" s="86"/>
      <c r="UF61" s="86"/>
      <c r="UG61" s="86"/>
      <c r="UH61" s="86"/>
      <c r="UI61" s="86"/>
      <c r="UJ61" s="86"/>
      <c r="UK61" s="86"/>
      <c r="UL61" s="86"/>
      <c r="UM61" s="86"/>
      <c r="UN61" s="86"/>
      <c r="UO61" s="86"/>
      <c r="UP61" s="86"/>
      <c r="UQ61" s="86"/>
      <c r="UR61" s="86"/>
      <c r="US61" s="86"/>
      <c r="UT61" s="86"/>
      <c r="UU61" s="86"/>
      <c r="UV61" s="86"/>
      <c r="UW61" s="86"/>
      <c r="UX61" s="86"/>
      <c r="UY61" s="86"/>
      <c r="UZ61" s="86"/>
      <c r="VA61" s="86"/>
      <c r="VB61" s="86"/>
      <c r="VC61" s="86"/>
      <c r="VD61" s="86"/>
      <c r="VE61" s="86"/>
      <c r="VF61" s="86"/>
      <c r="VG61" s="86"/>
      <c r="VH61" s="86"/>
      <c r="VI61" s="86"/>
      <c r="VJ61" s="86"/>
      <c r="VK61" s="86"/>
      <c r="VL61" s="86"/>
      <c r="VM61" s="86"/>
      <c r="VN61" s="86"/>
      <c r="VO61" s="86"/>
      <c r="VP61" s="86"/>
      <c r="VQ61" s="86"/>
      <c r="VR61" s="86"/>
      <c r="VS61" s="86"/>
      <c r="VT61" s="86"/>
      <c r="VU61" s="86"/>
      <c r="VV61" s="86"/>
      <c r="VW61" s="86"/>
      <c r="VX61" s="86"/>
      <c r="VY61" s="86"/>
      <c r="VZ61" s="86"/>
      <c r="WA61" s="86"/>
      <c r="WB61" s="86"/>
      <c r="WC61" s="86"/>
      <c r="WD61" s="86"/>
      <c r="WE61" s="86"/>
      <c r="WF61" s="86"/>
      <c r="WG61" s="86"/>
      <c r="WH61" s="86"/>
      <c r="WI61" s="86"/>
      <c r="WJ61" s="86"/>
      <c r="WK61" s="86"/>
      <c r="WL61" s="86"/>
      <c r="WM61" s="86"/>
      <c r="WN61" s="86"/>
      <c r="WO61" s="86"/>
      <c r="WP61" s="86"/>
      <c r="WQ61" s="86"/>
      <c r="WR61" s="86"/>
      <c r="WS61" s="86"/>
      <c r="WT61" s="86"/>
      <c r="WU61" s="86"/>
      <c r="WV61" s="86"/>
      <c r="WW61" s="86"/>
      <c r="WX61" s="86"/>
      <c r="WY61" s="86"/>
      <c r="WZ61" s="86"/>
      <c r="XA61" s="86"/>
      <c r="XB61" s="86"/>
      <c r="XC61" s="86"/>
      <c r="XD61" s="86"/>
      <c r="XE61" s="86"/>
      <c r="XF61" s="86"/>
      <c r="XG61" s="86"/>
      <c r="XH61" s="86"/>
      <c r="XI61" s="86"/>
      <c r="XJ61" s="86"/>
      <c r="XK61" s="86"/>
      <c r="XL61" s="86"/>
      <c r="XM61" s="86"/>
      <c r="XN61" s="86"/>
      <c r="XO61" s="86"/>
      <c r="XP61" s="86"/>
      <c r="XQ61" s="86"/>
      <c r="XR61" s="86"/>
      <c r="XS61" s="86"/>
      <c r="XT61" s="86"/>
      <c r="XU61" s="86"/>
      <c r="XV61" s="86"/>
      <c r="XW61" s="86"/>
      <c r="XX61" s="86"/>
      <c r="XY61" s="86"/>
      <c r="XZ61" s="86"/>
      <c r="YA61" s="86"/>
      <c r="YB61" s="86"/>
      <c r="YC61" s="86"/>
      <c r="YD61" s="86"/>
      <c r="YE61" s="86"/>
      <c r="YF61" s="86"/>
      <c r="YG61" s="86"/>
      <c r="YH61" s="86"/>
      <c r="YI61" s="86"/>
      <c r="YJ61" s="86"/>
      <c r="YK61" s="86"/>
      <c r="YL61" s="86"/>
      <c r="YM61" s="86"/>
      <c r="YN61" s="86"/>
      <c r="YO61" s="86"/>
      <c r="YP61" s="86"/>
      <c r="YQ61" s="86"/>
      <c r="YR61" s="86"/>
      <c r="YS61" s="86"/>
      <c r="YT61" s="86"/>
      <c r="YU61" s="86"/>
      <c r="YV61" s="86"/>
      <c r="YW61" s="86"/>
      <c r="YX61" s="86"/>
      <c r="YY61" s="86"/>
      <c r="YZ61" s="86"/>
      <c r="ZA61" s="86"/>
      <c r="ZB61" s="86"/>
      <c r="ZC61" s="86"/>
      <c r="ZD61" s="86"/>
      <c r="ZE61" s="86"/>
      <c r="ZF61" s="86"/>
      <c r="ZG61" s="86"/>
      <c r="ZH61" s="86"/>
      <c r="ZI61" s="86"/>
      <c r="ZJ61" s="86"/>
      <c r="ZK61" s="86"/>
      <c r="ZL61" s="86"/>
      <c r="ZM61" s="86"/>
      <c r="ZN61" s="86"/>
      <c r="ZO61" s="86"/>
      <c r="ZP61" s="86"/>
      <c r="ZQ61" s="86"/>
      <c r="ZR61" s="86"/>
      <c r="ZS61" s="86"/>
      <c r="ZT61" s="86"/>
      <c r="ZU61" s="86"/>
      <c r="ZV61" s="86"/>
      <c r="ZW61" s="86"/>
      <c r="ZX61" s="86"/>
      <c r="ZY61" s="86"/>
      <c r="ZZ61" s="86"/>
      <c r="AAA61" s="86"/>
      <c r="AAB61" s="86"/>
      <c r="AAC61" s="86"/>
      <c r="AAD61" s="86"/>
      <c r="AAE61" s="86"/>
      <c r="AAF61" s="86"/>
      <c r="AAG61" s="86"/>
      <c r="AAH61" s="86"/>
      <c r="AAI61" s="86"/>
      <c r="AAJ61" s="86"/>
      <c r="AAK61" s="86"/>
      <c r="AAL61" s="86"/>
      <c r="AAM61" s="86"/>
      <c r="AAN61" s="86"/>
      <c r="AAO61" s="86"/>
      <c r="AAP61" s="86"/>
      <c r="AAQ61" s="86"/>
      <c r="AAR61" s="86"/>
      <c r="AAS61" s="86"/>
      <c r="AAT61" s="86"/>
      <c r="AAU61" s="86"/>
      <c r="AAV61" s="86"/>
      <c r="AAW61" s="86"/>
      <c r="AAX61" s="86"/>
      <c r="AAY61" s="86"/>
      <c r="AAZ61" s="86"/>
      <c r="ABA61" s="86"/>
      <c r="ABB61" s="86"/>
      <c r="ABC61" s="86"/>
      <c r="ABD61" s="86"/>
      <c r="ABE61" s="86"/>
      <c r="ABF61" s="86"/>
      <c r="ABG61" s="86"/>
      <c r="ABH61" s="86"/>
      <c r="ABI61" s="86"/>
      <c r="ABJ61" s="86"/>
      <c r="ABK61" s="86"/>
      <c r="ABL61" s="86"/>
      <c r="ABM61" s="86"/>
      <c r="ABN61" s="86"/>
      <c r="ABO61" s="86"/>
      <c r="ABP61" s="86"/>
      <c r="ABQ61" s="86"/>
      <c r="ABR61" s="86"/>
      <c r="ABS61" s="86"/>
      <c r="ABT61" s="86"/>
      <c r="ABU61" s="86"/>
      <c r="ABV61" s="86"/>
      <c r="ABW61" s="86"/>
      <c r="ABX61" s="86"/>
      <c r="ABY61" s="86"/>
      <c r="ABZ61" s="86"/>
      <c r="ACA61" s="86"/>
      <c r="ACB61" s="86"/>
      <c r="ACC61" s="86"/>
      <c r="ACD61" s="86"/>
      <c r="ACE61" s="86"/>
      <c r="ACF61" s="86"/>
      <c r="ACG61" s="86"/>
      <c r="ACH61" s="86"/>
      <c r="ACI61" s="86"/>
      <c r="ACJ61" s="86"/>
      <c r="ACK61" s="86"/>
      <c r="ACL61" s="86"/>
      <c r="ACM61" s="86"/>
      <c r="ACN61" s="86"/>
      <c r="ACO61" s="86"/>
      <c r="ACP61" s="86"/>
      <c r="ACQ61" s="86"/>
      <c r="ACR61" s="86"/>
      <c r="ACS61" s="86"/>
      <c r="ACT61" s="86"/>
      <c r="ACU61" s="86"/>
      <c r="ACV61" s="86"/>
      <c r="ACW61" s="86"/>
      <c r="ACX61" s="86"/>
    </row>
    <row r="62" customFormat="false" ht="15" hidden="false" customHeight="false" outlineLevel="0" collapsed="false">
      <c r="A62" s="422" t="s">
        <v>69</v>
      </c>
      <c r="B62" s="422"/>
      <c r="C62" s="422"/>
      <c r="D62" s="422"/>
      <c r="E62" s="422"/>
      <c r="F62" s="422"/>
      <c r="G62" s="422"/>
      <c r="H62" s="423"/>
      <c r="I62" s="107"/>
      <c r="J62" s="424" t="s">
        <v>207</v>
      </c>
      <c r="K62" s="425" t="n">
        <f aca="false">SUM(K9:K61)</f>
        <v>11188.3091666667</v>
      </c>
    </row>
    <row r="63" customFormat="false" ht="15" hidden="false" customHeight="false" outlineLevel="0" collapsed="false">
      <c r="A63" s="426"/>
      <c r="H63" s="427"/>
    </row>
    <row r="64" customFormat="false" ht="17.35" hidden="false" customHeight="false" outlineLevel="0" collapsed="false">
      <c r="A64" s="428" t="s">
        <v>541</v>
      </c>
      <c r="B64" s="428"/>
      <c r="C64" s="428"/>
      <c r="D64" s="428"/>
      <c r="E64" s="428"/>
      <c r="F64" s="428"/>
      <c r="G64" s="428"/>
      <c r="H64" s="428"/>
      <c r="I64" s="86"/>
      <c r="J64" s="86"/>
    </row>
    <row r="65" customFormat="false" ht="15" hidden="false" customHeight="false" outlineLevel="0" collapsed="false">
      <c r="A65" s="429"/>
      <c r="B65" s="85"/>
      <c r="C65" s="430"/>
      <c r="D65" s="430"/>
      <c r="E65" s="85"/>
      <c r="F65" s="85"/>
      <c r="G65" s="85"/>
      <c r="H65" s="431"/>
      <c r="I65" s="86"/>
      <c r="J65" s="86"/>
    </row>
    <row r="66" customFormat="false" ht="15" hidden="false" customHeight="true" outlineLevel="0" collapsed="false">
      <c r="A66" s="432" t="s">
        <v>55</v>
      </c>
      <c r="B66" s="389" t="s">
        <v>427</v>
      </c>
      <c r="C66" s="389"/>
      <c r="D66" s="389"/>
      <c r="E66" s="390"/>
      <c r="F66" s="390"/>
      <c r="G66" s="390"/>
      <c r="H66" s="391" t="s">
        <v>428</v>
      </c>
      <c r="I66" s="86"/>
      <c r="J66" s="392" t="s">
        <v>422</v>
      </c>
      <c r="K66" s="392"/>
      <c r="M66" s="91" t="s">
        <v>429</v>
      </c>
      <c r="N66" s="91"/>
      <c r="O66" s="91"/>
      <c r="P66" s="91"/>
      <c r="Q66" s="91"/>
      <c r="R66" s="91"/>
    </row>
    <row r="67" customFormat="false" ht="30.55" hidden="false" customHeight="false" outlineLevel="0" collapsed="false">
      <c r="A67" s="432"/>
      <c r="B67" s="389" t="s">
        <v>60</v>
      </c>
      <c r="C67" s="393" t="s">
        <v>61</v>
      </c>
      <c r="D67" s="393" t="s">
        <v>542</v>
      </c>
      <c r="E67" s="389" t="s">
        <v>430</v>
      </c>
      <c r="F67" s="389" t="s">
        <v>67</v>
      </c>
      <c r="G67" s="393" t="s">
        <v>431</v>
      </c>
      <c r="H67" s="391"/>
      <c r="I67" s="86"/>
      <c r="J67" s="433" t="s">
        <v>65</v>
      </c>
      <c r="K67" s="433" t="s">
        <v>64</v>
      </c>
      <c r="M67" s="396" t="s">
        <v>432</v>
      </c>
      <c r="N67" s="77" t="s">
        <v>296</v>
      </c>
      <c r="O67" s="77" t="s">
        <v>297</v>
      </c>
      <c r="P67" s="77" t="s">
        <v>298</v>
      </c>
      <c r="Q67" s="77" t="s">
        <v>299</v>
      </c>
      <c r="R67" s="93" t="s">
        <v>300</v>
      </c>
    </row>
    <row r="68" customFormat="false" ht="24" hidden="false" customHeight="true" outlineLevel="0" collapsed="false">
      <c r="A68" s="119" t="n">
        <v>1</v>
      </c>
      <c r="B68" s="434" t="s">
        <v>443</v>
      </c>
      <c r="C68" s="412" t="s">
        <v>440</v>
      </c>
      <c r="D68" s="412" t="s">
        <v>444</v>
      </c>
      <c r="E68" s="435" t="n">
        <v>1</v>
      </c>
      <c r="F68" s="436" t="s">
        <v>442</v>
      </c>
      <c r="G68" s="400" t="n">
        <v>26.38</v>
      </c>
      <c r="H68" s="437"/>
      <c r="I68" s="86"/>
      <c r="J68" s="123" t="n">
        <f aca="false">'Ocorrências Mensais - FAT'!G93</f>
        <v>0.166666666666667</v>
      </c>
      <c r="K68" s="403" t="n">
        <f aca="false">G68*J68</f>
        <v>4.39666666666667</v>
      </c>
      <c r="M68" s="438" t="n">
        <v>3.38</v>
      </c>
      <c r="N68" s="405" t="n">
        <f aca="false">ROUND(IF(Dados!$J$62="SIM",M68*Dados!$N$62,M68),2)</f>
        <v>3.38</v>
      </c>
      <c r="O68" s="405" t="n">
        <f aca="false">ROUND(IF(Dados!$J$63="SIM",N68*Dados!$N$63,N68),2)</f>
        <v>3.38</v>
      </c>
      <c r="P68" s="405" t="n">
        <f aca="false">ROUND(IF(Dados!$J$64="SIM",O68*Dados!$N$64,O68),2)</f>
        <v>3.38</v>
      </c>
      <c r="Q68" s="405" t="n">
        <f aca="false">ROUND(IF(Dados!$J$65="SIM",P68*Dados!$N$65,P68),2)</f>
        <v>3.38</v>
      </c>
      <c r="R68" s="406" t="n">
        <f aca="false">ROUND(IF(Dados!$J$66="SIM",Q68*Dados!$N$66,Q68),2)</f>
        <v>3.38</v>
      </c>
    </row>
    <row r="69" customFormat="false" ht="28.35" hidden="false" customHeight="false" outlineLevel="0" collapsed="false">
      <c r="A69" s="119" t="n">
        <v>2</v>
      </c>
      <c r="B69" s="434" t="s">
        <v>543</v>
      </c>
      <c r="C69" s="412" t="s">
        <v>440</v>
      </c>
      <c r="D69" s="412" t="s">
        <v>544</v>
      </c>
      <c r="E69" s="435" t="n">
        <v>10</v>
      </c>
      <c r="F69" s="436" t="s">
        <v>436</v>
      </c>
      <c r="G69" s="400" t="n">
        <v>2.99</v>
      </c>
      <c r="H69" s="437"/>
      <c r="I69" s="86"/>
      <c r="J69" s="123" t="n">
        <f aca="false">'Ocorrências Mensais - FAT'!G94</f>
        <v>10</v>
      </c>
      <c r="K69" s="403" t="n">
        <f aca="false">G69*J69</f>
        <v>29.9</v>
      </c>
      <c r="M69" s="438" t="n">
        <v>5.5</v>
      </c>
      <c r="N69" s="405" t="n">
        <f aca="false">ROUND(IF(Dados!$J$62="SIM",M69*Dados!$N$62,M69),2)</f>
        <v>5.5</v>
      </c>
      <c r="O69" s="405" t="n">
        <f aca="false">ROUND(IF(Dados!$J$63="SIM",N69*Dados!$N$63,N69),2)</f>
        <v>5.5</v>
      </c>
      <c r="P69" s="405" t="n">
        <f aca="false">ROUND(IF(Dados!$J$64="SIM",O69*Dados!$N$64,O69),2)</f>
        <v>5.5</v>
      </c>
      <c r="Q69" s="405" t="n">
        <f aca="false">ROUND(IF(Dados!$J$65="SIM",P69*Dados!$N$65,P69),2)</f>
        <v>5.5</v>
      </c>
      <c r="R69" s="406" t="n">
        <f aca="false">ROUND(IF(Dados!$J$66="SIM",Q69*Dados!$N$66,Q69),2)</f>
        <v>5.5</v>
      </c>
    </row>
    <row r="70" customFormat="false" ht="39" hidden="false" customHeight="true" outlineLevel="0" collapsed="false">
      <c r="A70" s="119" t="n">
        <v>3</v>
      </c>
      <c r="B70" s="434" t="s">
        <v>545</v>
      </c>
      <c r="C70" s="412" t="s">
        <v>61</v>
      </c>
      <c r="D70" s="412" t="s">
        <v>546</v>
      </c>
      <c r="E70" s="435" t="n">
        <v>2</v>
      </c>
      <c r="F70" s="436" t="s">
        <v>442</v>
      </c>
      <c r="G70" s="400" t="n">
        <v>28.07</v>
      </c>
      <c r="H70" s="437"/>
      <c r="I70" s="86"/>
      <c r="J70" s="123" t="n">
        <f aca="false">'Ocorrências Mensais - FAT'!G95</f>
        <v>0.333333333333333</v>
      </c>
      <c r="K70" s="403" t="n">
        <f aca="false">G70*J70</f>
        <v>9.35666666666667</v>
      </c>
      <c r="M70" s="438" t="n">
        <v>3.2</v>
      </c>
      <c r="N70" s="405" t="n">
        <f aca="false">ROUND(IF(Dados!$J$62="SIM",M70*Dados!$N$62,M70),2)</f>
        <v>3.2</v>
      </c>
      <c r="O70" s="405" t="n">
        <f aca="false">ROUND(IF(Dados!$J$63="SIM",N70*Dados!$N$63,N70),2)</f>
        <v>3.2</v>
      </c>
      <c r="P70" s="405" t="n">
        <f aca="false">ROUND(IF(Dados!$J$64="SIM",O70*Dados!$N$64,O70),2)</f>
        <v>3.2</v>
      </c>
      <c r="Q70" s="405" t="n">
        <f aca="false">ROUND(IF(Dados!$J$65="SIM",P70*Dados!$N$65,P70),2)</f>
        <v>3.2</v>
      </c>
      <c r="R70" s="406" t="n">
        <f aca="false">ROUND(IF(Dados!$J$66="SIM",Q70*Dados!$N$66,Q70),2)</f>
        <v>3.2</v>
      </c>
    </row>
    <row r="71" customFormat="false" ht="28.35" hidden="false" customHeight="false" outlineLevel="0" collapsed="false">
      <c r="A71" s="119" t="n">
        <v>4</v>
      </c>
      <c r="B71" s="434" t="s">
        <v>463</v>
      </c>
      <c r="C71" s="412" t="s">
        <v>464</v>
      </c>
      <c r="D71" s="412" t="s">
        <v>465</v>
      </c>
      <c r="E71" s="435" t="n">
        <v>10</v>
      </c>
      <c r="F71" s="436" t="s">
        <v>436</v>
      </c>
      <c r="G71" s="400" t="n">
        <v>6.4</v>
      </c>
      <c r="H71" s="437"/>
      <c r="I71" s="86"/>
      <c r="J71" s="123" t="n">
        <f aca="false">'Ocorrências Mensais - FAT'!G96</f>
        <v>10</v>
      </c>
      <c r="K71" s="403" t="n">
        <f aca="false">G71*J71</f>
        <v>64</v>
      </c>
      <c r="M71" s="438" t="n">
        <v>3.99</v>
      </c>
      <c r="N71" s="405" t="n">
        <f aca="false">ROUND(IF(Dados!$J$62="SIM",M71*Dados!$N$62,M71),2)</f>
        <v>3.99</v>
      </c>
      <c r="O71" s="405" t="n">
        <f aca="false">ROUND(IF(Dados!$J$63="SIM",N71*Dados!$N$63,N71),2)</f>
        <v>3.99</v>
      </c>
      <c r="P71" s="405" t="n">
        <f aca="false">ROUND(IF(Dados!$J$64="SIM",O71*Dados!$N$64,O71),2)</f>
        <v>3.99</v>
      </c>
      <c r="Q71" s="405" t="n">
        <f aca="false">ROUND(IF(Dados!$J$65="SIM",P71*Dados!$N$65,P71),2)</f>
        <v>3.99</v>
      </c>
      <c r="R71" s="406" t="n">
        <f aca="false">ROUND(IF(Dados!$J$66="SIM",Q71*Dados!$N$66,Q71),2)</f>
        <v>3.99</v>
      </c>
    </row>
    <row r="72" customFormat="false" ht="46.25" hidden="false" customHeight="false" outlineLevel="0" collapsed="false">
      <c r="A72" s="119" t="n">
        <v>5</v>
      </c>
      <c r="B72" s="434" t="s">
        <v>468</v>
      </c>
      <c r="C72" s="412" t="s">
        <v>440</v>
      </c>
      <c r="D72" s="412" t="s">
        <v>504</v>
      </c>
      <c r="E72" s="435" t="n">
        <v>2</v>
      </c>
      <c r="F72" s="436" t="s">
        <v>436</v>
      </c>
      <c r="G72" s="400" t="n">
        <v>4.28</v>
      </c>
      <c r="H72" s="437"/>
      <c r="I72" s="86"/>
      <c r="J72" s="123" t="n">
        <f aca="false">'Ocorrências Mensais - FAT'!G97</f>
        <v>2</v>
      </c>
      <c r="K72" s="403" t="n">
        <f aca="false">G72*J72</f>
        <v>8.56</v>
      </c>
      <c r="M72" s="438" t="n">
        <v>3.5</v>
      </c>
      <c r="N72" s="405" t="n">
        <f aca="false">ROUND(IF(Dados!$J$62="SIM",M72*Dados!$N$62,M72),2)</f>
        <v>3.5</v>
      </c>
      <c r="O72" s="405" t="n">
        <f aca="false">ROUND(IF(Dados!$J$63="SIM",N72*Dados!$N$63,N72),2)</f>
        <v>3.5</v>
      </c>
      <c r="P72" s="405" t="n">
        <f aca="false">ROUND(IF(Dados!$J$64="SIM",O72*Dados!$N$64,O72),2)</f>
        <v>3.5</v>
      </c>
      <c r="Q72" s="405" t="n">
        <f aca="false">ROUND(IF(Dados!$J$65="SIM",P72*Dados!$N$65,P72),2)</f>
        <v>3.5</v>
      </c>
      <c r="R72" s="406" t="n">
        <f aca="false">ROUND(IF(Dados!$J$66="SIM",Q72*Dados!$N$66,Q72),2)</f>
        <v>3.5</v>
      </c>
    </row>
    <row r="73" customFormat="false" ht="28.35" hidden="false" customHeight="false" outlineLevel="0" collapsed="false">
      <c r="A73" s="119" t="n">
        <v>6</v>
      </c>
      <c r="B73" s="434" t="s">
        <v>547</v>
      </c>
      <c r="C73" s="412" t="s">
        <v>508</v>
      </c>
      <c r="D73" s="412" t="s">
        <v>548</v>
      </c>
      <c r="E73" s="435" t="n">
        <v>3</v>
      </c>
      <c r="F73" s="436" t="s">
        <v>460</v>
      </c>
      <c r="G73" s="400" t="n">
        <v>6.48</v>
      </c>
      <c r="H73" s="437"/>
      <c r="I73" s="86"/>
      <c r="J73" s="123" t="n">
        <f aca="false">'Ocorrências Mensais - FAT'!G98</f>
        <v>1</v>
      </c>
      <c r="K73" s="403" t="n">
        <f aca="false">G73*J73</f>
        <v>6.48</v>
      </c>
      <c r="M73" s="438"/>
      <c r="N73" s="439"/>
      <c r="O73" s="439"/>
      <c r="P73" s="439"/>
      <c r="Q73" s="439"/>
      <c r="R73" s="440"/>
    </row>
    <row r="74" customFormat="false" ht="39" hidden="false" customHeight="true" outlineLevel="0" collapsed="false">
      <c r="A74" s="119" t="n">
        <v>7</v>
      </c>
      <c r="B74" s="434" t="s">
        <v>549</v>
      </c>
      <c r="C74" s="412" t="s">
        <v>61</v>
      </c>
      <c r="D74" s="412" t="s">
        <v>529</v>
      </c>
      <c r="E74" s="435" t="n">
        <v>5</v>
      </c>
      <c r="F74" s="436" t="s">
        <v>436</v>
      </c>
      <c r="G74" s="400" t="n">
        <v>5.08</v>
      </c>
      <c r="H74" s="437"/>
      <c r="I74" s="86"/>
      <c r="J74" s="123" t="n">
        <f aca="false">'Ocorrências Mensais - FAT'!G99</f>
        <v>5</v>
      </c>
      <c r="K74" s="403" t="n">
        <f aca="false">G74*J74</f>
        <v>25.4</v>
      </c>
      <c r="M74" s="438"/>
      <c r="N74" s="439"/>
      <c r="O74" s="439"/>
      <c r="P74" s="439"/>
      <c r="Q74" s="439"/>
      <c r="R74" s="440"/>
    </row>
    <row r="75" customFormat="false" ht="18.75" hidden="false" customHeight="true" outlineLevel="0" collapsed="false">
      <c r="A75" s="119" t="n">
        <v>8</v>
      </c>
      <c r="B75" s="434" t="s">
        <v>550</v>
      </c>
      <c r="C75" s="412" t="s">
        <v>61</v>
      </c>
      <c r="D75" s="412" t="s">
        <v>480</v>
      </c>
      <c r="E75" s="435" t="n">
        <v>1</v>
      </c>
      <c r="F75" s="436" t="s">
        <v>442</v>
      </c>
      <c r="G75" s="400" t="n">
        <v>13.09</v>
      </c>
      <c r="H75" s="437"/>
      <c r="I75" s="86"/>
      <c r="J75" s="123" t="n">
        <f aca="false">'Ocorrências Mensais - FAT'!G100</f>
        <v>0.166666666666667</v>
      </c>
      <c r="K75" s="403" t="n">
        <f aca="false">G75*J75</f>
        <v>2.18166666666667</v>
      </c>
      <c r="M75" s="438"/>
      <c r="N75" s="439"/>
      <c r="O75" s="439"/>
      <c r="P75" s="439"/>
      <c r="Q75" s="439"/>
      <c r="R75" s="440"/>
    </row>
    <row r="76" customFormat="false" ht="15" hidden="false" customHeight="false" outlineLevel="0" collapsed="false">
      <c r="A76" s="119" t="n">
        <v>9</v>
      </c>
      <c r="B76" s="434" t="s">
        <v>551</v>
      </c>
      <c r="C76" s="412" t="s">
        <v>61</v>
      </c>
      <c r="D76" s="412" t="s">
        <v>552</v>
      </c>
      <c r="E76" s="435" t="n">
        <v>5</v>
      </c>
      <c r="F76" s="436" t="s">
        <v>436</v>
      </c>
      <c r="G76" s="400" t="n">
        <v>10</v>
      </c>
      <c r="H76" s="437"/>
      <c r="I76" s="86"/>
      <c r="J76" s="123" t="n">
        <f aca="false">'Ocorrências Mensais - FAT'!G101</f>
        <v>5</v>
      </c>
      <c r="K76" s="403" t="n">
        <f aca="false">G76*J76</f>
        <v>50</v>
      </c>
      <c r="M76" s="438"/>
      <c r="N76" s="439"/>
      <c r="O76" s="439"/>
      <c r="P76" s="439"/>
      <c r="Q76" s="439"/>
      <c r="R76" s="440"/>
    </row>
    <row r="77" customFormat="false" ht="19.4" hidden="false" customHeight="false" outlineLevel="0" collapsed="false">
      <c r="A77" s="119" t="n">
        <v>10</v>
      </c>
      <c r="B77" s="434" t="s">
        <v>492</v>
      </c>
      <c r="C77" s="412" t="s">
        <v>61</v>
      </c>
      <c r="D77" s="412" t="s">
        <v>493</v>
      </c>
      <c r="E77" s="435" t="n">
        <v>1</v>
      </c>
      <c r="F77" s="436" t="s">
        <v>460</v>
      </c>
      <c r="G77" s="400" t="n">
        <v>19.9</v>
      </c>
      <c r="H77" s="437"/>
      <c r="I77" s="86"/>
      <c r="J77" s="123" t="n">
        <f aca="false">'Ocorrências Mensais - FAT'!G102</f>
        <v>0.333333333333333</v>
      </c>
      <c r="K77" s="403" t="n">
        <f aca="false">G77*J77</f>
        <v>6.63333333333333</v>
      </c>
      <c r="M77" s="438"/>
      <c r="N77" s="439"/>
      <c r="O77" s="439"/>
      <c r="P77" s="439"/>
      <c r="Q77" s="439"/>
      <c r="R77" s="440"/>
    </row>
    <row r="78" customFormat="false" ht="15" hidden="false" customHeight="false" outlineLevel="0" collapsed="false">
      <c r="A78" s="119" t="n">
        <v>11</v>
      </c>
      <c r="B78" s="434" t="s">
        <v>553</v>
      </c>
      <c r="C78" s="412" t="s">
        <v>464</v>
      </c>
      <c r="D78" s="412" t="s">
        <v>497</v>
      </c>
      <c r="E78" s="435" t="n">
        <v>1</v>
      </c>
      <c r="F78" s="436" t="s">
        <v>436</v>
      </c>
      <c r="G78" s="400" t="n">
        <v>12</v>
      </c>
      <c r="H78" s="437"/>
      <c r="I78" s="86"/>
      <c r="J78" s="123" t="n">
        <f aca="false">'Ocorrências Mensais - FAT'!G103</f>
        <v>1</v>
      </c>
      <c r="K78" s="403" t="n">
        <f aca="false">G78*J78</f>
        <v>12</v>
      </c>
      <c r="M78" s="438"/>
      <c r="N78" s="439"/>
      <c r="O78" s="439"/>
      <c r="P78" s="439"/>
      <c r="Q78" s="439"/>
      <c r="R78" s="440"/>
    </row>
    <row r="79" customFormat="false" ht="15" hidden="false" customHeight="false" outlineLevel="0" collapsed="false">
      <c r="A79" s="119" t="n">
        <v>12</v>
      </c>
      <c r="B79" s="434" t="s">
        <v>554</v>
      </c>
      <c r="C79" s="412" t="s">
        <v>61</v>
      </c>
      <c r="D79" s="412" t="s">
        <v>555</v>
      </c>
      <c r="E79" s="435" t="n">
        <v>2</v>
      </c>
      <c r="F79" s="436" t="s">
        <v>436</v>
      </c>
      <c r="G79" s="400" t="n">
        <v>8.23</v>
      </c>
      <c r="H79" s="437"/>
      <c r="I79" s="86"/>
      <c r="J79" s="123" t="n">
        <f aca="false">'Ocorrências Mensais - FAT'!G104</f>
        <v>2</v>
      </c>
      <c r="K79" s="403" t="n">
        <f aca="false">G79*J79</f>
        <v>16.46</v>
      </c>
      <c r="M79" s="438"/>
      <c r="N79" s="439"/>
      <c r="O79" s="439"/>
      <c r="P79" s="439"/>
      <c r="Q79" s="439"/>
      <c r="R79" s="440"/>
    </row>
    <row r="80" customFormat="false" ht="19.4" hidden="false" customHeight="false" outlineLevel="0" collapsed="false">
      <c r="A80" s="119" t="n">
        <v>13</v>
      </c>
      <c r="B80" s="434" t="s">
        <v>507</v>
      </c>
      <c r="C80" s="412" t="s">
        <v>508</v>
      </c>
      <c r="D80" s="412" t="s">
        <v>509</v>
      </c>
      <c r="E80" s="435" t="n">
        <v>1</v>
      </c>
      <c r="F80" s="436" t="s">
        <v>556</v>
      </c>
      <c r="G80" s="400" t="n">
        <v>60.16</v>
      </c>
      <c r="H80" s="437"/>
      <c r="I80" s="86"/>
      <c r="J80" s="123" t="n">
        <f aca="false">'Ocorrências Mensais - FAT'!G105</f>
        <v>0.5</v>
      </c>
      <c r="K80" s="403" t="n">
        <f aca="false">G80*J80</f>
        <v>30.08</v>
      </c>
      <c r="M80" s="438"/>
      <c r="N80" s="439"/>
      <c r="O80" s="439"/>
      <c r="P80" s="439"/>
      <c r="Q80" s="439"/>
      <c r="R80" s="440"/>
    </row>
    <row r="81" customFormat="false" ht="19.4" hidden="false" customHeight="false" outlineLevel="0" collapsed="false">
      <c r="A81" s="119" t="n">
        <v>14</v>
      </c>
      <c r="B81" s="434" t="s">
        <v>511</v>
      </c>
      <c r="C81" s="412" t="s">
        <v>61</v>
      </c>
      <c r="D81" s="412" t="s">
        <v>449</v>
      </c>
      <c r="E81" s="435" t="n">
        <v>1</v>
      </c>
      <c r="F81" s="436" t="s">
        <v>442</v>
      </c>
      <c r="G81" s="400" t="n">
        <v>16.46</v>
      </c>
      <c r="H81" s="437"/>
      <c r="I81" s="86"/>
      <c r="J81" s="123" t="n">
        <f aca="false">'Ocorrências Mensais - FAT'!G106</f>
        <v>0.166666666666667</v>
      </c>
      <c r="K81" s="403" t="n">
        <f aca="false">G81*J81</f>
        <v>2.74333333333333</v>
      </c>
      <c r="M81" s="438"/>
      <c r="N81" s="439"/>
      <c r="O81" s="439"/>
      <c r="P81" s="439"/>
      <c r="Q81" s="439"/>
      <c r="R81" s="440"/>
    </row>
    <row r="82" customFormat="false" ht="15" hidden="false" customHeight="false" outlineLevel="0" collapsed="false">
      <c r="A82" s="119" t="n">
        <v>15</v>
      </c>
      <c r="B82" s="434" t="s">
        <v>557</v>
      </c>
      <c r="C82" s="412" t="s">
        <v>61</v>
      </c>
      <c r="D82" s="412" t="s">
        <v>558</v>
      </c>
      <c r="E82" s="435" t="n">
        <v>2</v>
      </c>
      <c r="F82" s="436" t="s">
        <v>442</v>
      </c>
      <c r="G82" s="400" t="n">
        <v>4.66</v>
      </c>
      <c r="H82" s="437"/>
      <c r="I82" s="86"/>
      <c r="J82" s="123" t="n">
        <f aca="false">'Ocorrências Mensais - FAT'!G107</f>
        <v>0.333333333333333</v>
      </c>
      <c r="K82" s="403" t="n">
        <f aca="false">G82*J82</f>
        <v>1.55333333333333</v>
      </c>
      <c r="M82" s="438"/>
      <c r="N82" s="439"/>
      <c r="O82" s="439"/>
      <c r="P82" s="439"/>
      <c r="Q82" s="439"/>
      <c r="R82" s="440"/>
    </row>
    <row r="83" customFormat="false" ht="15" hidden="false" customHeight="false" outlineLevel="0" collapsed="false">
      <c r="A83" s="422" t="s">
        <v>69</v>
      </c>
      <c r="B83" s="422"/>
      <c r="C83" s="422"/>
      <c r="D83" s="422"/>
      <c r="E83" s="422"/>
      <c r="F83" s="422"/>
      <c r="G83" s="422"/>
      <c r="H83" s="423"/>
      <c r="I83" s="86"/>
      <c r="J83" s="441" t="s">
        <v>207</v>
      </c>
      <c r="K83" s="442" t="n">
        <f aca="false">SUM(K68:K82)</f>
        <v>269.745</v>
      </c>
    </row>
    <row r="85" customFormat="false" ht="17.35" hidden="false" customHeight="false" outlineLevel="0" collapsed="false">
      <c r="A85" s="428" t="s">
        <v>559</v>
      </c>
      <c r="B85" s="428"/>
      <c r="C85" s="428"/>
      <c r="D85" s="428"/>
      <c r="E85" s="428"/>
      <c r="F85" s="428"/>
      <c r="G85" s="428"/>
      <c r="H85" s="428"/>
      <c r="I85" s="86"/>
      <c r="J85" s="86"/>
    </row>
    <row r="86" customFormat="false" ht="15" hidden="false" customHeight="false" outlineLevel="0" collapsed="false">
      <c r="A86" s="429"/>
      <c r="B86" s="85"/>
      <c r="C86" s="430"/>
      <c r="D86" s="430"/>
      <c r="E86" s="85"/>
      <c r="F86" s="85"/>
      <c r="G86" s="85"/>
      <c r="H86" s="431"/>
      <c r="I86" s="86"/>
      <c r="J86" s="86"/>
    </row>
    <row r="87" customFormat="false" ht="15" hidden="false" customHeight="true" outlineLevel="0" collapsed="false">
      <c r="A87" s="432" t="s">
        <v>55</v>
      </c>
      <c r="B87" s="389" t="s">
        <v>427</v>
      </c>
      <c r="C87" s="389"/>
      <c r="D87" s="389"/>
      <c r="E87" s="390"/>
      <c r="F87" s="390"/>
      <c r="G87" s="390"/>
      <c r="H87" s="391" t="s">
        <v>428</v>
      </c>
      <c r="I87" s="86"/>
      <c r="J87" s="392" t="s">
        <v>422</v>
      </c>
      <c r="K87" s="392"/>
      <c r="M87" s="91" t="s">
        <v>429</v>
      </c>
      <c r="N87" s="91"/>
      <c r="O87" s="91"/>
      <c r="P87" s="91"/>
      <c r="Q87" s="91"/>
      <c r="R87" s="91"/>
    </row>
    <row r="88" customFormat="false" ht="30.55" hidden="false" customHeight="false" outlineLevel="0" collapsed="false">
      <c r="A88" s="432"/>
      <c r="B88" s="389" t="s">
        <v>60</v>
      </c>
      <c r="C88" s="393" t="s">
        <v>61</v>
      </c>
      <c r="D88" s="393" t="s">
        <v>542</v>
      </c>
      <c r="E88" s="389" t="s">
        <v>430</v>
      </c>
      <c r="F88" s="389" t="s">
        <v>67</v>
      </c>
      <c r="G88" s="393" t="s">
        <v>431</v>
      </c>
      <c r="H88" s="391"/>
      <c r="I88" s="86"/>
      <c r="J88" s="433" t="s">
        <v>65</v>
      </c>
      <c r="K88" s="433" t="s">
        <v>64</v>
      </c>
      <c r="M88" s="396" t="s">
        <v>432</v>
      </c>
      <c r="N88" s="77" t="s">
        <v>296</v>
      </c>
      <c r="O88" s="77" t="s">
        <v>297</v>
      </c>
      <c r="P88" s="77" t="s">
        <v>298</v>
      </c>
      <c r="Q88" s="77" t="s">
        <v>299</v>
      </c>
      <c r="R88" s="93" t="s">
        <v>300</v>
      </c>
    </row>
    <row r="89" customFormat="false" ht="37.5" hidden="false" customHeight="true" outlineLevel="0" collapsed="false">
      <c r="A89" s="119" t="n">
        <v>1</v>
      </c>
      <c r="B89" s="434" t="s">
        <v>560</v>
      </c>
      <c r="C89" s="412" t="s">
        <v>561</v>
      </c>
      <c r="D89" s="412" t="s">
        <v>562</v>
      </c>
      <c r="E89" s="399" t="n">
        <v>2</v>
      </c>
      <c r="F89" s="402" t="s">
        <v>442</v>
      </c>
      <c r="G89" s="400" t="n">
        <v>31.68</v>
      </c>
      <c r="H89" s="437"/>
      <c r="I89" s="86"/>
      <c r="J89" s="443" t="n">
        <f aca="false">'Ocorrências Mensais - FAT'!G116</f>
        <v>0.333333333333333</v>
      </c>
      <c r="K89" s="403" t="n">
        <f aca="false">G89*J89</f>
        <v>10.56</v>
      </c>
      <c r="M89" s="404" t="n">
        <f aca="false">150/50*52</f>
        <v>156</v>
      </c>
      <c r="N89" s="405" t="n">
        <f aca="false">ROUND(IF(Dados!$J$62="SIM",M89*Dados!$N$62,M89),2)</f>
        <v>156</v>
      </c>
      <c r="O89" s="405" t="n">
        <f aca="false">ROUND(IF(Dados!$J$63="SIM",N89*Dados!$N$63,N89),2)</f>
        <v>156</v>
      </c>
      <c r="P89" s="405" t="n">
        <f aca="false">ROUND(IF(Dados!$J$64="SIM",O89*Dados!$N$64,O89),2)</f>
        <v>156</v>
      </c>
      <c r="Q89" s="405" t="n">
        <f aca="false">ROUND(IF(Dados!$J$65="SIM",P89*Dados!$N$65,P89),2)</f>
        <v>156</v>
      </c>
      <c r="R89" s="406" t="n">
        <f aca="false">ROUND(IF(Dados!$J$66="SIM",Q89*Dados!$N$66,Q89),2)</f>
        <v>156</v>
      </c>
    </row>
    <row r="90" customFormat="false" ht="48" hidden="false" customHeight="true" outlineLevel="0" collapsed="false">
      <c r="A90" s="119" t="n">
        <v>2</v>
      </c>
      <c r="B90" s="434" t="s">
        <v>563</v>
      </c>
      <c r="C90" s="412" t="s">
        <v>561</v>
      </c>
      <c r="D90" s="412" t="s">
        <v>564</v>
      </c>
      <c r="E90" s="399" t="n">
        <v>1</v>
      </c>
      <c r="F90" s="402" t="s">
        <v>460</v>
      </c>
      <c r="G90" s="400" t="n">
        <v>97</v>
      </c>
      <c r="H90" s="437"/>
      <c r="I90" s="86"/>
      <c r="J90" s="443" t="n">
        <f aca="false">'Ocorrências Mensais - FAT'!G117</f>
        <v>0.333333333333333</v>
      </c>
      <c r="K90" s="403" t="n">
        <f aca="false">G90*J90</f>
        <v>32.3333333333333</v>
      </c>
      <c r="M90" s="404" t="n">
        <v>36.11</v>
      </c>
      <c r="N90" s="405" t="n">
        <f aca="false">ROUND(IF(Dados!$J$62="SIM",M90*Dados!$N$62,M90),2)</f>
        <v>36.11</v>
      </c>
      <c r="O90" s="405" t="n">
        <f aca="false">ROUND(IF(Dados!$J$63="SIM",N90*Dados!$N$63,N90),2)</f>
        <v>36.11</v>
      </c>
      <c r="P90" s="405" t="n">
        <f aca="false">ROUND(IF(Dados!$J$64="SIM",O90*Dados!$N$64,O90),2)</f>
        <v>36.11</v>
      </c>
      <c r="Q90" s="405" t="n">
        <f aca="false">ROUND(IF(Dados!$J$65="SIM",P90*Dados!$N$65,P90),2)</f>
        <v>36.11</v>
      </c>
      <c r="R90" s="406" t="n">
        <f aca="false">ROUND(IF(Dados!$J$66="SIM",Q90*Dados!$N$66,Q90),2)</f>
        <v>36.11</v>
      </c>
    </row>
    <row r="91" customFormat="false" ht="19.4" hidden="false" customHeight="false" outlineLevel="0" collapsed="false">
      <c r="A91" s="119" t="n">
        <v>3</v>
      </c>
      <c r="B91" s="434" t="s">
        <v>565</v>
      </c>
      <c r="C91" s="412" t="s">
        <v>561</v>
      </c>
      <c r="D91" s="412" t="s">
        <v>566</v>
      </c>
      <c r="E91" s="399" t="n">
        <v>1</v>
      </c>
      <c r="F91" s="402" t="s">
        <v>460</v>
      </c>
      <c r="G91" s="400" t="n">
        <v>151.01</v>
      </c>
      <c r="H91" s="437"/>
      <c r="I91" s="86"/>
      <c r="J91" s="443" t="n">
        <f aca="false">'Ocorrências Mensais - FAT'!G118</f>
        <v>0.333333333333333</v>
      </c>
      <c r="K91" s="403" t="n">
        <f aca="false">G91*J91</f>
        <v>50.3366666666667</v>
      </c>
      <c r="M91" s="404" t="n">
        <v>16.9</v>
      </c>
      <c r="N91" s="405" t="n">
        <f aca="false">ROUND(IF(Dados!$J$62="SIM",M91*Dados!$N$62,M91),2)</f>
        <v>16.9</v>
      </c>
      <c r="O91" s="405" t="n">
        <f aca="false">ROUND(IF(Dados!$J$63="SIM",N91*Dados!$N$63,N91),2)</f>
        <v>16.9</v>
      </c>
      <c r="P91" s="405" t="n">
        <f aca="false">ROUND(IF(Dados!$J$64="SIM",O91*Dados!$N$64,O91),2)</f>
        <v>16.9</v>
      </c>
      <c r="Q91" s="405" t="n">
        <f aca="false">ROUND(IF(Dados!$J$65="SIM",P91*Dados!$N$65,P91),2)</f>
        <v>16.9</v>
      </c>
      <c r="R91" s="406" t="n">
        <f aca="false">ROUND(IF(Dados!$J$66="SIM",Q91*Dados!$N$66,Q91),2)</f>
        <v>16.9</v>
      </c>
    </row>
    <row r="92" customFormat="false" ht="15" hidden="false" customHeight="false" outlineLevel="0" collapsed="false">
      <c r="A92" s="119" t="n">
        <v>4</v>
      </c>
      <c r="B92" s="434" t="s">
        <v>567</v>
      </c>
      <c r="C92" s="412" t="s">
        <v>568</v>
      </c>
      <c r="D92" s="412" t="s">
        <v>569</v>
      </c>
      <c r="E92" s="399" t="n">
        <v>1</v>
      </c>
      <c r="F92" s="402" t="s">
        <v>424</v>
      </c>
      <c r="G92" s="400" t="n">
        <v>194.52</v>
      </c>
      <c r="H92" s="437"/>
      <c r="I92" s="86"/>
      <c r="J92" s="443" t="n">
        <f aca="false">'Ocorrências Mensais - FAT'!G119</f>
        <v>0.0833333333333333</v>
      </c>
      <c r="K92" s="403" t="n">
        <f aca="false">G92*J92</f>
        <v>16.21</v>
      </c>
      <c r="M92" s="404" t="n">
        <v>5.42</v>
      </c>
      <c r="N92" s="405" t="n">
        <f aca="false">ROUND(IF(Dados!$J$62="SIM",M92*Dados!$N$62,M92),2)</f>
        <v>5.42</v>
      </c>
      <c r="O92" s="405" t="n">
        <f aca="false">ROUND(IF(Dados!$J$63="SIM",N92*Dados!$N$63,N92),2)</f>
        <v>5.42</v>
      </c>
      <c r="P92" s="405" t="n">
        <f aca="false">ROUND(IF(Dados!$J$64="SIM",O92*Dados!$N$64,O92),2)</f>
        <v>5.42</v>
      </c>
      <c r="Q92" s="405" t="n">
        <f aca="false">ROUND(IF(Dados!$J$65="SIM",P92*Dados!$N$65,P92),2)</f>
        <v>5.42</v>
      </c>
      <c r="R92" s="406" t="n">
        <f aca="false">ROUND(IF(Dados!$J$66="SIM",Q92*Dados!$N$66,Q92),2)</f>
        <v>5.42</v>
      </c>
    </row>
    <row r="93" customFormat="false" ht="19.4" hidden="false" customHeight="false" outlineLevel="0" collapsed="false">
      <c r="A93" s="119" t="n">
        <v>5</v>
      </c>
      <c r="B93" s="444" t="s">
        <v>570</v>
      </c>
      <c r="C93" s="412" t="s">
        <v>571</v>
      </c>
      <c r="D93" s="412"/>
      <c r="E93" s="399" t="n">
        <v>6</v>
      </c>
      <c r="F93" s="402" t="s">
        <v>424</v>
      </c>
      <c r="G93" s="400" t="n">
        <v>30.19</v>
      </c>
      <c r="H93" s="437"/>
      <c r="I93" s="86"/>
      <c r="J93" s="443" t="n">
        <f aca="false">'Ocorrências Mensais - FAT'!G120</f>
        <v>0.5</v>
      </c>
      <c r="K93" s="403" t="n">
        <f aca="false">G93*J93</f>
        <v>15.095</v>
      </c>
      <c r="M93" s="404" t="n">
        <v>4.9</v>
      </c>
      <c r="N93" s="405" t="n">
        <f aca="false">ROUND(IF(Dados!$J$62="SIM",M93*Dados!$N$62,M93),2)</f>
        <v>4.9</v>
      </c>
      <c r="O93" s="405" t="n">
        <f aca="false">ROUND(IF(Dados!$J$63="SIM",N93*Dados!$N$63,N93),2)</f>
        <v>4.9</v>
      </c>
      <c r="P93" s="405" t="n">
        <f aca="false">ROUND(IF(Dados!$J$64="SIM",O93*Dados!$N$64,O93),2)</f>
        <v>4.9</v>
      </c>
      <c r="Q93" s="405" t="n">
        <f aca="false">ROUND(IF(Dados!$J$65="SIM",P93*Dados!$N$65,P93),2)</f>
        <v>4.9</v>
      </c>
      <c r="R93" s="406" t="n">
        <f aca="false">ROUND(IF(Dados!$J$66="SIM",Q93*Dados!$N$66,Q93),2)</f>
        <v>4.9</v>
      </c>
    </row>
    <row r="94" customFormat="false" ht="19.4" hidden="false" customHeight="false" outlineLevel="0" collapsed="false">
      <c r="A94" s="119" t="n">
        <v>6</v>
      </c>
      <c r="B94" s="444" t="s">
        <v>572</v>
      </c>
      <c r="C94" s="412" t="s">
        <v>440</v>
      </c>
      <c r="D94" s="412" t="s">
        <v>482</v>
      </c>
      <c r="E94" s="399" t="n">
        <v>2</v>
      </c>
      <c r="F94" s="402" t="s">
        <v>442</v>
      </c>
      <c r="G94" s="400" t="n">
        <v>15.86</v>
      </c>
      <c r="H94" s="437"/>
      <c r="I94" s="86"/>
      <c r="J94" s="443" t="n">
        <f aca="false">'Ocorrências Mensais - FAT'!G121</f>
        <v>0.333333333333333</v>
      </c>
      <c r="K94" s="403" t="n">
        <f aca="false">G94*J94</f>
        <v>5.28666666666667</v>
      </c>
      <c r="M94" s="404" t="n">
        <v>17.79</v>
      </c>
      <c r="N94" s="405" t="n">
        <f aca="false">ROUND(IF(Dados!$J$62="SIM",M94*Dados!$N$62,M94),2)</f>
        <v>17.79</v>
      </c>
      <c r="O94" s="405" t="n">
        <f aca="false">ROUND(IF(Dados!$J$63="SIM",N94*Dados!$N$63,N94),2)</f>
        <v>17.79</v>
      </c>
      <c r="P94" s="405" t="n">
        <f aca="false">ROUND(IF(Dados!$J$64="SIM",O94*Dados!$N$64,O94),2)</f>
        <v>17.79</v>
      </c>
      <c r="Q94" s="405" t="n">
        <f aca="false">ROUND(IF(Dados!$J$65="SIM",P94*Dados!$N$65,P94),2)</f>
        <v>17.79</v>
      </c>
      <c r="R94" s="406" t="n">
        <f aca="false">ROUND(IF(Dados!$J$66="SIM",Q94*Dados!$N$66,Q94),2)</f>
        <v>17.79</v>
      </c>
    </row>
    <row r="95" customFormat="false" ht="15" hidden="false" customHeight="false" outlineLevel="0" collapsed="false">
      <c r="A95" s="119" t="n">
        <v>7</v>
      </c>
      <c r="B95" s="444" t="s">
        <v>573</v>
      </c>
      <c r="C95" s="412" t="s">
        <v>440</v>
      </c>
      <c r="D95" s="412"/>
      <c r="E95" s="399" t="n">
        <v>5</v>
      </c>
      <c r="F95" s="402" t="s">
        <v>424</v>
      </c>
      <c r="G95" s="400" t="n">
        <v>3.6</v>
      </c>
      <c r="H95" s="437"/>
      <c r="I95" s="86"/>
      <c r="J95" s="443" t="n">
        <f aca="false">'Ocorrências Mensais - FAT'!G122</f>
        <v>0.416666666666667</v>
      </c>
      <c r="K95" s="403" t="n">
        <f aca="false">G95*J95</f>
        <v>1.5</v>
      </c>
      <c r="M95" s="404" t="n">
        <v>12</v>
      </c>
      <c r="N95" s="405" t="n">
        <f aca="false">ROUND(IF(Dados!$J$62="SIM",M95*Dados!$N$62,M95),2)</f>
        <v>12</v>
      </c>
      <c r="O95" s="405" t="n">
        <f aca="false">ROUND(IF(Dados!$J$63="SIM",N95*Dados!$N$63,N95),2)</f>
        <v>12</v>
      </c>
      <c r="P95" s="405" t="n">
        <f aca="false">ROUND(IF(Dados!$J$64="SIM",O95*Dados!$N$64,O95),2)</f>
        <v>12</v>
      </c>
      <c r="Q95" s="405" t="n">
        <f aca="false">ROUND(IF(Dados!$J$65="SIM",P95*Dados!$N$65,P95),2)</f>
        <v>12</v>
      </c>
      <c r="R95" s="406" t="n">
        <f aca="false">ROUND(IF(Dados!$J$66="SIM",Q95*Dados!$N$66,Q95),2)</f>
        <v>12</v>
      </c>
    </row>
    <row r="96" customFormat="false" ht="15" hidden="false" customHeight="false" outlineLevel="0" collapsed="false">
      <c r="A96" s="119" t="n">
        <v>8</v>
      </c>
      <c r="B96" s="444" t="s">
        <v>574</v>
      </c>
      <c r="C96" s="412" t="s">
        <v>440</v>
      </c>
      <c r="D96" s="412"/>
      <c r="E96" s="399" t="n">
        <v>2</v>
      </c>
      <c r="F96" s="402" t="s">
        <v>442</v>
      </c>
      <c r="G96" s="400" t="n">
        <v>34.43</v>
      </c>
      <c r="H96" s="437"/>
      <c r="I96" s="86"/>
      <c r="J96" s="443" t="n">
        <f aca="false">'Ocorrências Mensais - FAT'!G123</f>
        <v>0.333333333333333</v>
      </c>
      <c r="K96" s="403" t="n">
        <f aca="false">G96*J96</f>
        <v>11.4766666666667</v>
      </c>
      <c r="M96" s="404" t="n">
        <v>8.35</v>
      </c>
      <c r="N96" s="405" t="n">
        <f aca="false">ROUND(IF(Dados!$J$62="SIM",M96*Dados!$N$62,M96),2)</f>
        <v>8.35</v>
      </c>
      <c r="O96" s="405" t="n">
        <f aca="false">ROUND(IF(Dados!$J$63="SIM",N96*Dados!$N$63,N96),2)</f>
        <v>8.35</v>
      </c>
      <c r="P96" s="405" t="n">
        <f aca="false">ROUND(IF(Dados!$J$64="SIM",O96*Dados!$N$64,O96),2)</f>
        <v>8.35</v>
      </c>
      <c r="Q96" s="405" t="n">
        <f aca="false">ROUND(IF(Dados!$J$65="SIM",P96*Dados!$N$65,P96),2)</f>
        <v>8.35</v>
      </c>
      <c r="R96" s="406" t="n">
        <f aca="false">ROUND(IF(Dados!$J$66="SIM",Q96*Dados!$N$66,Q96),2)</f>
        <v>8.35</v>
      </c>
    </row>
    <row r="97" customFormat="false" ht="19.4" hidden="false" customHeight="false" outlineLevel="0" collapsed="false">
      <c r="A97" s="119" t="n">
        <v>9</v>
      </c>
      <c r="B97" s="444" t="s">
        <v>575</v>
      </c>
      <c r="C97" s="412" t="s">
        <v>440</v>
      </c>
      <c r="D97" s="412"/>
      <c r="E97" s="399" t="n">
        <v>5</v>
      </c>
      <c r="F97" s="402" t="s">
        <v>424</v>
      </c>
      <c r="G97" s="400" t="n">
        <v>3.18</v>
      </c>
      <c r="H97" s="437"/>
      <c r="I97" s="86"/>
      <c r="J97" s="443" t="n">
        <f aca="false">'Ocorrências Mensais - FAT'!G124</f>
        <v>0.416666666666667</v>
      </c>
      <c r="K97" s="403" t="n">
        <f aca="false">G97*J97</f>
        <v>1.325</v>
      </c>
      <c r="M97" s="404" t="n">
        <v>18.9</v>
      </c>
      <c r="N97" s="405" t="n">
        <f aca="false">ROUND(IF(Dados!$J$62="SIM",M97*Dados!$N$62,M97),2)</f>
        <v>18.9</v>
      </c>
      <c r="O97" s="405" t="n">
        <f aca="false">ROUND(IF(Dados!$J$63="SIM",N97*Dados!$N$63,N97),2)</f>
        <v>18.9</v>
      </c>
      <c r="P97" s="405" t="n">
        <f aca="false">ROUND(IF(Dados!$J$64="SIM",O97*Dados!$N$64,O97),2)</f>
        <v>18.9</v>
      </c>
      <c r="Q97" s="405" t="n">
        <f aca="false">ROUND(IF(Dados!$J$65="SIM",P97*Dados!$N$65,P97),2)</f>
        <v>18.9</v>
      </c>
      <c r="R97" s="406" t="n">
        <f aca="false">ROUND(IF(Dados!$J$66="SIM",Q97*Dados!$N$66,Q97),2)</f>
        <v>18.9</v>
      </c>
    </row>
    <row r="98" customFormat="false" ht="15" hidden="false" customHeight="false" outlineLevel="0" collapsed="false">
      <c r="A98" s="119" t="n">
        <v>10</v>
      </c>
      <c r="B98" s="444" t="s">
        <v>576</v>
      </c>
      <c r="C98" s="412" t="s">
        <v>440</v>
      </c>
      <c r="D98" s="412"/>
      <c r="E98" s="399" t="n">
        <v>2</v>
      </c>
      <c r="F98" s="402" t="s">
        <v>424</v>
      </c>
      <c r="G98" s="400" t="n">
        <v>2.4</v>
      </c>
      <c r="H98" s="437"/>
      <c r="I98" s="86"/>
      <c r="J98" s="443" t="n">
        <f aca="false">'Ocorrências Mensais - FAT'!G125</f>
        <v>0.166666666666667</v>
      </c>
      <c r="K98" s="403" t="n">
        <f aca="false">G98*J98</f>
        <v>0.4</v>
      </c>
      <c r="M98" s="404" t="n">
        <v>34.9</v>
      </c>
      <c r="N98" s="405" t="n">
        <f aca="false">ROUND(IF(Dados!$J$62="SIM",M98*Dados!$N$62,M98),2)</f>
        <v>34.9</v>
      </c>
      <c r="O98" s="405" t="n">
        <f aca="false">ROUND(IF(Dados!$J$63="SIM",N98*Dados!$N$63,N98),2)</f>
        <v>34.9</v>
      </c>
      <c r="P98" s="405" t="n">
        <f aca="false">ROUND(IF(Dados!$J$64="SIM",O98*Dados!$N$64,O98),2)</f>
        <v>34.9</v>
      </c>
      <c r="Q98" s="405" t="n">
        <f aca="false">ROUND(IF(Dados!$J$65="SIM",P98*Dados!$N$65,P98),2)</f>
        <v>34.9</v>
      </c>
      <c r="R98" s="406" t="n">
        <f aca="false">ROUND(IF(Dados!$J$66="SIM",Q98*Dados!$N$66,Q98),2)</f>
        <v>34.9</v>
      </c>
    </row>
    <row r="99" customFormat="false" ht="15" hidden="false" customHeight="false" outlineLevel="0" collapsed="false">
      <c r="A99" s="422" t="s">
        <v>69</v>
      </c>
      <c r="B99" s="422"/>
      <c r="C99" s="422"/>
      <c r="D99" s="422"/>
      <c r="E99" s="422"/>
      <c r="F99" s="422"/>
      <c r="G99" s="422"/>
      <c r="H99" s="423"/>
      <c r="I99" s="86"/>
      <c r="J99" s="441" t="s">
        <v>207</v>
      </c>
      <c r="K99" s="442" t="n">
        <f aca="false">SUM(K89:K98)</f>
        <v>144.523333333333</v>
      </c>
    </row>
    <row r="101" customFormat="false" ht="17.35" hidden="false" customHeight="false" outlineLevel="0" collapsed="false">
      <c r="A101" s="428" t="s">
        <v>577</v>
      </c>
      <c r="B101" s="428"/>
      <c r="C101" s="428"/>
      <c r="D101" s="428"/>
      <c r="E101" s="428"/>
      <c r="F101" s="428"/>
      <c r="G101" s="428"/>
      <c r="H101" s="428"/>
      <c r="I101" s="86"/>
      <c r="J101" s="86"/>
    </row>
    <row r="102" customFormat="false" ht="15" hidden="false" customHeight="false" outlineLevel="0" collapsed="false">
      <c r="A102" s="429"/>
      <c r="B102" s="85"/>
      <c r="C102" s="430"/>
      <c r="D102" s="430"/>
      <c r="E102" s="85"/>
      <c r="F102" s="85"/>
      <c r="G102" s="85"/>
      <c r="H102" s="431"/>
      <c r="I102" s="86"/>
      <c r="J102" s="86"/>
    </row>
    <row r="103" customFormat="false" ht="15" hidden="false" customHeight="true" outlineLevel="0" collapsed="false">
      <c r="A103" s="432" t="s">
        <v>55</v>
      </c>
      <c r="B103" s="389" t="s">
        <v>427</v>
      </c>
      <c r="C103" s="389"/>
      <c r="D103" s="389"/>
      <c r="E103" s="390"/>
      <c r="F103" s="390"/>
      <c r="G103" s="390"/>
      <c r="H103" s="391" t="s">
        <v>428</v>
      </c>
      <c r="I103" s="86"/>
      <c r="J103" s="392" t="s">
        <v>422</v>
      </c>
      <c r="K103" s="392"/>
      <c r="M103" s="91" t="s">
        <v>429</v>
      </c>
      <c r="N103" s="91"/>
      <c r="O103" s="91"/>
      <c r="P103" s="91"/>
      <c r="Q103" s="91"/>
      <c r="R103" s="91"/>
    </row>
    <row r="104" customFormat="false" ht="30.55" hidden="false" customHeight="false" outlineLevel="0" collapsed="false">
      <c r="A104" s="432"/>
      <c r="B104" s="389" t="s">
        <v>60</v>
      </c>
      <c r="C104" s="393" t="s">
        <v>61</v>
      </c>
      <c r="D104" s="393" t="s">
        <v>542</v>
      </c>
      <c r="E104" s="389" t="s">
        <v>430</v>
      </c>
      <c r="F104" s="389" t="s">
        <v>67</v>
      </c>
      <c r="G104" s="393" t="s">
        <v>431</v>
      </c>
      <c r="H104" s="391"/>
      <c r="I104" s="86"/>
      <c r="J104" s="433" t="s">
        <v>65</v>
      </c>
      <c r="K104" s="433" t="s">
        <v>64</v>
      </c>
      <c r="M104" s="396" t="s">
        <v>432</v>
      </c>
      <c r="N104" s="77" t="s">
        <v>296</v>
      </c>
      <c r="O104" s="77" t="s">
        <v>297</v>
      </c>
      <c r="P104" s="77" t="s">
        <v>298</v>
      </c>
      <c r="Q104" s="77" t="s">
        <v>299</v>
      </c>
      <c r="R104" s="93" t="s">
        <v>300</v>
      </c>
    </row>
    <row r="105" customFormat="false" ht="19.4" hidden="false" customHeight="false" outlineLevel="0" collapsed="false">
      <c r="A105" s="119" t="n">
        <v>1</v>
      </c>
      <c r="B105" s="434" t="s">
        <v>578</v>
      </c>
      <c r="C105" s="412" t="s">
        <v>440</v>
      </c>
      <c r="D105" s="412" t="s">
        <v>579</v>
      </c>
      <c r="E105" s="399" t="n">
        <v>10</v>
      </c>
      <c r="F105" s="402" t="s">
        <v>424</v>
      </c>
      <c r="G105" s="400" t="n">
        <v>31.74</v>
      </c>
      <c r="H105" s="437"/>
      <c r="I105" s="86"/>
      <c r="J105" s="443" t="n">
        <f aca="false">'Ocorrências Mensais - FAT'!G134</f>
        <v>0.833333333333333</v>
      </c>
      <c r="K105" s="403" t="n">
        <f aca="false">G105*J105</f>
        <v>26.45</v>
      </c>
      <c r="M105" s="404" t="n">
        <v>16.78</v>
      </c>
      <c r="N105" s="405" t="n">
        <f aca="false">ROUND(IF(Dados!$J$62="SIM",M105*Dados!$N$62,M105),2)</f>
        <v>16.78</v>
      </c>
      <c r="O105" s="405" t="n">
        <f aca="false">ROUND(IF(Dados!$J$63="SIM",N105*Dados!$N$63,N105),2)</f>
        <v>16.78</v>
      </c>
      <c r="P105" s="405" t="n">
        <f aca="false">ROUND(IF(Dados!$J$64="SIM",O105*Dados!$N$64,O105),2)</f>
        <v>16.78</v>
      </c>
      <c r="Q105" s="405" t="n">
        <f aca="false">ROUND(IF(Dados!$J$65="SIM",P105*Dados!$N$65,P105),2)</f>
        <v>16.78</v>
      </c>
      <c r="R105" s="406" t="n">
        <f aca="false">ROUND(IF(Dados!$J$66="SIM",Q105*Dados!$N$66,Q105),2)</f>
        <v>16.78</v>
      </c>
    </row>
    <row r="106" customFormat="false" ht="19.4" hidden="false" customHeight="false" outlineLevel="0" collapsed="false">
      <c r="A106" s="119" t="n">
        <v>2</v>
      </c>
      <c r="B106" s="434" t="s">
        <v>580</v>
      </c>
      <c r="C106" s="412" t="s">
        <v>464</v>
      </c>
      <c r="D106" s="412" t="s">
        <v>579</v>
      </c>
      <c r="E106" s="409" t="n">
        <v>6</v>
      </c>
      <c r="F106" s="402" t="s">
        <v>436</v>
      </c>
      <c r="G106" s="400" t="n">
        <v>5.3</v>
      </c>
      <c r="H106" s="437"/>
      <c r="I106" s="86"/>
      <c r="J106" s="443" t="n">
        <f aca="false">'Ocorrências Mensais - FAT'!G135</f>
        <v>6</v>
      </c>
      <c r="K106" s="403" t="n">
        <f aca="false">G106*J106</f>
        <v>31.8</v>
      </c>
      <c r="M106" s="404"/>
      <c r="N106" s="405"/>
      <c r="O106" s="405"/>
      <c r="P106" s="405"/>
      <c r="Q106" s="405"/>
      <c r="R106" s="406"/>
    </row>
    <row r="107" customFormat="false" ht="28.35" hidden="false" customHeight="false" outlineLevel="0" collapsed="false">
      <c r="A107" s="119" t="n">
        <v>3</v>
      </c>
      <c r="B107" s="434" t="s">
        <v>463</v>
      </c>
      <c r="C107" s="412" t="s">
        <v>464</v>
      </c>
      <c r="D107" s="412" t="s">
        <v>581</v>
      </c>
      <c r="E107" s="409" t="n">
        <v>1</v>
      </c>
      <c r="F107" s="402" t="s">
        <v>436</v>
      </c>
      <c r="G107" s="400" t="n">
        <v>6.4</v>
      </c>
      <c r="H107" s="437"/>
      <c r="I107" s="86"/>
      <c r="J107" s="443" t="n">
        <f aca="false">'Ocorrências Mensais - FAT'!G136</f>
        <v>1</v>
      </c>
      <c r="K107" s="403" t="n">
        <f aca="false">G107*J107</f>
        <v>6.4</v>
      </c>
      <c r="M107" s="404" t="n">
        <v>7.8</v>
      </c>
      <c r="N107" s="405" t="n">
        <f aca="false">ROUND(IF(Dados!$J$62="SIM",M107*Dados!$N$62,M107),2)</f>
        <v>7.8</v>
      </c>
      <c r="O107" s="405" t="n">
        <f aca="false">ROUND(IF(Dados!$J$63="SIM",N107*Dados!$N$63,N107),2)</f>
        <v>7.8</v>
      </c>
      <c r="P107" s="405" t="n">
        <f aca="false">ROUND(IF(Dados!$J$64="SIM",O107*Dados!$N$64,O107),2)</f>
        <v>7.8</v>
      </c>
      <c r="Q107" s="405" t="n">
        <f aca="false">ROUND(IF(Dados!$J$65="SIM",P107*Dados!$N$65,P107),2)</f>
        <v>7.8</v>
      </c>
      <c r="R107" s="406" t="n">
        <f aca="false">ROUND(IF(Dados!$J$66="SIM",Q107*Dados!$N$66,Q107),2)</f>
        <v>7.8</v>
      </c>
    </row>
    <row r="108" customFormat="false" ht="19.4" hidden="false" customHeight="false" outlineLevel="0" collapsed="false">
      <c r="A108" s="119" t="n">
        <v>4</v>
      </c>
      <c r="B108" s="434" t="s">
        <v>582</v>
      </c>
      <c r="C108" s="412" t="s">
        <v>61</v>
      </c>
      <c r="D108" s="412" t="s">
        <v>583</v>
      </c>
      <c r="E108" s="399" t="n">
        <v>10</v>
      </c>
      <c r="F108" s="402" t="s">
        <v>442</v>
      </c>
      <c r="G108" s="400" t="n">
        <v>11.15</v>
      </c>
      <c r="H108" s="437"/>
      <c r="I108" s="86"/>
      <c r="J108" s="443" t="n">
        <f aca="false">'Ocorrências Mensais - FAT'!G137</f>
        <v>1.66666666666667</v>
      </c>
      <c r="K108" s="403" t="n">
        <f aca="false">G108*J108</f>
        <v>18.5833333333333</v>
      </c>
      <c r="M108" s="404"/>
      <c r="N108" s="405"/>
      <c r="O108" s="405"/>
      <c r="P108" s="405"/>
      <c r="Q108" s="405"/>
      <c r="R108" s="406"/>
    </row>
    <row r="109" customFormat="false" ht="28.35" hidden="false" customHeight="false" outlineLevel="0" collapsed="false">
      <c r="A109" s="119" t="n">
        <v>5</v>
      </c>
      <c r="B109" s="434" t="s">
        <v>584</v>
      </c>
      <c r="C109" s="412" t="s">
        <v>434</v>
      </c>
      <c r="D109" s="412" t="s">
        <v>585</v>
      </c>
      <c r="E109" s="399" t="n">
        <v>1</v>
      </c>
      <c r="F109" s="402" t="s">
        <v>460</v>
      </c>
      <c r="G109" s="400" t="n">
        <v>26.5</v>
      </c>
      <c r="H109" s="437"/>
      <c r="I109" s="86"/>
      <c r="J109" s="443" t="n">
        <f aca="false">'Ocorrências Mensais - FAT'!G138</f>
        <v>0.333333333333333</v>
      </c>
      <c r="K109" s="403" t="n">
        <f aca="false">G109*J109</f>
        <v>8.83333333333333</v>
      </c>
      <c r="M109" s="404" t="n">
        <v>24.15</v>
      </c>
      <c r="N109" s="405" t="n">
        <f aca="false">ROUND(IF(Dados!$J$62="SIM",M109*Dados!$N$62,M109),2)</f>
        <v>24.15</v>
      </c>
      <c r="O109" s="405" t="n">
        <f aca="false">ROUND(IF(Dados!$J$63="SIM",N109*Dados!$N$63,N109),2)</f>
        <v>24.15</v>
      </c>
      <c r="P109" s="405" t="n">
        <f aca="false">ROUND(IF(Dados!$J$64="SIM",O109*Dados!$N$64,O109),2)</f>
        <v>24.15</v>
      </c>
      <c r="Q109" s="405" t="n">
        <f aca="false">ROUND(IF(Dados!$J$65="SIM",P109*Dados!$N$65,P109),2)</f>
        <v>24.15</v>
      </c>
      <c r="R109" s="406" t="n">
        <f aca="false">ROUND(IF(Dados!$J$66="SIM",Q109*Dados!$N$66,Q109),2)</f>
        <v>24.15</v>
      </c>
    </row>
    <row r="110" customFormat="false" ht="19.4" hidden="false" customHeight="false" outlineLevel="0" collapsed="false">
      <c r="A110" s="119" t="n">
        <v>6</v>
      </c>
      <c r="B110" s="434" t="s">
        <v>586</v>
      </c>
      <c r="C110" s="412" t="s">
        <v>440</v>
      </c>
      <c r="D110" s="412" t="s">
        <v>581</v>
      </c>
      <c r="E110" s="399" t="n">
        <v>3</v>
      </c>
      <c r="F110" s="402" t="s">
        <v>436</v>
      </c>
      <c r="G110" s="400" t="n">
        <v>21.25</v>
      </c>
      <c r="H110" s="437"/>
      <c r="I110" s="86"/>
      <c r="J110" s="443" t="n">
        <f aca="false">'Ocorrências Mensais - FAT'!G139</f>
        <v>3</v>
      </c>
      <c r="K110" s="403" t="n">
        <f aca="false">G110*J110</f>
        <v>63.75</v>
      </c>
      <c r="M110" s="445" t="n">
        <v>8.44</v>
      </c>
      <c r="N110" s="446" t="n">
        <f aca="false">ROUND(IF(Dados!$J$62="SIM",M110*Dados!$N$62,M110),2)</f>
        <v>8.44</v>
      </c>
      <c r="O110" s="446" t="n">
        <f aca="false">ROUND(IF(Dados!$J$63="SIM",N110*Dados!$N$63,N110),2)</f>
        <v>8.44</v>
      </c>
      <c r="P110" s="446" t="n">
        <f aca="false">ROUND(IF(Dados!$J$64="SIM",O110*Dados!$N$64,O110),2)</f>
        <v>8.44</v>
      </c>
      <c r="Q110" s="446" t="n">
        <f aca="false">ROUND(IF(Dados!$J$65="SIM",P110*Dados!$N$65,P110),2)</f>
        <v>8.44</v>
      </c>
      <c r="R110" s="447" t="n">
        <f aca="false">ROUND(IF(Dados!$J$66="SIM",Q110*Dados!$N$66,Q110),2)</f>
        <v>8.44</v>
      </c>
    </row>
    <row r="111" customFormat="false" ht="15" hidden="false" customHeight="false" outlineLevel="0" collapsed="false">
      <c r="A111" s="422" t="s">
        <v>69</v>
      </c>
      <c r="B111" s="422"/>
      <c r="C111" s="422"/>
      <c r="D111" s="422"/>
      <c r="E111" s="422"/>
      <c r="F111" s="422"/>
      <c r="G111" s="422"/>
      <c r="H111" s="423"/>
      <c r="I111" s="86"/>
      <c r="J111" s="441" t="s">
        <v>207</v>
      </c>
      <c r="K111" s="442" t="n">
        <f aca="false">SUM(K105:K110)</f>
        <v>155.816666666667</v>
      </c>
    </row>
  </sheetData>
  <sheetProtection algorithmName="SHA-512" hashValue="+/BwmSWYoovpNwIY+4RScn4J4BaTweunyK+Mp/B+DeDo9BEKlRTfd/2+jLE6wuTds4fJ4WZ8dqQ0u2l6Peo52w==" saltValue="6PrO9XE8aSQ44D2nfQ5c/Q==" spinCount="100000" sheet="true" objects="true" scenarios="true"/>
  <mergeCells count="29">
    <mergeCell ref="A4:H4"/>
    <mergeCell ref="A5:H5"/>
    <mergeCell ref="A6:A8"/>
    <mergeCell ref="B6:D7"/>
    <mergeCell ref="H6:H8"/>
    <mergeCell ref="J7:K7"/>
    <mergeCell ref="M7:R7"/>
    <mergeCell ref="A62:G62"/>
    <mergeCell ref="A64:H64"/>
    <mergeCell ref="A66:A67"/>
    <mergeCell ref="B66:D66"/>
    <mergeCell ref="H66:H67"/>
    <mergeCell ref="J66:K66"/>
    <mergeCell ref="M66:R66"/>
    <mergeCell ref="A83:G83"/>
    <mergeCell ref="A85:H85"/>
    <mergeCell ref="A87:A88"/>
    <mergeCell ref="B87:D87"/>
    <mergeCell ref="H87:H88"/>
    <mergeCell ref="J87:K87"/>
    <mergeCell ref="M87:R87"/>
    <mergeCell ref="A99:G99"/>
    <mergeCell ref="A101:H101"/>
    <mergeCell ref="A103:A104"/>
    <mergeCell ref="B103:D103"/>
    <mergeCell ref="H103:H104"/>
    <mergeCell ref="J103:K103"/>
    <mergeCell ref="M103:R103"/>
    <mergeCell ref="A111:G111"/>
  </mergeCells>
  <dataValidations count="1">
    <dataValidation allowBlank="true" errorStyle="stop" operator="between" showDropDown="false" showErrorMessage="true" showInputMessage="true" sqref="F9:F61 F68:F82 F89:F98 F105:F110" type="list">
      <formula1>"Mensal,Bimestral,Trimestral,Quadrimestral,Semestral,Anual,Bienal"</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59"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64"/>
  <sheetViews>
    <sheetView showFormulas="false" showGridLines="true" showRowColHeaders="true" showZeros="true" rightToLeft="false" tabSelected="false" showOutlineSymbols="true" defaultGridColor="true" view="normal" topLeftCell="A64" colorId="64" zoomScale="100" zoomScaleNormal="100" zoomScalePageLayoutView="100" workbookViewId="0">
      <selection pane="topLeft" activeCell="H64" activeCellId="0" sqref="H64"/>
    </sheetView>
  </sheetViews>
  <sheetFormatPr defaultColWidth="9.00390625" defaultRowHeight="15" customHeight="true" zeroHeight="false" outlineLevelRow="0" outlineLevelCol="0"/>
  <cols>
    <col collapsed="false" customWidth="true" hidden="false" outlineLevel="0" max="1" min="1" style="448" width="14"/>
    <col collapsed="false" customWidth="true" hidden="false" outlineLevel="0" max="2" min="2" style="449" width="13.15"/>
    <col collapsed="false" customWidth="true" hidden="false" outlineLevel="0" max="3" min="3" style="450" width="6.14"/>
    <col collapsed="false" customWidth="true" hidden="false" outlineLevel="0" max="4" min="4" style="451" width="66.71"/>
    <col collapsed="false" customWidth="true" hidden="false" outlineLevel="0" max="5" min="5" style="452" width="8.86"/>
    <col collapsed="false" customWidth="true" hidden="false" outlineLevel="0" max="6" min="6" style="453" width="12.42"/>
    <col collapsed="false" customWidth="true" hidden="false" outlineLevel="0" max="7" min="7" style="454" width="12.42"/>
    <col collapsed="false" customWidth="true" hidden="false" outlineLevel="0" max="8" min="8" style="455" width="10.85"/>
    <col collapsed="false" customWidth="true" hidden="true" outlineLevel="0" max="11" min="11" style="0" width="11.57"/>
    <col collapsed="false" customWidth="true" hidden="true" outlineLevel="0" max="12" min="12" style="456" width="16.43"/>
    <col collapsed="false" customWidth="true" hidden="true" outlineLevel="0" max="17" min="13" style="456" width="11.29"/>
    <col collapsed="false" customWidth="true" hidden="true" outlineLevel="0" max="18" min="18" style="0" width="11.57"/>
    <col collapsed="false" customWidth="true" hidden="false" outlineLevel="0" max="257" min="257" style="0" width="13.29"/>
    <col collapsed="false" customWidth="true" hidden="false" outlineLevel="0" max="258" min="258" style="0" width="7.71"/>
    <col collapsed="false" customWidth="true" hidden="false" outlineLevel="0" max="259" min="259" style="0" width="6.14"/>
    <col collapsed="false" customWidth="true" hidden="false" outlineLevel="0" max="260" min="260" style="0" width="56.15"/>
    <col collapsed="false" customWidth="true" hidden="false" outlineLevel="0" max="261" min="261" style="0" width="9.29"/>
    <col collapsed="false" customWidth="true" hidden="false" outlineLevel="0" max="263" min="262" style="0" width="12.42"/>
    <col collapsed="false" customWidth="true" hidden="false" outlineLevel="0" max="264" min="264" style="0" width="10.85"/>
    <col collapsed="false" customWidth="true" hidden="false" outlineLevel="0" max="268" min="268" style="0" width="11.43"/>
    <col collapsed="false" customWidth="true" hidden="false" outlineLevel="0" max="273" min="269" style="0" width="11.29"/>
    <col collapsed="false" customWidth="true" hidden="false" outlineLevel="0" max="513" min="513" style="0" width="13.29"/>
    <col collapsed="false" customWidth="true" hidden="false" outlineLevel="0" max="514" min="514" style="0" width="7.71"/>
    <col collapsed="false" customWidth="true" hidden="false" outlineLevel="0" max="515" min="515" style="0" width="6.14"/>
    <col collapsed="false" customWidth="true" hidden="false" outlineLevel="0" max="516" min="516" style="0" width="56.15"/>
    <col collapsed="false" customWidth="true" hidden="false" outlineLevel="0" max="517" min="517" style="0" width="9.29"/>
    <col collapsed="false" customWidth="true" hidden="false" outlineLevel="0" max="519" min="518" style="0" width="12.42"/>
    <col collapsed="false" customWidth="true" hidden="false" outlineLevel="0" max="520" min="520" style="0" width="10.85"/>
    <col collapsed="false" customWidth="true" hidden="false" outlineLevel="0" max="524" min="524" style="0" width="11.43"/>
    <col collapsed="false" customWidth="true" hidden="false" outlineLevel="0" max="529" min="525" style="0" width="11.29"/>
    <col collapsed="false" customWidth="true" hidden="false" outlineLevel="0" max="769" min="769" style="0" width="13.29"/>
    <col collapsed="false" customWidth="true" hidden="false" outlineLevel="0" max="770" min="770" style="0" width="7.71"/>
    <col collapsed="false" customWidth="true" hidden="false" outlineLevel="0" max="771" min="771" style="0" width="6.14"/>
    <col collapsed="false" customWidth="true" hidden="false" outlineLevel="0" max="772" min="772" style="0" width="56.15"/>
    <col collapsed="false" customWidth="true" hidden="false" outlineLevel="0" max="773" min="773" style="0" width="9.29"/>
    <col collapsed="false" customWidth="true" hidden="false" outlineLevel="0" max="775" min="774" style="0" width="12.42"/>
    <col collapsed="false" customWidth="true" hidden="false" outlineLevel="0" max="776" min="776" style="0" width="10.85"/>
    <col collapsed="false" customWidth="true" hidden="false" outlineLevel="0" max="780" min="780" style="0" width="11.43"/>
    <col collapsed="false" customWidth="true" hidden="false" outlineLevel="0" max="785" min="781" style="0" width="11.29"/>
  </cols>
  <sheetData>
    <row r="1" s="452" customFormat="true" ht="18" hidden="false" customHeight="true" outlineLevel="0" collapsed="false">
      <c r="A1" s="457"/>
      <c r="B1" s="458" t="str">
        <f aca="false">INSTRUÇÕES!B1</f>
        <v>Tribunal Regional Federal da 6ª Região</v>
      </c>
      <c r="C1" s="459"/>
      <c r="D1" s="460"/>
      <c r="E1" s="461"/>
      <c r="F1" s="462"/>
      <c r="G1" s="463"/>
      <c r="H1" s="455"/>
      <c r="L1" s="464" t="s">
        <v>429</v>
      </c>
      <c r="M1" s="464"/>
      <c r="N1" s="464"/>
      <c r="O1" s="464"/>
      <c r="P1" s="464"/>
      <c r="Q1" s="464"/>
    </row>
    <row r="2" s="469" customFormat="true" ht="17.25" hidden="false" customHeight="true" outlineLevel="0" collapsed="false">
      <c r="A2" s="465"/>
      <c r="B2" s="466" t="str">
        <f aca="false">INSTRUÇÕES!B2</f>
        <v>Seção Judiciária de Minas Gerais</v>
      </c>
      <c r="C2" s="467"/>
      <c r="D2" s="468"/>
      <c r="F2" s="450"/>
      <c r="G2" s="470"/>
      <c r="H2" s="471"/>
      <c r="L2" s="464"/>
      <c r="M2" s="464"/>
      <c r="N2" s="464"/>
      <c r="O2" s="464"/>
      <c r="P2" s="464"/>
      <c r="Q2" s="464"/>
    </row>
    <row r="3" s="476" customFormat="true" ht="18" hidden="false" customHeight="true" outlineLevel="0" collapsed="false">
      <c r="A3" s="472"/>
      <c r="B3" s="473" t="str">
        <f aca="false">INSTRUÇÕES!B3</f>
        <v>Subseção Judiciária de Uberlândia</v>
      </c>
      <c r="C3" s="474"/>
      <c r="D3" s="475"/>
      <c r="F3" s="477"/>
      <c r="G3" s="478"/>
      <c r="H3" s="479"/>
      <c r="L3" s="464"/>
      <c r="M3" s="464"/>
      <c r="N3" s="464"/>
      <c r="O3" s="464"/>
      <c r="P3" s="464"/>
      <c r="Q3" s="464"/>
    </row>
    <row r="4" s="315" customFormat="true" ht="21.75" hidden="false" customHeight="true" outlineLevel="0" collapsed="false">
      <c r="A4" s="317" t="s">
        <v>587</v>
      </c>
      <c r="B4" s="317"/>
      <c r="C4" s="317"/>
      <c r="D4" s="317"/>
      <c r="E4" s="317"/>
      <c r="F4" s="317"/>
      <c r="G4" s="317"/>
      <c r="H4" s="317"/>
      <c r="L4" s="464"/>
      <c r="M4" s="464"/>
      <c r="N4" s="464"/>
      <c r="O4" s="464"/>
      <c r="P4" s="464"/>
      <c r="Q4" s="464"/>
    </row>
    <row r="5" s="452" customFormat="true" ht="27" hidden="false" customHeight="true" outlineLevel="0" collapsed="false">
      <c r="A5" s="480" t="s">
        <v>389</v>
      </c>
      <c r="B5" s="480"/>
      <c r="C5" s="480"/>
      <c r="D5" s="480"/>
      <c r="E5" s="480"/>
      <c r="F5" s="480"/>
      <c r="G5" s="480"/>
      <c r="H5" s="480"/>
      <c r="L5" s="481" t="s">
        <v>432</v>
      </c>
      <c r="M5" s="77" t="s">
        <v>296</v>
      </c>
      <c r="N5" s="77" t="s">
        <v>297</v>
      </c>
      <c r="O5" s="77" t="s">
        <v>298</v>
      </c>
      <c r="P5" s="77" t="s">
        <v>299</v>
      </c>
      <c r="Q5" s="77" t="s">
        <v>300</v>
      </c>
    </row>
    <row r="6" s="452" customFormat="true" ht="15.75" hidden="false" customHeight="true" outlineLevel="0" collapsed="false">
      <c r="A6" s="482" t="s">
        <v>588</v>
      </c>
      <c r="B6" s="482"/>
      <c r="C6" s="482"/>
      <c r="D6" s="482"/>
      <c r="E6" s="482"/>
      <c r="F6" s="482"/>
      <c r="G6" s="482"/>
      <c r="H6" s="482"/>
      <c r="J6" s="469"/>
      <c r="L6" s="481"/>
      <c r="M6" s="77"/>
      <c r="N6" s="77"/>
      <c r="O6" s="77"/>
      <c r="P6" s="77"/>
      <c r="Q6" s="77"/>
    </row>
    <row r="7" s="452" customFormat="true" ht="3" hidden="false" customHeight="true" outlineLevel="0" collapsed="false">
      <c r="A7" s="483"/>
      <c r="B7" s="484"/>
      <c r="C7" s="450"/>
      <c r="D7" s="451"/>
      <c r="E7" s="484"/>
      <c r="F7" s="450"/>
      <c r="G7" s="470"/>
      <c r="H7" s="471"/>
      <c r="J7" s="469"/>
      <c r="L7" s="481"/>
      <c r="M7" s="77"/>
      <c r="N7" s="77"/>
      <c r="O7" s="77"/>
      <c r="P7" s="77"/>
      <c r="Q7" s="77"/>
    </row>
    <row r="8" s="452" customFormat="true" ht="19.4" hidden="false" customHeight="false" outlineLevel="0" collapsed="false">
      <c r="A8" s="485" t="s">
        <v>589</v>
      </c>
      <c r="B8" s="486" t="s">
        <v>275</v>
      </c>
      <c r="C8" s="487" t="s">
        <v>590</v>
      </c>
      <c r="D8" s="486" t="s">
        <v>591</v>
      </c>
      <c r="E8" s="488" t="s">
        <v>592</v>
      </c>
      <c r="F8" s="489" t="s">
        <v>593</v>
      </c>
      <c r="G8" s="490" t="s">
        <v>594</v>
      </c>
      <c r="H8" s="491" t="s">
        <v>207</v>
      </c>
      <c r="J8" s="469"/>
      <c r="K8" s="469"/>
      <c r="L8" s="481"/>
      <c r="M8" s="77"/>
      <c r="N8" s="77"/>
      <c r="O8" s="77"/>
      <c r="P8" s="77"/>
      <c r="Q8" s="77"/>
      <c r="R8" s="226" t="s">
        <v>595</v>
      </c>
    </row>
    <row r="9" s="469" customFormat="true" ht="46.25" hidden="false" customHeight="false" outlineLevel="0" collapsed="false">
      <c r="A9" s="492" t="s">
        <v>199</v>
      </c>
      <c r="B9" s="414" t="s">
        <v>596</v>
      </c>
      <c r="C9" s="493" t="n">
        <v>2</v>
      </c>
      <c r="D9" s="494" t="s">
        <v>597</v>
      </c>
      <c r="E9" s="495" t="s">
        <v>598</v>
      </c>
      <c r="F9" s="365" t="n">
        <f aca="false">C9*$A$11</f>
        <v>22</v>
      </c>
      <c r="G9" s="496" t="n">
        <v>79.95</v>
      </c>
      <c r="H9" s="368" t="n">
        <f aca="false">ROUND(F9*G9,2)</f>
        <v>1758.9</v>
      </c>
      <c r="L9" s="497" t="n">
        <v>61.59</v>
      </c>
      <c r="M9" s="405" t="n">
        <f aca="false">ROUND(IF(Dados!$I$66="SIM",L9*Dados!$N$66,L9),2)</f>
        <v>61.59</v>
      </c>
      <c r="N9" s="405" t="n">
        <f aca="false">ROUND(IF(Dados!$I$67="SIM",M9*Dados!$N$67,M9),2)</f>
        <v>61.59</v>
      </c>
      <c r="O9" s="405" t="n">
        <f aca="false">ROUND(IF(Dados!$I$68="SIM",N9*Dados!$N$68,N9),2)</f>
        <v>61.59</v>
      </c>
      <c r="P9" s="405" t="n">
        <f aca="false">ROUND(IF(Dados!$I$69="SIM",O9*Dados!$N$69,O9),2)</f>
        <v>61.59</v>
      </c>
      <c r="Q9" s="405" t="n">
        <f aca="false">ROUND(IF(Dados!$I$70="SIM",P9*Dados!$N$70,P9),2)</f>
        <v>61.59</v>
      </c>
      <c r="R9" s="4" t="n">
        <f aca="false">IF(Dados!$D$73="INICIAL",L9,IF(Dados!$D$73="1º IPCA",M9,IF(Dados!$D$73="2º IPCA",N9,IF(Dados!$D$73="3º IPCA",O9,IF(Dados!$D$73="4º IPCA",P9,IF(Dados!$D$73="5º IPCA",Q9,))))))</f>
        <v>61.59</v>
      </c>
    </row>
    <row r="10" s="469" customFormat="true" ht="28.35" hidden="false" customHeight="false" outlineLevel="0" collapsed="false">
      <c r="A10" s="498" t="s">
        <v>599</v>
      </c>
      <c r="B10" s="414" t="s">
        <v>600</v>
      </c>
      <c r="C10" s="493" t="n">
        <v>3</v>
      </c>
      <c r="D10" s="499" t="s">
        <v>601</v>
      </c>
      <c r="E10" s="495" t="s">
        <v>602</v>
      </c>
      <c r="F10" s="365" t="n">
        <f aca="false">C10*$A$11</f>
        <v>33</v>
      </c>
      <c r="G10" s="496" t="n">
        <v>32.65</v>
      </c>
      <c r="H10" s="368" t="n">
        <f aca="false">ROUND(F10*G10,2)</f>
        <v>1077.45</v>
      </c>
      <c r="L10" s="497"/>
      <c r="M10" s="405"/>
      <c r="N10" s="405"/>
      <c r="O10" s="405"/>
      <c r="P10" s="405"/>
      <c r="Q10" s="405"/>
      <c r="R10" s="4"/>
    </row>
    <row r="11" s="469" customFormat="true" ht="19.4" hidden="false" customHeight="false" outlineLevel="0" collapsed="false">
      <c r="A11" s="500" t="n">
        <f aca="false">Dados!B10+Dados!B12+Dados!B13</f>
        <v>11</v>
      </c>
      <c r="B11" s="414" t="s">
        <v>603</v>
      </c>
      <c r="C11" s="493" t="n">
        <v>1</v>
      </c>
      <c r="D11" s="501" t="s">
        <v>604</v>
      </c>
      <c r="E11" s="495" t="s">
        <v>605</v>
      </c>
      <c r="F11" s="365" t="n">
        <f aca="false">C11*$A$11</f>
        <v>11</v>
      </c>
      <c r="G11" s="496" t="n">
        <v>76.16</v>
      </c>
      <c r="H11" s="368" t="n">
        <f aca="false">ROUND(F11*G11,2)</f>
        <v>837.76</v>
      </c>
      <c r="L11" s="497" t="n">
        <v>50.85</v>
      </c>
      <c r="M11" s="405" t="n">
        <f aca="false">ROUND(IF(Dados!$I$66="SIM",L11*Dados!$N$66,L11),2)</f>
        <v>50.85</v>
      </c>
      <c r="N11" s="405" t="n">
        <f aca="false">ROUND(IF(Dados!$I$67="SIM",M11*Dados!$N$67,M11),2)</f>
        <v>50.85</v>
      </c>
      <c r="O11" s="405" t="n">
        <f aca="false">ROUND(IF(Dados!$I$68="SIM",N11*Dados!$N$68,N11),2)</f>
        <v>50.85</v>
      </c>
      <c r="P11" s="405" t="n">
        <f aca="false">ROUND(IF(Dados!$I$69="SIM",O11*Dados!$N$69,O11),2)</f>
        <v>50.85</v>
      </c>
      <c r="Q11" s="405" t="n">
        <f aca="false">ROUND(IF(Dados!$I$70="SIM",P11*Dados!$N$70,P11),2)</f>
        <v>50.85</v>
      </c>
      <c r="R11" s="4" t="n">
        <f aca="false">IF(Dados!$D$73="INICIAL",L11,IF(Dados!$D$73="1º IPCA",M11,IF(Dados!$D$73="2º IPCA",N11,IF(Dados!$D$73="3º IPCA",O11,IF(Dados!$D$73="4º IPCA",P11,IF(Dados!$D$73="5º IPCA",Q11,))))))</f>
        <v>50.85</v>
      </c>
    </row>
    <row r="12" s="469" customFormat="true" ht="15" hidden="false" customHeight="false" outlineLevel="0" collapsed="false">
      <c r="A12" s="502" t="s">
        <v>606</v>
      </c>
      <c r="B12" s="502"/>
      <c r="C12" s="502"/>
      <c r="D12" s="502"/>
      <c r="E12" s="502"/>
      <c r="F12" s="502"/>
      <c r="G12" s="502"/>
      <c r="H12" s="503" t="n">
        <f aca="false">SUM(H9:H11)</f>
        <v>3674.11</v>
      </c>
      <c r="L12" s="448"/>
      <c r="M12" s="448"/>
      <c r="N12" s="448"/>
      <c r="O12" s="448"/>
      <c r="P12" s="448"/>
      <c r="Q12" s="448"/>
    </row>
    <row r="13" s="469" customFormat="true" ht="15" hidden="false" customHeight="false" outlineLevel="0" collapsed="false">
      <c r="A13" s="504" t="s">
        <v>607</v>
      </c>
      <c r="B13" s="504"/>
      <c r="C13" s="504"/>
      <c r="D13" s="504"/>
      <c r="E13" s="504"/>
      <c r="F13" s="504"/>
      <c r="G13" s="505"/>
      <c r="H13" s="506" t="n">
        <f aca="false">ROUND(H12/$A$11/12,2)</f>
        <v>27.83</v>
      </c>
      <c r="L13" s="448"/>
      <c r="M13" s="448"/>
      <c r="N13" s="448"/>
      <c r="O13" s="448"/>
      <c r="P13" s="448"/>
      <c r="Q13" s="448"/>
    </row>
    <row r="14" s="469" customFormat="true" ht="15" hidden="false" customHeight="false" outlineLevel="0" collapsed="false">
      <c r="A14" s="507"/>
      <c r="B14" s="508"/>
      <c r="C14" s="508"/>
      <c r="D14" s="508"/>
      <c r="E14" s="508"/>
      <c r="F14" s="508"/>
      <c r="G14" s="509"/>
      <c r="H14" s="510"/>
      <c r="L14" s="448"/>
      <c r="M14" s="448"/>
      <c r="N14" s="448"/>
      <c r="O14" s="448"/>
      <c r="P14" s="448"/>
      <c r="Q14" s="448"/>
    </row>
    <row r="15" s="469" customFormat="true" ht="19.4" hidden="false" customHeight="false" outlineLevel="0" collapsed="false">
      <c r="A15" s="485" t="s">
        <v>589</v>
      </c>
      <c r="B15" s="486" t="s">
        <v>275</v>
      </c>
      <c r="C15" s="487" t="s">
        <v>590</v>
      </c>
      <c r="D15" s="486" t="s">
        <v>591</v>
      </c>
      <c r="E15" s="488" t="s">
        <v>592</v>
      </c>
      <c r="F15" s="489" t="s">
        <v>593</v>
      </c>
      <c r="G15" s="490" t="s">
        <v>594</v>
      </c>
      <c r="H15" s="491" t="s">
        <v>207</v>
      </c>
      <c r="L15" s="448"/>
      <c r="M15" s="448"/>
      <c r="N15" s="448"/>
      <c r="O15" s="448"/>
      <c r="P15" s="448"/>
      <c r="Q15" s="448"/>
    </row>
    <row r="16" s="469" customFormat="true" ht="46.25" hidden="false" customHeight="true" outlineLevel="0" collapsed="false">
      <c r="A16" s="492" t="s">
        <v>198</v>
      </c>
      <c r="B16" s="414" t="s">
        <v>596</v>
      </c>
      <c r="C16" s="493" t="n">
        <v>2</v>
      </c>
      <c r="D16" s="494" t="s">
        <v>597</v>
      </c>
      <c r="E16" s="495" t="s">
        <v>598</v>
      </c>
      <c r="F16" s="365" t="n">
        <f aca="false">C16*$A$20</f>
        <v>2</v>
      </c>
      <c r="G16" s="496" t="n">
        <v>79.95</v>
      </c>
      <c r="H16" s="368" t="n">
        <f aca="false">ROUND(F16*G16,2)</f>
        <v>159.9</v>
      </c>
      <c r="L16" s="448"/>
      <c r="M16" s="448"/>
      <c r="N16" s="448"/>
      <c r="O16" s="448"/>
      <c r="P16" s="448"/>
      <c r="Q16" s="448"/>
    </row>
    <row r="17" s="469" customFormat="true" ht="28.35" hidden="false" customHeight="false" outlineLevel="0" collapsed="false">
      <c r="A17" s="492"/>
      <c r="B17" s="414" t="s">
        <v>600</v>
      </c>
      <c r="C17" s="493" t="n">
        <v>3</v>
      </c>
      <c r="D17" s="499" t="s">
        <v>601</v>
      </c>
      <c r="E17" s="495" t="s">
        <v>602</v>
      </c>
      <c r="F17" s="365" t="n">
        <f aca="false">C17*$A$20</f>
        <v>3</v>
      </c>
      <c r="G17" s="496" t="n">
        <v>32.65</v>
      </c>
      <c r="H17" s="368" t="n">
        <f aca="false">ROUND(F17*G17,2)</f>
        <v>97.95</v>
      </c>
      <c r="L17" s="448"/>
      <c r="M17" s="448"/>
      <c r="N17" s="448"/>
      <c r="O17" s="448"/>
      <c r="P17" s="448"/>
      <c r="Q17" s="448"/>
    </row>
    <row r="18" s="469" customFormat="true" ht="37.3" hidden="false" customHeight="false" outlineLevel="0" collapsed="false">
      <c r="A18" s="492"/>
      <c r="B18" s="414" t="s">
        <v>608</v>
      </c>
      <c r="C18" s="493" t="n">
        <v>1</v>
      </c>
      <c r="D18" s="499" t="s">
        <v>609</v>
      </c>
      <c r="E18" s="495" t="s">
        <v>610</v>
      </c>
      <c r="F18" s="365" t="n">
        <f aca="false">C18*$A$20</f>
        <v>1</v>
      </c>
      <c r="G18" s="496" t="n">
        <v>13.47</v>
      </c>
      <c r="H18" s="368" t="n">
        <f aca="false">ROUND(F18*G18,2)</f>
        <v>13.47</v>
      </c>
      <c r="L18" s="448"/>
      <c r="M18" s="448"/>
      <c r="N18" s="448"/>
      <c r="O18" s="448"/>
      <c r="P18" s="448"/>
      <c r="Q18" s="448"/>
    </row>
    <row r="19" s="469" customFormat="true" ht="28.35" hidden="false" customHeight="false" outlineLevel="0" collapsed="false">
      <c r="A19" s="498" t="s">
        <v>599</v>
      </c>
      <c r="B19" s="414" t="s">
        <v>611</v>
      </c>
      <c r="C19" s="493" t="n">
        <v>1</v>
      </c>
      <c r="D19" s="499" t="s">
        <v>612</v>
      </c>
      <c r="E19" s="495" t="s">
        <v>613</v>
      </c>
      <c r="F19" s="365" t="n">
        <f aca="false">C19*$A$20</f>
        <v>1</v>
      </c>
      <c r="G19" s="496" t="n">
        <v>26.72</v>
      </c>
      <c r="H19" s="368" t="n">
        <f aca="false">ROUND(F19*G19,2)</f>
        <v>26.72</v>
      </c>
      <c r="L19" s="448"/>
      <c r="M19" s="448"/>
      <c r="N19" s="448"/>
      <c r="O19" s="448"/>
      <c r="P19" s="448"/>
      <c r="Q19" s="448"/>
    </row>
    <row r="20" s="469" customFormat="true" ht="19.4" hidden="false" customHeight="false" outlineLevel="0" collapsed="false">
      <c r="A20" s="500" t="n">
        <f aca="false">Dados!B11</f>
        <v>1</v>
      </c>
      <c r="B20" s="414" t="s">
        <v>603</v>
      </c>
      <c r="C20" s="493" t="n">
        <v>1</v>
      </c>
      <c r="D20" s="501" t="s">
        <v>604</v>
      </c>
      <c r="E20" s="495" t="s">
        <v>605</v>
      </c>
      <c r="F20" s="365" t="n">
        <f aca="false">C20*$A$20</f>
        <v>1</v>
      </c>
      <c r="G20" s="496" t="n">
        <v>76.16</v>
      </c>
      <c r="H20" s="368" t="n">
        <f aca="false">ROUND(F20*G20,2)</f>
        <v>76.16</v>
      </c>
      <c r="L20" s="448"/>
      <c r="M20" s="448"/>
      <c r="N20" s="448"/>
      <c r="O20" s="448"/>
      <c r="P20" s="448"/>
      <c r="Q20" s="448"/>
    </row>
    <row r="21" s="469" customFormat="true" ht="15" hidden="false" customHeight="false" outlineLevel="0" collapsed="false">
      <c r="A21" s="502" t="s">
        <v>606</v>
      </c>
      <c r="B21" s="502"/>
      <c r="C21" s="502"/>
      <c r="D21" s="502"/>
      <c r="E21" s="502"/>
      <c r="F21" s="502"/>
      <c r="G21" s="502"/>
      <c r="H21" s="503" t="n">
        <f aca="false">SUM(H16:H20)</f>
        <v>374.2</v>
      </c>
      <c r="L21" s="448"/>
      <c r="M21" s="448"/>
      <c r="N21" s="448"/>
      <c r="O21" s="448"/>
      <c r="P21" s="448"/>
      <c r="Q21" s="448"/>
    </row>
    <row r="22" s="469" customFormat="true" ht="15" hidden="false" customHeight="false" outlineLevel="0" collapsed="false">
      <c r="A22" s="504" t="s">
        <v>614</v>
      </c>
      <c r="B22" s="504"/>
      <c r="C22" s="504"/>
      <c r="D22" s="504"/>
      <c r="E22" s="504"/>
      <c r="F22" s="504"/>
      <c r="G22" s="505"/>
      <c r="H22" s="506" t="n">
        <f aca="false">ROUND(H21/$A$20/12,2)</f>
        <v>31.18</v>
      </c>
      <c r="L22" s="448"/>
      <c r="M22" s="448"/>
      <c r="N22" s="448"/>
      <c r="O22" s="448"/>
      <c r="P22" s="448"/>
      <c r="Q22" s="448"/>
    </row>
    <row r="23" s="469" customFormat="true" ht="15" hidden="false" customHeight="false" outlineLevel="0" collapsed="false">
      <c r="A23" s="507"/>
      <c r="B23" s="508"/>
      <c r="C23" s="508"/>
      <c r="D23" s="508"/>
      <c r="E23" s="508"/>
      <c r="F23" s="508"/>
      <c r="G23" s="509"/>
      <c r="H23" s="510"/>
      <c r="L23" s="448"/>
      <c r="M23" s="448"/>
      <c r="N23" s="448"/>
      <c r="O23" s="448"/>
      <c r="P23" s="448"/>
      <c r="Q23" s="448"/>
    </row>
    <row r="24" s="469" customFormat="true" ht="19.4" hidden="false" customHeight="false" outlineLevel="0" collapsed="false">
      <c r="A24" s="485" t="s">
        <v>589</v>
      </c>
      <c r="B24" s="486" t="s">
        <v>275</v>
      </c>
      <c r="C24" s="487" t="s">
        <v>590</v>
      </c>
      <c r="D24" s="486" t="s">
        <v>591</v>
      </c>
      <c r="E24" s="488" t="s">
        <v>592</v>
      </c>
      <c r="F24" s="489" t="s">
        <v>593</v>
      </c>
      <c r="G24" s="490" t="s">
        <v>594</v>
      </c>
      <c r="H24" s="491" t="s">
        <v>207</v>
      </c>
      <c r="L24" s="448"/>
      <c r="M24" s="448"/>
      <c r="N24" s="448"/>
      <c r="O24" s="448"/>
      <c r="P24" s="448"/>
      <c r="Q24" s="448"/>
    </row>
    <row r="25" s="469" customFormat="true" ht="46.25" hidden="false" customHeight="true" outlineLevel="0" collapsed="false">
      <c r="A25" s="492" t="s">
        <v>615</v>
      </c>
      <c r="B25" s="414" t="s">
        <v>596</v>
      </c>
      <c r="C25" s="493" t="n">
        <v>2</v>
      </c>
      <c r="D25" s="494" t="s">
        <v>597</v>
      </c>
      <c r="E25" s="495" t="s">
        <v>598</v>
      </c>
      <c r="F25" s="365" t="n">
        <f aca="false">C25*$A$29</f>
        <v>2</v>
      </c>
      <c r="G25" s="496" t="n">
        <v>79.95</v>
      </c>
      <c r="H25" s="368" t="n">
        <f aca="false">ROUND(F25*G25,2)</f>
        <v>159.9</v>
      </c>
      <c r="L25" s="448"/>
      <c r="M25" s="448"/>
      <c r="N25" s="448"/>
      <c r="O25" s="448"/>
      <c r="P25" s="448"/>
      <c r="Q25" s="448"/>
    </row>
    <row r="26" s="469" customFormat="true" ht="28.35" hidden="false" customHeight="false" outlineLevel="0" collapsed="false">
      <c r="A26" s="492"/>
      <c r="B26" s="414" t="s">
        <v>600</v>
      </c>
      <c r="C26" s="493" t="n">
        <v>3</v>
      </c>
      <c r="D26" s="499" t="s">
        <v>601</v>
      </c>
      <c r="E26" s="495" t="s">
        <v>602</v>
      </c>
      <c r="F26" s="365" t="n">
        <f aca="false">C26*$A$29</f>
        <v>3</v>
      </c>
      <c r="G26" s="496" t="n">
        <v>32.65</v>
      </c>
      <c r="H26" s="368" t="n">
        <f aca="false">ROUND(F26*G26,2)</f>
        <v>97.95</v>
      </c>
      <c r="L26" s="448"/>
      <c r="M26" s="448"/>
      <c r="N26" s="448"/>
      <c r="O26" s="448"/>
      <c r="P26" s="448"/>
      <c r="Q26" s="448"/>
    </row>
    <row r="27" s="469" customFormat="true" ht="37.3" hidden="false" customHeight="false" outlineLevel="0" collapsed="false">
      <c r="A27" s="492"/>
      <c r="B27" s="414" t="s">
        <v>608</v>
      </c>
      <c r="C27" s="493" t="n">
        <v>1</v>
      </c>
      <c r="D27" s="499" t="s">
        <v>609</v>
      </c>
      <c r="E27" s="495" t="s">
        <v>610</v>
      </c>
      <c r="F27" s="365" t="n">
        <f aca="false">C27*$A$29</f>
        <v>1</v>
      </c>
      <c r="G27" s="496" t="n">
        <v>13.47</v>
      </c>
      <c r="H27" s="368" t="n">
        <f aca="false">ROUND(F27*G27,2)</f>
        <v>13.47</v>
      </c>
      <c r="L27" s="448"/>
      <c r="M27" s="448"/>
      <c r="N27" s="448"/>
      <c r="O27" s="448"/>
      <c r="P27" s="448"/>
      <c r="Q27" s="448"/>
    </row>
    <row r="28" s="469" customFormat="true" ht="28.35" hidden="false" customHeight="false" outlineLevel="0" collapsed="false">
      <c r="A28" s="498" t="s">
        <v>599</v>
      </c>
      <c r="B28" s="414" t="s">
        <v>611</v>
      </c>
      <c r="C28" s="493" t="n">
        <v>1</v>
      </c>
      <c r="D28" s="499" t="s">
        <v>612</v>
      </c>
      <c r="E28" s="495" t="s">
        <v>613</v>
      </c>
      <c r="F28" s="365" t="n">
        <f aca="false">C28*$A$29</f>
        <v>1</v>
      </c>
      <c r="G28" s="496" t="n">
        <v>26.72</v>
      </c>
      <c r="H28" s="368" t="n">
        <f aca="false">ROUND(F28*G28,2)</f>
        <v>26.72</v>
      </c>
      <c r="L28" s="448"/>
      <c r="M28" s="448"/>
      <c r="N28" s="448"/>
      <c r="O28" s="448"/>
      <c r="P28" s="448"/>
      <c r="Q28" s="448"/>
    </row>
    <row r="29" s="469" customFormat="true" ht="19.4" hidden="false" customHeight="false" outlineLevel="0" collapsed="false">
      <c r="A29" s="500" t="n">
        <f aca="false">Dados!B14</f>
        <v>1</v>
      </c>
      <c r="B29" s="414" t="s">
        <v>603</v>
      </c>
      <c r="C29" s="493" t="n">
        <v>1</v>
      </c>
      <c r="D29" s="501" t="s">
        <v>604</v>
      </c>
      <c r="E29" s="495" t="s">
        <v>605</v>
      </c>
      <c r="F29" s="365" t="n">
        <f aca="false">C29*$A$29</f>
        <v>1</v>
      </c>
      <c r="G29" s="496" t="n">
        <v>76.16</v>
      </c>
      <c r="H29" s="368" t="n">
        <f aca="false">ROUND(F29*G29,2)</f>
        <v>76.16</v>
      </c>
      <c r="L29" s="448"/>
      <c r="M29" s="448"/>
      <c r="N29" s="448"/>
      <c r="O29" s="448"/>
      <c r="P29" s="448"/>
      <c r="Q29" s="448"/>
    </row>
    <row r="30" s="469" customFormat="true" ht="15" hidden="false" customHeight="false" outlineLevel="0" collapsed="false">
      <c r="A30" s="502" t="s">
        <v>606</v>
      </c>
      <c r="B30" s="502"/>
      <c r="C30" s="502"/>
      <c r="D30" s="502"/>
      <c r="E30" s="502"/>
      <c r="F30" s="502"/>
      <c r="G30" s="502"/>
      <c r="H30" s="503" t="n">
        <f aca="false">SUM(H25:H29)</f>
        <v>374.2</v>
      </c>
      <c r="L30" s="448"/>
      <c r="M30" s="448"/>
      <c r="N30" s="448"/>
      <c r="O30" s="448"/>
      <c r="P30" s="448"/>
      <c r="Q30" s="448"/>
    </row>
    <row r="31" s="469" customFormat="true" ht="15" hidden="false" customHeight="false" outlineLevel="0" collapsed="false">
      <c r="A31" s="504" t="s">
        <v>616</v>
      </c>
      <c r="B31" s="504"/>
      <c r="C31" s="504"/>
      <c r="D31" s="504"/>
      <c r="E31" s="504"/>
      <c r="F31" s="504"/>
      <c r="G31" s="505"/>
      <c r="H31" s="506" t="n">
        <f aca="false">ROUND(H30/$A$29/12,2)</f>
        <v>31.18</v>
      </c>
      <c r="L31" s="448"/>
      <c r="M31" s="448"/>
      <c r="N31" s="448"/>
      <c r="O31" s="448"/>
      <c r="P31" s="448"/>
      <c r="Q31" s="448"/>
    </row>
    <row r="32" s="469" customFormat="true" ht="26.25" hidden="false" customHeight="true" outlineLevel="0" collapsed="false">
      <c r="A32" s="511"/>
      <c r="B32" s="512"/>
      <c r="C32" s="513"/>
      <c r="D32" s="514"/>
      <c r="E32" s="515"/>
      <c r="F32" s="513"/>
      <c r="G32" s="516"/>
      <c r="H32" s="517"/>
      <c r="L32" s="448"/>
      <c r="M32" s="448"/>
      <c r="N32" s="448"/>
      <c r="O32" s="448"/>
      <c r="P32" s="448"/>
      <c r="Q32" s="448"/>
    </row>
    <row r="33" s="469" customFormat="true" ht="25.5" hidden="false" customHeight="true" outlineLevel="0" collapsed="false">
      <c r="A33" s="485" t="s">
        <v>589</v>
      </c>
      <c r="B33" s="486" t="s">
        <v>275</v>
      </c>
      <c r="C33" s="487" t="s">
        <v>590</v>
      </c>
      <c r="D33" s="486" t="s">
        <v>591</v>
      </c>
      <c r="E33" s="488" t="s">
        <v>592</v>
      </c>
      <c r="F33" s="489" t="s">
        <v>593</v>
      </c>
      <c r="G33" s="490" t="s">
        <v>594</v>
      </c>
      <c r="H33" s="491" t="s">
        <v>207</v>
      </c>
      <c r="L33" s="518" t="s">
        <v>432</v>
      </c>
      <c r="M33" s="519" t="s">
        <v>296</v>
      </c>
      <c r="N33" s="519" t="s">
        <v>297</v>
      </c>
      <c r="O33" s="519" t="s">
        <v>298</v>
      </c>
      <c r="P33" s="519" t="s">
        <v>299</v>
      </c>
      <c r="Q33" s="519" t="s">
        <v>300</v>
      </c>
    </row>
    <row r="34" s="469" customFormat="true" ht="216" hidden="false" customHeight="true" outlineLevel="0" collapsed="false">
      <c r="A34" s="492" t="s">
        <v>194</v>
      </c>
      <c r="B34" s="414" t="s">
        <v>596</v>
      </c>
      <c r="C34" s="520" t="n">
        <v>2</v>
      </c>
      <c r="D34" s="499" t="s">
        <v>617</v>
      </c>
      <c r="E34" s="495" t="s">
        <v>613</v>
      </c>
      <c r="F34" s="521" t="n">
        <f aca="false">C34*$A$36</f>
        <v>26</v>
      </c>
      <c r="G34" s="522" t="n">
        <v>94.78</v>
      </c>
      <c r="H34" s="368" t="n">
        <f aca="false">ROUND(F34*G34,2)</f>
        <v>2464.28</v>
      </c>
      <c r="L34" s="518"/>
      <c r="M34" s="519"/>
      <c r="N34" s="519"/>
      <c r="O34" s="519"/>
      <c r="P34" s="519"/>
      <c r="Q34" s="519"/>
    </row>
    <row r="35" s="469" customFormat="true" ht="231" hidden="false" customHeight="true" outlineLevel="0" collapsed="false">
      <c r="A35" s="523" t="s">
        <v>599</v>
      </c>
      <c r="B35" s="414" t="s">
        <v>600</v>
      </c>
      <c r="C35" s="520" t="n">
        <v>3</v>
      </c>
      <c r="D35" s="499" t="s">
        <v>618</v>
      </c>
      <c r="E35" s="495" t="s">
        <v>619</v>
      </c>
      <c r="F35" s="521" t="n">
        <f aca="false">C35*$A$36</f>
        <v>39</v>
      </c>
      <c r="G35" s="522" t="n">
        <v>102.59</v>
      </c>
      <c r="H35" s="368" t="n">
        <f aca="false">ROUND(F35*G35,2)</f>
        <v>4001.01</v>
      </c>
      <c r="L35" s="518"/>
      <c r="M35" s="519"/>
      <c r="N35" s="519"/>
      <c r="O35" s="519"/>
      <c r="P35" s="519"/>
      <c r="Q35" s="519"/>
    </row>
    <row r="36" s="469" customFormat="true" ht="90" hidden="false" customHeight="true" outlineLevel="0" collapsed="false">
      <c r="A36" s="500" t="n">
        <f aca="false">Dados!B7+Dados!B8</f>
        <v>13</v>
      </c>
      <c r="B36" s="414" t="s">
        <v>603</v>
      </c>
      <c r="C36" s="520" t="n">
        <v>1</v>
      </c>
      <c r="D36" s="524" t="s">
        <v>620</v>
      </c>
      <c r="E36" s="121" t="s">
        <v>613</v>
      </c>
      <c r="F36" s="521" t="n">
        <f aca="false">C36*$A$36</f>
        <v>13</v>
      </c>
      <c r="G36" s="525" t="n">
        <v>102.17</v>
      </c>
      <c r="H36" s="368" t="n">
        <f aca="false">ROUND(F36*G36,2)</f>
        <v>1328.21</v>
      </c>
      <c r="L36" s="497" t="n">
        <v>16.41</v>
      </c>
      <c r="M36" s="405" t="n">
        <f aca="false">ROUND(IF(Dados!$I$66="SIM",L36*Dados!$N$66,L36),2)</f>
        <v>16.41</v>
      </c>
      <c r="N36" s="405" t="n">
        <f aca="false">ROUND(IF(Dados!$I$67="SIM",M36*Dados!$N$67,M36),2)</f>
        <v>16.41</v>
      </c>
      <c r="O36" s="405" t="n">
        <f aca="false">ROUND(IF(Dados!$I$68="SIM",N36*Dados!$N$68,N36),2)</f>
        <v>16.41</v>
      </c>
      <c r="P36" s="405" t="n">
        <f aca="false">ROUND(IF(Dados!$I$69="SIM",O36*Dados!$N$69,O36),2)</f>
        <v>16.41</v>
      </c>
      <c r="Q36" s="405" t="n">
        <f aca="false">ROUND(IF(Dados!$I$70="SIM",P36*Dados!$N$70,P36),2)</f>
        <v>16.41</v>
      </c>
      <c r="R36" s="4" t="n">
        <f aca="false">IF(Dados!$D$73="INICIAL",L36,IF(Dados!$D$73="1º IPCA",M36,IF(Dados!$D$73="2º IPCA",N36,IF(Dados!$D$73="3º IPCA",O36,IF(Dados!$D$73="4º IPCA",P36,IF(Dados!$D$73="5º IPCA",Q36,))))))</f>
        <v>16.41</v>
      </c>
    </row>
    <row r="37" s="469" customFormat="true" ht="17.25" hidden="false" customHeight="true" outlineLevel="0" collapsed="false">
      <c r="A37" s="526" t="s">
        <v>606</v>
      </c>
      <c r="B37" s="526"/>
      <c r="C37" s="526"/>
      <c r="D37" s="526"/>
      <c r="E37" s="526"/>
      <c r="F37" s="526"/>
      <c r="G37" s="526"/>
      <c r="H37" s="527" t="n">
        <f aca="false">SUM(H33:H36)</f>
        <v>7793.5</v>
      </c>
      <c r="L37" s="448"/>
      <c r="M37" s="448"/>
      <c r="N37" s="448"/>
      <c r="O37" s="448"/>
      <c r="P37" s="448"/>
      <c r="Q37" s="448"/>
    </row>
    <row r="38" s="469" customFormat="true" ht="15" hidden="false" customHeight="false" outlineLevel="0" collapsed="false">
      <c r="A38" s="504" t="s">
        <v>621</v>
      </c>
      <c r="B38" s="504"/>
      <c r="C38" s="504"/>
      <c r="D38" s="504"/>
      <c r="E38" s="504"/>
      <c r="F38" s="504"/>
      <c r="G38" s="505"/>
      <c r="H38" s="506" t="n">
        <f aca="false">ROUND(H37/$A$36/12,2)</f>
        <v>49.96</v>
      </c>
      <c r="L38" s="448"/>
      <c r="M38" s="448"/>
      <c r="N38" s="448"/>
      <c r="O38" s="448"/>
      <c r="P38" s="448"/>
      <c r="Q38" s="448"/>
    </row>
    <row r="39" customFormat="false" ht="24.75" hidden="false" customHeight="true" outlineLevel="0" collapsed="false">
      <c r="A39" s="319"/>
      <c r="B39" s="508"/>
      <c r="C39" s="528"/>
      <c r="D39" s="529"/>
      <c r="E39" s="508"/>
      <c r="F39" s="528"/>
      <c r="G39" s="509"/>
      <c r="H39" s="510"/>
    </row>
    <row r="40" customFormat="false" ht="31.5" hidden="false" customHeight="true" outlineLevel="0" collapsed="false">
      <c r="A40" s="485" t="s">
        <v>589</v>
      </c>
      <c r="B40" s="486" t="s">
        <v>275</v>
      </c>
      <c r="C40" s="487" t="s">
        <v>590</v>
      </c>
      <c r="D40" s="486" t="s">
        <v>591</v>
      </c>
      <c r="E40" s="488" t="s">
        <v>592</v>
      </c>
      <c r="F40" s="489" t="s">
        <v>593</v>
      </c>
      <c r="G40" s="490" t="s">
        <v>594</v>
      </c>
      <c r="H40" s="491" t="s">
        <v>207</v>
      </c>
    </row>
    <row r="41" customFormat="false" ht="219" hidden="false" customHeight="true" outlineLevel="0" collapsed="false">
      <c r="A41" s="492" t="s">
        <v>204</v>
      </c>
      <c r="B41" s="530" t="s">
        <v>596</v>
      </c>
      <c r="C41" s="493" t="n">
        <v>2</v>
      </c>
      <c r="D41" s="531" t="s">
        <v>617</v>
      </c>
      <c r="E41" s="532" t="s">
        <v>613</v>
      </c>
      <c r="F41" s="365" t="n">
        <f aca="false">C41*$A$45</f>
        <v>2</v>
      </c>
      <c r="G41" s="522" t="n">
        <v>94.78</v>
      </c>
      <c r="H41" s="368" t="n">
        <f aca="false">ROUND(F41*G41,2)</f>
        <v>189.56</v>
      </c>
    </row>
    <row r="42" customFormat="false" ht="153.7" hidden="false" customHeight="false" outlineLevel="0" collapsed="false">
      <c r="A42" s="492"/>
      <c r="B42" s="530" t="s">
        <v>600</v>
      </c>
      <c r="C42" s="493" t="n">
        <v>3</v>
      </c>
      <c r="D42" s="533" t="s">
        <v>618</v>
      </c>
      <c r="E42" s="532" t="s">
        <v>610</v>
      </c>
      <c r="F42" s="365" t="n">
        <f aca="false">C42*$A$45</f>
        <v>3</v>
      </c>
      <c r="G42" s="522" t="n">
        <v>102.59</v>
      </c>
      <c r="H42" s="368" t="n">
        <f aca="false">ROUND(F42*G42,2)</f>
        <v>307.77</v>
      </c>
    </row>
    <row r="43" customFormat="false" ht="84.75" hidden="false" customHeight="true" outlineLevel="0" collapsed="false">
      <c r="A43" s="498" t="s">
        <v>622</v>
      </c>
      <c r="B43" s="530" t="s">
        <v>603</v>
      </c>
      <c r="C43" s="493" t="n">
        <v>1</v>
      </c>
      <c r="D43" s="531" t="s">
        <v>620</v>
      </c>
      <c r="E43" s="532" t="s">
        <v>613</v>
      </c>
      <c r="F43" s="365" t="n">
        <f aca="false">C43*$A$45</f>
        <v>1</v>
      </c>
      <c r="G43" s="522" t="n">
        <v>102.17</v>
      </c>
      <c r="H43" s="368" t="n">
        <f aca="false">ROUND(F43*G43,2)</f>
        <v>102.17</v>
      </c>
    </row>
    <row r="44" customFormat="false" ht="15" hidden="false" customHeight="false" outlineLevel="0" collapsed="false">
      <c r="A44" s="498"/>
      <c r="B44" s="534" t="s">
        <v>623</v>
      </c>
      <c r="C44" s="535" t="n">
        <v>2</v>
      </c>
      <c r="D44" s="536" t="s">
        <v>624</v>
      </c>
      <c r="E44" s="537" t="s">
        <v>613</v>
      </c>
      <c r="F44" s="365" t="n">
        <f aca="false">C44*$A$45</f>
        <v>2</v>
      </c>
      <c r="G44" s="538" t="n">
        <v>41.84</v>
      </c>
      <c r="H44" s="368" t="n">
        <f aca="false">ROUND(F44*G44,2)</f>
        <v>83.68</v>
      </c>
    </row>
    <row r="45" customFormat="false" ht="20.85" hidden="false" customHeight="false" outlineLevel="0" collapsed="false">
      <c r="A45" s="539" t="n">
        <f aca="false">Dados!B16</f>
        <v>1</v>
      </c>
      <c r="B45" s="534" t="s">
        <v>608</v>
      </c>
      <c r="C45" s="540" t="n">
        <v>2</v>
      </c>
      <c r="D45" s="541" t="s">
        <v>625</v>
      </c>
      <c r="E45" s="540" t="s">
        <v>610</v>
      </c>
      <c r="F45" s="365" t="n">
        <f aca="false">C45*$A$45</f>
        <v>2</v>
      </c>
      <c r="G45" s="538" t="n">
        <v>45.35</v>
      </c>
      <c r="H45" s="368" t="n">
        <f aca="false">ROUND(F45*G45,2)</f>
        <v>90.7</v>
      </c>
    </row>
    <row r="46" customFormat="false" ht="18.75" hidden="false" customHeight="true" outlineLevel="0" collapsed="false">
      <c r="A46" s="542" t="s">
        <v>606</v>
      </c>
      <c r="B46" s="542"/>
      <c r="C46" s="542"/>
      <c r="D46" s="542"/>
      <c r="E46" s="542"/>
      <c r="F46" s="542"/>
      <c r="G46" s="542"/>
      <c r="H46" s="543" t="n">
        <f aca="false">SUM(H41:H45)</f>
        <v>773.88</v>
      </c>
    </row>
    <row r="47" customFormat="false" ht="15" hidden="false" customHeight="false" outlineLevel="0" collapsed="false">
      <c r="A47" s="504" t="s">
        <v>626</v>
      </c>
      <c r="B47" s="504"/>
      <c r="C47" s="504"/>
      <c r="D47" s="504"/>
      <c r="E47" s="504"/>
      <c r="F47" s="504"/>
      <c r="G47" s="505"/>
      <c r="H47" s="506" t="n">
        <f aca="false">ROUND(H46/A45/12,2)</f>
        <v>64.49</v>
      </c>
    </row>
    <row r="48" customFormat="false" ht="26.25" hidden="false" customHeight="true" outlineLevel="0" collapsed="false">
      <c r="A48" s="319"/>
      <c r="B48" s="508"/>
      <c r="C48" s="528"/>
      <c r="D48" s="529"/>
      <c r="E48" s="508"/>
      <c r="F48" s="528"/>
      <c r="G48" s="509"/>
      <c r="H48" s="510"/>
    </row>
    <row r="49" customFormat="false" ht="30.75" hidden="false" customHeight="true" outlineLevel="0" collapsed="false">
      <c r="A49" s="485" t="s">
        <v>589</v>
      </c>
      <c r="B49" s="486" t="s">
        <v>275</v>
      </c>
      <c r="C49" s="487" t="s">
        <v>590</v>
      </c>
      <c r="D49" s="486" t="s">
        <v>591</v>
      </c>
      <c r="E49" s="488" t="s">
        <v>592</v>
      </c>
      <c r="F49" s="489" t="s">
        <v>593</v>
      </c>
      <c r="G49" s="490" t="s">
        <v>594</v>
      </c>
      <c r="H49" s="491" t="s">
        <v>207</v>
      </c>
    </row>
    <row r="50" customFormat="false" ht="216.75" hidden="false" customHeight="true" outlineLevel="0" collapsed="false">
      <c r="A50" s="492" t="s">
        <v>195</v>
      </c>
      <c r="B50" s="414" t="s">
        <v>596</v>
      </c>
      <c r="C50" s="520" t="n">
        <v>2</v>
      </c>
      <c r="D50" s="499" t="s">
        <v>617</v>
      </c>
      <c r="E50" s="495" t="s">
        <v>613</v>
      </c>
      <c r="F50" s="521" t="n">
        <f aca="false">C50*$A$53</f>
        <v>4</v>
      </c>
      <c r="G50" s="522" t="n">
        <v>94.78</v>
      </c>
      <c r="H50" s="368" t="n">
        <f aca="false">ROUND(F50*G50,2)</f>
        <v>379.12</v>
      </c>
    </row>
    <row r="51" customFormat="false" ht="231" hidden="false" customHeight="true" outlineLevel="0" collapsed="false">
      <c r="A51" s="492"/>
      <c r="B51" s="414" t="s">
        <v>600</v>
      </c>
      <c r="C51" s="520" t="n">
        <v>3</v>
      </c>
      <c r="D51" s="499" t="s">
        <v>618</v>
      </c>
      <c r="E51" s="495" t="s">
        <v>619</v>
      </c>
      <c r="F51" s="521" t="n">
        <f aca="false">C51*$A$53</f>
        <v>6</v>
      </c>
      <c r="G51" s="522" t="n">
        <v>102.59</v>
      </c>
      <c r="H51" s="368" t="n">
        <f aca="false">ROUND(F51*G51,2)</f>
        <v>615.54</v>
      </c>
    </row>
    <row r="52" customFormat="false" ht="90.75" hidden="false" customHeight="true" outlineLevel="0" collapsed="false">
      <c r="A52" s="498" t="s">
        <v>599</v>
      </c>
      <c r="B52" s="414" t="s">
        <v>603</v>
      </c>
      <c r="C52" s="520" t="n">
        <v>1</v>
      </c>
      <c r="D52" s="524" t="s">
        <v>620</v>
      </c>
      <c r="E52" s="121" t="s">
        <v>613</v>
      </c>
      <c r="F52" s="521" t="n">
        <f aca="false">C52*$A$53</f>
        <v>2</v>
      </c>
      <c r="G52" s="525" t="n">
        <v>102.17</v>
      </c>
      <c r="H52" s="368" t="n">
        <f aca="false">ROUND(F52*G52,2)</f>
        <v>204.34</v>
      </c>
    </row>
    <row r="53" customFormat="false" ht="15" hidden="false" customHeight="false" outlineLevel="0" collapsed="false">
      <c r="A53" s="539" t="n">
        <f aca="false">Dados!B9</f>
        <v>2</v>
      </c>
      <c r="B53" s="414" t="s">
        <v>623</v>
      </c>
      <c r="C53" s="520" t="n">
        <v>2</v>
      </c>
      <c r="D53" s="544" t="s">
        <v>624</v>
      </c>
      <c r="E53" s="121" t="s">
        <v>613</v>
      </c>
      <c r="F53" s="521" t="n">
        <f aca="false">C53*$A$53</f>
        <v>4</v>
      </c>
      <c r="G53" s="522" t="n">
        <v>41.84</v>
      </c>
      <c r="H53" s="368" t="n">
        <f aca="false">ROUND(F53*G53,2)</f>
        <v>167.36</v>
      </c>
    </row>
    <row r="54" customFormat="false" ht="15" hidden="false" customHeight="false" outlineLevel="0" collapsed="false">
      <c r="A54" s="542" t="s">
        <v>606</v>
      </c>
      <c r="B54" s="542"/>
      <c r="C54" s="542"/>
      <c r="D54" s="542"/>
      <c r="E54" s="542"/>
      <c r="F54" s="542"/>
      <c r="G54" s="542"/>
      <c r="H54" s="543" t="n">
        <f aca="false">SUM(H50:H53)</f>
        <v>1366.36</v>
      </c>
    </row>
    <row r="55" customFormat="false" ht="15" hidden="false" customHeight="false" outlineLevel="0" collapsed="false">
      <c r="A55" s="504" t="s">
        <v>627</v>
      </c>
      <c r="B55" s="504"/>
      <c r="C55" s="504"/>
      <c r="D55" s="504"/>
      <c r="E55" s="504"/>
      <c r="F55" s="504"/>
      <c r="G55" s="505"/>
      <c r="H55" s="506" t="n">
        <f aca="false">ROUND(H54/A53/12,2)</f>
        <v>56.93</v>
      </c>
    </row>
    <row r="56" customFormat="false" ht="23.25" hidden="false" customHeight="true" outlineLevel="0" collapsed="false">
      <c r="A56" s="320"/>
      <c r="B56" s="508"/>
      <c r="C56" s="528"/>
      <c r="D56" s="529"/>
      <c r="E56" s="508"/>
      <c r="F56" s="528"/>
      <c r="G56" s="509"/>
      <c r="H56" s="510"/>
    </row>
    <row r="57" customFormat="false" ht="33" hidden="false" customHeight="true" outlineLevel="0" collapsed="false">
      <c r="A57" s="485" t="s">
        <v>589</v>
      </c>
      <c r="B57" s="486" t="s">
        <v>275</v>
      </c>
      <c r="C57" s="487" t="s">
        <v>590</v>
      </c>
      <c r="D57" s="486" t="s">
        <v>591</v>
      </c>
      <c r="E57" s="488" t="s">
        <v>592</v>
      </c>
      <c r="F57" s="489" t="s">
        <v>593</v>
      </c>
      <c r="G57" s="490" t="s">
        <v>594</v>
      </c>
      <c r="H57" s="491" t="s">
        <v>207</v>
      </c>
    </row>
    <row r="58" customFormat="false" ht="230.25" hidden="false" customHeight="true" outlineLevel="0" collapsed="false">
      <c r="A58" s="492" t="s">
        <v>628</v>
      </c>
      <c r="B58" s="414" t="s">
        <v>596</v>
      </c>
      <c r="C58" s="520" t="n">
        <v>2</v>
      </c>
      <c r="D58" s="501" t="s">
        <v>617</v>
      </c>
      <c r="E58" s="121" t="s">
        <v>613</v>
      </c>
      <c r="F58" s="365" t="n">
        <f aca="false">C58*$A$62</f>
        <v>2</v>
      </c>
      <c r="G58" s="522" t="n">
        <v>94.78</v>
      </c>
      <c r="H58" s="368" t="n">
        <f aca="false">ROUND(F58*G58,2)</f>
        <v>189.56</v>
      </c>
    </row>
    <row r="59" customFormat="false" ht="231" hidden="false" customHeight="true" outlineLevel="0" collapsed="false">
      <c r="A59" s="492"/>
      <c r="B59" s="121" t="s">
        <v>600</v>
      </c>
      <c r="C59" s="520" t="n">
        <v>3</v>
      </c>
      <c r="D59" s="499" t="s">
        <v>618</v>
      </c>
      <c r="E59" s="121" t="s">
        <v>610</v>
      </c>
      <c r="F59" s="365" t="n">
        <f aca="false">C59*$A$62</f>
        <v>3</v>
      </c>
      <c r="G59" s="522" t="n">
        <v>102.59</v>
      </c>
      <c r="H59" s="368" t="n">
        <f aca="false">ROUND(F59*G59,2)</f>
        <v>307.77</v>
      </c>
    </row>
    <row r="60" customFormat="false" ht="15" hidden="false" customHeight="false" outlineLevel="0" collapsed="false">
      <c r="A60" s="492"/>
      <c r="B60" s="121" t="s">
        <v>623</v>
      </c>
      <c r="C60" s="520" t="n">
        <v>2</v>
      </c>
      <c r="D60" s="499" t="s">
        <v>624</v>
      </c>
      <c r="E60" s="121" t="s">
        <v>610</v>
      </c>
      <c r="F60" s="365" t="n">
        <f aca="false">C60*$A$62</f>
        <v>2</v>
      </c>
      <c r="G60" s="522" t="n">
        <v>41.84</v>
      </c>
      <c r="H60" s="368" t="n">
        <f aca="false">ROUND(F60*G60,2)</f>
        <v>83.68</v>
      </c>
    </row>
    <row r="61" customFormat="false" ht="19.4" hidden="false" customHeight="false" outlineLevel="0" collapsed="false">
      <c r="A61" s="498" t="s">
        <v>599</v>
      </c>
      <c r="B61" s="121" t="s">
        <v>608</v>
      </c>
      <c r="C61" s="520" t="n">
        <v>2</v>
      </c>
      <c r="D61" s="501" t="s">
        <v>625</v>
      </c>
      <c r="E61" s="121" t="s">
        <v>610</v>
      </c>
      <c r="F61" s="365" t="n">
        <f aca="false">C61*$A$62</f>
        <v>2</v>
      </c>
      <c r="G61" s="522" t="n">
        <v>45.35</v>
      </c>
      <c r="H61" s="368" t="n">
        <f aca="false">ROUND(F61*G61,2)</f>
        <v>90.7</v>
      </c>
    </row>
    <row r="62" customFormat="false" ht="72" hidden="false" customHeight="true" outlineLevel="0" collapsed="false">
      <c r="A62" s="539" t="n">
        <f aca="false">Dados!B15</f>
        <v>1</v>
      </c>
      <c r="B62" s="414" t="s">
        <v>603</v>
      </c>
      <c r="C62" s="520" t="n">
        <v>1</v>
      </c>
      <c r="D62" s="499" t="s">
        <v>629</v>
      </c>
      <c r="E62" s="121" t="s">
        <v>613</v>
      </c>
      <c r="F62" s="365" t="n">
        <f aca="false">C62*$A$62</f>
        <v>1</v>
      </c>
      <c r="G62" s="522" t="n">
        <v>102.17</v>
      </c>
      <c r="H62" s="368" t="n">
        <f aca="false">ROUND(F62*G62,2)</f>
        <v>102.17</v>
      </c>
    </row>
    <row r="63" customFormat="false" ht="15" hidden="false" customHeight="false" outlineLevel="0" collapsed="false">
      <c r="A63" s="542" t="s">
        <v>606</v>
      </c>
      <c r="B63" s="542"/>
      <c r="C63" s="542"/>
      <c r="D63" s="542"/>
      <c r="E63" s="542"/>
      <c r="F63" s="542"/>
      <c r="G63" s="542"/>
      <c r="H63" s="543" t="n">
        <f aca="false">SUM(H58:H62)</f>
        <v>773.88</v>
      </c>
    </row>
    <row r="64" customFormat="false" ht="15" hidden="false" customHeight="false" outlineLevel="0" collapsed="false">
      <c r="A64" s="504" t="s">
        <v>630</v>
      </c>
      <c r="B64" s="504"/>
      <c r="C64" s="504"/>
      <c r="D64" s="504"/>
      <c r="E64" s="504"/>
      <c r="F64" s="504"/>
      <c r="G64" s="505"/>
      <c r="H64" s="506" t="n">
        <f aca="false">ROUND(H63/A62/12,2)</f>
        <v>64.49</v>
      </c>
    </row>
  </sheetData>
  <sheetProtection algorithmName="SHA-512" hashValue="2ZFdxqxSIkyepnQq+qMTkCRkQi0qrzQtRPcRsGsTCmDeI6xYmCkbzjxQ99xMV4R5sZ4CwmJu3FOsvBmAP6c3NQ==" saltValue="RqSIBfu3E0mOfRWcvsXYzA==" spinCount="100000" sheet="true" objects="true" scenarios="true"/>
  <mergeCells count="30">
    <mergeCell ref="L1:Q4"/>
    <mergeCell ref="A4:H4"/>
    <mergeCell ref="A5:H5"/>
    <mergeCell ref="L5:L8"/>
    <mergeCell ref="M5:M8"/>
    <mergeCell ref="N5:N8"/>
    <mergeCell ref="O5:O8"/>
    <mergeCell ref="P5:P8"/>
    <mergeCell ref="Q5:Q8"/>
    <mergeCell ref="A6:H6"/>
    <mergeCell ref="A12:G12"/>
    <mergeCell ref="A13:F13"/>
    <mergeCell ref="A16:A18"/>
    <mergeCell ref="A21:G21"/>
    <mergeCell ref="A22:F22"/>
    <mergeCell ref="A25:A27"/>
    <mergeCell ref="A30:G30"/>
    <mergeCell ref="A31:F31"/>
    <mergeCell ref="A37:G37"/>
    <mergeCell ref="A38:F38"/>
    <mergeCell ref="A41:A42"/>
    <mergeCell ref="A43:A44"/>
    <mergeCell ref="A46:G46"/>
    <mergeCell ref="A47:F47"/>
    <mergeCell ref="A50:A51"/>
    <mergeCell ref="A54:G54"/>
    <mergeCell ref="A55:F55"/>
    <mergeCell ref="A58:A60"/>
    <mergeCell ref="A63:G63"/>
    <mergeCell ref="A64:F64"/>
  </mergeCells>
  <printOptions headings="false" gridLines="false" gridLinesSet="true" horizontalCentered="false" verticalCentered="false"/>
  <pageMargins left="0.511805555555556" right="0.511805555555556" top="0.7875" bottom="0.7875" header="0.511811023622047" footer="0.511811023622047"/>
  <pageSetup paperSize="9" scale="63"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29"/>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A27" activeCellId="0" sqref="A27"/>
    </sheetView>
  </sheetViews>
  <sheetFormatPr defaultColWidth="9.1484375" defaultRowHeight="15" customHeight="true" zeroHeight="false" outlineLevelRow="0" outlineLevelCol="0"/>
  <cols>
    <col collapsed="false" customWidth="true" hidden="false" outlineLevel="0" max="1" min="1" style="1" width="11.14"/>
    <col collapsed="false" customWidth="true" hidden="false" outlineLevel="0" max="2" min="2" style="1" width="42.14"/>
    <col collapsed="false" customWidth="true" hidden="false" outlineLevel="0" max="3" min="3" style="1" width="7.15"/>
    <col collapsed="false" customWidth="true" hidden="false" outlineLevel="0" max="4" min="4" style="1" width="6.71"/>
    <col collapsed="false" customWidth="true" hidden="false" outlineLevel="0" max="5" min="5" style="1" width="10.14"/>
    <col collapsed="false" customWidth="true" hidden="false" outlineLevel="0" max="6" min="6" style="1" width="12.57"/>
    <col collapsed="false" customWidth="true" hidden="false" outlineLevel="0" max="7" min="7" style="1" width="12.29"/>
    <col collapsed="false" customWidth="true" hidden="false" outlineLevel="0" max="8" min="8" style="1" width="8.86"/>
    <col collapsed="false" customWidth="true" hidden="false" outlineLevel="0" max="9" min="9" style="1" width="10"/>
    <col collapsed="false" customWidth="true" hidden="false" outlineLevel="0" max="10" min="10" style="1" width="13.71"/>
    <col collapsed="false" customWidth="true" hidden="false" outlineLevel="0" max="11" min="11" style="1" width="9.71"/>
    <col collapsed="false" customWidth="true" hidden="false" outlineLevel="0" max="12" min="12" style="1" width="10.57"/>
    <col collapsed="false" customWidth="true" hidden="false" outlineLevel="0" max="13" min="13" style="1" width="12.29"/>
    <col collapsed="false" customWidth="true" hidden="false" outlineLevel="0" max="14" min="14" style="1" width="7.42"/>
    <col collapsed="false" customWidth="true" hidden="false" outlineLevel="0" max="15" min="15" style="1" width="9"/>
    <col collapsed="false" customWidth="true" hidden="false" outlineLevel="0" max="16" min="16" style="1" width="12"/>
    <col collapsed="false" customWidth="true" hidden="false" outlineLevel="0" max="17" min="17" style="1" width="9.57"/>
    <col collapsed="false" customWidth="true" hidden="false" outlineLevel="0" max="18" min="18" style="1" width="10.14"/>
    <col collapsed="false" customWidth="true" hidden="false" outlineLevel="0" max="19" min="19" style="1" width="16.14"/>
    <col collapsed="false" customWidth="true" hidden="false" outlineLevel="0" max="20" min="20" style="1" width="10.42"/>
    <col collapsed="false" customWidth="true" hidden="false" outlineLevel="0" max="21" min="21" style="1" width="8.71"/>
    <col collapsed="false" customWidth="true" hidden="false" outlineLevel="0" max="22" min="22" style="1" width="7.71"/>
    <col collapsed="false" customWidth="true" hidden="false" outlineLevel="0" max="23" min="23" style="1" width="19.71"/>
    <col collapsed="false" customWidth="false" hidden="false" outlineLevel="0" max="24" min="24" style="1" width="9.14"/>
    <col collapsed="false" customWidth="true" hidden="false" outlineLevel="0" max="25" min="25" style="1" width="11.57"/>
    <col collapsed="false" customWidth="false" hidden="false" outlineLevel="0" max="259" min="26" style="1" width="9.14"/>
    <col collapsed="false" customWidth="true" hidden="false" outlineLevel="0" max="260" min="260" style="1" width="13.15"/>
    <col collapsed="false" customWidth="true" hidden="false" outlineLevel="0" max="261" min="261" style="1" width="38.42"/>
    <col collapsed="false" customWidth="true" hidden="false" outlineLevel="0" max="262" min="262" style="1" width="7.15"/>
    <col collapsed="false" customWidth="true" hidden="false" outlineLevel="0" max="263" min="263" style="1" width="6.71"/>
    <col collapsed="false" customWidth="true" hidden="false" outlineLevel="0" max="264" min="264" style="1" width="10.14"/>
    <col collapsed="false" customWidth="true" hidden="false" outlineLevel="0" max="265" min="265" style="1" width="12.57"/>
    <col collapsed="false" customWidth="true" hidden="false" outlineLevel="0" max="266" min="266" style="1" width="12.29"/>
    <col collapsed="false" customWidth="true" hidden="false" outlineLevel="0" max="267" min="267" style="1" width="13.42"/>
    <col collapsed="false" customWidth="true" hidden="false" outlineLevel="0" max="268" min="268" style="1" width="12.15"/>
    <col collapsed="false" customWidth="true" hidden="false" outlineLevel="0" max="269" min="269" style="1" width="13.71"/>
    <col collapsed="false" customWidth="true" hidden="false" outlineLevel="0" max="270" min="270" style="1" width="11.29"/>
    <col collapsed="false" customWidth="true" hidden="false" outlineLevel="0" max="271" min="271" style="1" width="15.57"/>
    <col collapsed="false" customWidth="true" hidden="false" outlineLevel="0" max="272" min="272" style="1" width="12.29"/>
    <col collapsed="false" customWidth="true" hidden="false" outlineLevel="0" max="273" min="273" style="1" width="7.42"/>
    <col collapsed="false" customWidth="true" hidden="false" outlineLevel="0" max="274" min="274" style="1" width="13.29"/>
    <col collapsed="false" customWidth="true" hidden="false" outlineLevel="0" max="275" min="275" style="1" width="14"/>
    <col collapsed="false" customWidth="true" hidden="false" outlineLevel="0" max="276" min="276" style="1" width="12.15"/>
    <col collapsed="false" customWidth="true" hidden="false" outlineLevel="0" max="278" min="277" style="1" width="10.14"/>
    <col collapsed="false" customWidth="true" hidden="false" outlineLevel="0" max="279" min="279" style="1" width="16.43"/>
    <col collapsed="false" customWidth="false" hidden="false" outlineLevel="0" max="515" min="280" style="1" width="9.14"/>
    <col collapsed="false" customWidth="true" hidden="false" outlineLevel="0" max="516" min="516" style="1" width="13.15"/>
    <col collapsed="false" customWidth="true" hidden="false" outlineLevel="0" max="517" min="517" style="1" width="38.42"/>
    <col collapsed="false" customWidth="true" hidden="false" outlineLevel="0" max="518" min="518" style="1" width="7.15"/>
    <col collapsed="false" customWidth="true" hidden="false" outlineLevel="0" max="519" min="519" style="1" width="6.71"/>
    <col collapsed="false" customWidth="true" hidden="false" outlineLevel="0" max="520" min="520" style="1" width="10.14"/>
    <col collapsed="false" customWidth="true" hidden="false" outlineLevel="0" max="521" min="521" style="1" width="12.57"/>
    <col collapsed="false" customWidth="true" hidden="false" outlineLevel="0" max="522" min="522" style="1" width="12.29"/>
    <col collapsed="false" customWidth="true" hidden="false" outlineLevel="0" max="523" min="523" style="1" width="13.42"/>
    <col collapsed="false" customWidth="true" hidden="false" outlineLevel="0" max="524" min="524" style="1" width="12.15"/>
    <col collapsed="false" customWidth="true" hidden="false" outlineLevel="0" max="525" min="525" style="1" width="13.71"/>
    <col collapsed="false" customWidth="true" hidden="false" outlineLevel="0" max="526" min="526" style="1" width="11.29"/>
    <col collapsed="false" customWidth="true" hidden="false" outlineLevel="0" max="527" min="527" style="1" width="15.57"/>
    <col collapsed="false" customWidth="true" hidden="false" outlineLevel="0" max="528" min="528" style="1" width="12.29"/>
    <col collapsed="false" customWidth="true" hidden="false" outlineLevel="0" max="529" min="529" style="1" width="7.42"/>
    <col collapsed="false" customWidth="true" hidden="false" outlineLevel="0" max="530" min="530" style="1" width="13.29"/>
    <col collapsed="false" customWidth="true" hidden="false" outlineLevel="0" max="531" min="531" style="1" width="14"/>
    <col collapsed="false" customWidth="true" hidden="false" outlineLevel="0" max="532" min="532" style="1" width="12.15"/>
    <col collapsed="false" customWidth="true" hidden="false" outlineLevel="0" max="534" min="533" style="1" width="10.14"/>
    <col collapsed="false" customWidth="true" hidden="false" outlineLevel="0" max="535" min="535" style="1" width="16.43"/>
    <col collapsed="false" customWidth="false" hidden="false" outlineLevel="0" max="771" min="536" style="1" width="9.14"/>
    <col collapsed="false" customWidth="true" hidden="false" outlineLevel="0" max="772" min="772" style="1" width="13.15"/>
    <col collapsed="false" customWidth="true" hidden="false" outlineLevel="0" max="773" min="773" style="1" width="38.42"/>
    <col collapsed="false" customWidth="true" hidden="false" outlineLevel="0" max="774" min="774" style="1" width="7.15"/>
    <col collapsed="false" customWidth="true" hidden="false" outlineLevel="0" max="775" min="775" style="1" width="6.71"/>
    <col collapsed="false" customWidth="true" hidden="false" outlineLevel="0" max="776" min="776" style="1" width="10.14"/>
    <col collapsed="false" customWidth="true" hidden="false" outlineLevel="0" max="777" min="777" style="1" width="12.57"/>
    <col collapsed="false" customWidth="true" hidden="false" outlineLevel="0" max="778" min="778" style="1" width="12.29"/>
    <col collapsed="false" customWidth="true" hidden="false" outlineLevel="0" max="779" min="779" style="1" width="13.42"/>
    <col collapsed="false" customWidth="true" hidden="false" outlineLevel="0" max="780" min="780" style="1" width="12.15"/>
    <col collapsed="false" customWidth="true" hidden="false" outlineLevel="0" max="781" min="781" style="1" width="13.71"/>
    <col collapsed="false" customWidth="true" hidden="false" outlineLevel="0" max="782" min="782" style="1" width="11.29"/>
    <col collapsed="false" customWidth="true" hidden="false" outlineLevel="0" max="783" min="783" style="1" width="15.57"/>
    <col collapsed="false" customWidth="true" hidden="false" outlineLevel="0" max="784" min="784" style="1" width="12.29"/>
    <col collapsed="false" customWidth="true" hidden="false" outlineLevel="0" max="785" min="785" style="1" width="7.42"/>
    <col collapsed="false" customWidth="true" hidden="false" outlineLevel="0" max="786" min="786" style="1" width="13.29"/>
    <col collapsed="false" customWidth="true" hidden="false" outlineLevel="0" max="787" min="787" style="1" width="14"/>
    <col collapsed="false" customWidth="true" hidden="false" outlineLevel="0" max="788" min="788" style="1" width="12.15"/>
    <col collapsed="false" customWidth="true" hidden="false" outlineLevel="0" max="790" min="789" style="1" width="10.14"/>
    <col collapsed="false" customWidth="true" hidden="false" outlineLevel="0" max="791" min="791" style="1" width="16.43"/>
    <col collapsed="false" customWidth="false" hidden="false" outlineLevel="0" max="1024" min="792" style="1" width="9.14"/>
  </cols>
  <sheetData>
    <row r="1" customFormat="false" ht="15" hidden="false" customHeight="false" outlineLevel="0" collapsed="false">
      <c r="A1" s="5"/>
      <c r="B1" s="545" t="str">
        <f aca="false">INSTRUÇÕES!B1</f>
        <v>Tribunal Regional Federal da 6ª Região</v>
      </c>
      <c r="C1" s="546"/>
      <c r="D1" s="546"/>
      <c r="E1" s="546"/>
      <c r="F1" s="546"/>
      <c r="G1" s="546"/>
      <c r="H1" s="546"/>
      <c r="I1" s="546"/>
      <c r="J1" s="547"/>
      <c r="K1" s="547"/>
      <c r="L1" s="547"/>
      <c r="M1" s="547"/>
      <c r="N1" s="547"/>
      <c r="O1" s="547"/>
      <c r="P1" s="547"/>
      <c r="Q1" s="547"/>
      <c r="R1" s="547"/>
      <c r="S1" s="547"/>
      <c r="T1" s="547"/>
      <c r="U1" s="547"/>
      <c r="V1" s="547"/>
      <c r="W1" s="548"/>
    </row>
    <row r="2" customFormat="false" ht="15" hidden="false" customHeight="false" outlineLevel="0" collapsed="false">
      <c r="A2" s="549"/>
      <c r="B2" s="155" t="str">
        <f aca="false">INSTRUÇÕES!B2</f>
        <v>Seção Judiciária de Minas Gerais</v>
      </c>
      <c r="C2" s="108"/>
      <c r="D2" s="108"/>
      <c r="E2" s="108"/>
      <c r="F2" s="108"/>
      <c r="G2" s="108"/>
      <c r="H2" s="108"/>
      <c r="I2" s="108"/>
      <c r="W2" s="550"/>
    </row>
    <row r="3" s="553" customFormat="true" ht="19.5" hidden="false" customHeight="true" outlineLevel="0" collapsed="false">
      <c r="A3" s="8"/>
      <c r="B3" s="313" t="str">
        <f aca="false">INSTRUÇÕES!B3</f>
        <v>Subseção Judiciária de Uberlândia</v>
      </c>
      <c r="C3" s="551"/>
      <c r="D3" s="551"/>
      <c r="E3" s="551"/>
      <c r="F3" s="551"/>
      <c r="G3" s="551"/>
      <c r="H3" s="551"/>
      <c r="I3" s="551"/>
      <c r="J3" s="13"/>
      <c r="K3" s="13"/>
      <c r="L3" s="13"/>
      <c r="M3" s="13"/>
      <c r="N3" s="13"/>
      <c r="O3" s="13"/>
      <c r="P3" s="13"/>
      <c r="Q3" s="13"/>
      <c r="R3" s="13"/>
      <c r="S3" s="13"/>
      <c r="T3" s="13"/>
      <c r="U3" s="13"/>
      <c r="V3" s="13"/>
      <c r="W3" s="552"/>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c r="PJ3" s="13"/>
      <c r="PK3" s="13"/>
      <c r="PL3" s="13"/>
      <c r="PM3" s="13"/>
      <c r="PN3" s="13"/>
      <c r="PO3" s="13"/>
      <c r="PP3" s="13"/>
      <c r="PQ3" s="13"/>
      <c r="PR3" s="13"/>
      <c r="PS3" s="13"/>
      <c r="PT3" s="13"/>
      <c r="PU3" s="13"/>
      <c r="PV3" s="13"/>
      <c r="PW3" s="13"/>
      <c r="PX3" s="13"/>
      <c r="PY3" s="13"/>
      <c r="PZ3" s="13"/>
      <c r="QA3" s="13"/>
      <c r="QB3" s="13"/>
      <c r="QC3" s="13"/>
      <c r="QD3" s="13"/>
      <c r="QE3" s="13"/>
      <c r="QF3" s="13"/>
      <c r="QG3" s="13"/>
      <c r="QH3" s="13"/>
      <c r="QI3" s="13"/>
      <c r="QJ3" s="13"/>
      <c r="QK3" s="13"/>
      <c r="QL3" s="13"/>
      <c r="QM3" s="13"/>
      <c r="QN3" s="13"/>
      <c r="QO3" s="13"/>
      <c r="QP3" s="13"/>
      <c r="QQ3" s="13"/>
      <c r="QR3" s="13"/>
      <c r="QS3" s="13"/>
      <c r="QT3" s="13"/>
      <c r="QU3" s="13"/>
      <c r="QV3" s="13"/>
      <c r="QW3" s="13"/>
      <c r="QX3" s="13"/>
      <c r="QY3" s="13"/>
      <c r="QZ3" s="13"/>
      <c r="RA3" s="13"/>
      <c r="RB3" s="13"/>
      <c r="RC3" s="13"/>
      <c r="RD3" s="13"/>
      <c r="RE3" s="13"/>
      <c r="RF3" s="13"/>
      <c r="RG3" s="13"/>
      <c r="RH3" s="13"/>
      <c r="RI3" s="13"/>
      <c r="RJ3" s="13"/>
      <c r="RK3" s="13"/>
      <c r="RL3" s="13"/>
      <c r="RM3" s="13"/>
      <c r="RN3" s="13"/>
      <c r="RO3" s="13"/>
      <c r="RP3" s="13"/>
      <c r="RQ3" s="13"/>
      <c r="RR3" s="13"/>
      <c r="RS3" s="13"/>
      <c r="RT3" s="13"/>
      <c r="RU3" s="13"/>
      <c r="RV3" s="13"/>
      <c r="RW3" s="13"/>
      <c r="RX3" s="13"/>
      <c r="RY3" s="13"/>
      <c r="RZ3" s="13"/>
      <c r="SA3" s="13"/>
      <c r="SB3" s="13"/>
      <c r="SC3" s="13"/>
      <c r="SD3" s="13"/>
      <c r="SE3" s="13"/>
      <c r="SF3" s="13"/>
      <c r="SG3" s="13"/>
      <c r="SH3" s="13"/>
      <c r="SI3" s="13"/>
      <c r="SJ3" s="13"/>
      <c r="SK3" s="13"/>
      <c r="SL3" s="13"/>
      <c r="SM3" s="13"/>
      <c r="SN3" s="13"/>
      <c r="SO3" s="13"/>
      <c r="SP3" s="13"/>
      <c r="SQ3" s="13"/>
      <c r="SR3" s="13"/>
      <c r="SS3" s="13"/>
      <c r="ST3" s="13"/>
      <c r="SU3" s="13"/>
      <c r="SV3" s="13"/>
      <c r="SW3" s="13"/>
      <c r="SX3" s="13"/>
      <c r="SY3" s="13"/>
      <c r="SZ3" s="13"/>
      <c r="TA3" s="13"/>
      <c r="TB3" s="13"/>
      <c r="TC3" s="13"/>
      <c r="TD3" s="13"/>
      <c r="TE3" s="13"/>
      <c r="TF3" s="13"/>
      <c r="TG3" s="13"/>
      <c r="TH3" s="13"/>
      <c r="TI3" s="13"/>
      <c r="TJ3" s="13"/>
      <c r="TK3" s="13"/>
      <c r="TL3" s="13"/>
      <c r="TM3" s="13"/>
      <c r="TN3" s="13"/>
      <c r="TO3" s="13"/>
      <c r="TP3" s="13"/>
      <c r="TQ3" s="13"/>
      <c r="TR3" s="13"/>
      <c r="TS3" s="13"/>
      <c r="TT3" s="13"/>
      <c r="TU3" s="13"/>
      <c r="TV3" s="13"/>
      <c r="TW3" s="13"/>
      <c r="TX3" s="13"/>
      <c r="TY3" s="13"/>
      <c r="TZ3" s="13"/>
      <c r="UA3" s="13"/>
      <c r="UB3" s="13"/>
      <c r="UC3" s="13"/>
      <c r="UD3" s="13"/>
      <c r="UE3" s="13"/>
      <c r="UF3" s="13"/>
      <c r="UG3" s="13"/>
      <c r="UH3" s="13"/>
      <c r="UI3" s="13"/>
      <c r="UJ3" s="13"/>
      <c r="UK3" s="13"/>
      <c r="UL3" s="13"/>
      <c r="UM3" s="13"/>
      <c r="UN3" s="13"/>
      <c r="UO3" s="13"/>
      <c r="UP3" s="13"/>
      <c r="UQ3" s="13"/>
      <c r="UR3" s="13"/>
      <c r="US3" s="13"/>
      <c r="UT3" s="13"/>
      <c r="UU3" s="13"/>
      <c r="UV3" s="13"/>
      <c r="UW3" s="13"/>
      <c r="UX3" s="13"/>
      <c r="UY3" s="13"/>
      <c r="UZ3" s="13"/>
      <c r="VA3" s="13"/>
      <c r="VB3" s="13"/>
      <c r="VC3" s="13"/>
      <c r="VD3" s="13"/>
      <c r="VE3" s="13"/>
      <c r="VF3" s="13"/>
      <c r="VG3" s="13"/>
      <c r="VH3" s="13"/>
      <c r="VI3" s="13"/>
      <c r="VJ3" s="13"/>
      <c r="VK3" s="13"/>
      <c r="VL3" s="13"/>
      <c r="VM3" s="13"/>
      <c r="VN3" s="13"/>
      <c r="VO3" s="13"/>
      <c r="VP3" s="13"/>
      <c r="VQ3" s="13"/>
      <c r="VR3" s="13"/>
      <c r="VS3" s="13"/>
      <c r="VT3" s="13"/>
      <c r="VU3" s="13"/>
      <c r="VV3" s="13"/>
      <c r="VW3" s="13"/>
      <c r="VX3" s="13"/>
      <c r="VY3" s="13"/>
      <c r="VZ3" s="13"/>
      <c r="WA3" s="13"/>
      <c r="WB3" s="13"/>
      <c r="WC3" s="13"/>
      <c r="WD3" s="13"/>
      <c r="WE3" s="13"/>
      <c r="WF3" s="13"/>
      <c r="WG3" s="13"/>
      <c r="WH3" s="13"/>
      <c r="WI3" s="13"/>
      <c r="WJ3" s="13"/>
      <c r="WK3" s="13"/>
      <c r="WL3" s="13"/>
      <c r="WM3" s="13"/>
      <c r="WN3" s="13"/>
      <c r="WO3" s="13"/>
      <c r="WP3" s="13"/>
      <c r="WQ3" s="13"/>
      <c r="WR3" s="13"/>
      <c r="WS3" s="13"/>
      <c r="WT3" s="13"/>
      <c r="WU3" s="13"/>
      <c r="WV3" s="13"/>
      <c r="WW3" s="13"/>
      <c r="WX3" s="13"/>
      <c r="WY3" s="13"/>
      <c r="WZ3" s="13"/>
      <c r="XA3" s="13"/>
      <c r="XB3" s="13"/>
      <c r="XC3" s="13"/>
      <c r="XD3" s="13"/>
      <c r="XE3" s="13"/>
      <c r="XF3" s="13"/>
      <c r="XG3" s="13"/>
      <c r="XH3" s="13"/>
      <c r="XI3" s="13"/>
      <c r="XJ3" s="13"/>
      <c r="XK3" s="13"/>
      <c r="XL3" s="13"/>
      <c r="XM3" s="13"/>
      <c r="XN3" s="13"/>
      <c r="XO3" s="13"/>
      <c r="XP3" s="13"/>
      <c r="XQ3" s="13"/>
      <c r="XR3" s="13"/>
      <c r="XS3" s="13"/>
      <c r="XT3" s="13"/>
      <c r="XU3" s="13"/>
      <c r="XV3" s="13"/>
      <c r="XW3" s="13"/>
      <c r="XX3" s="13"/>
      <c r="XY3" s="13"/>
      <c r="XZ3" s="13"/>
      <c r="YA3" s="13"/>
      <c r="YB3" s="13"/>
      <c r="YC3" s="13"/>
      <c r="YD3" s="13"/>
      <c r="YE3" s="13"/>
      <c r="YF3" s="13"/>
      <c r="YG3" s="13"/>
      <c r="YH3" s="13"/>
      <c r="YI3" s="13"/>
      <c r="YJ3" s="13"/>
      <c r="YK3" s="13"/>
      <c r="YL3" s="13"/>
      <c r="YM3" s="13"/>
      <c r="YN3" s="13"/>
      <c r="YO3" s="13"/>
      <c r="YP3" s="13"/>
      <c r="YQ3" s="13"/>
      <c r="YR3" s="13"/>
      <c r="YS3" s="13"/>
      <c r="YT3" s="13"/>
      <c r="YU3" s="13"/>
      <c r="YV3" s="13"/>
      <c r="YW3" s="13"/>
      <c r="YX3" s="13"/>
      <c r="YY3" s="13"/>
      <c r="YZ3" s="13"/>
      <c r="ZA3" s="13"/>
      <c r="ZB3" s="13"/>
      <c r="ZC3" s="13"/>
      <c r="ZD3" s="13"/>
      <c r="ZE3" s="13"/>
      <c r="ZF3" s="13"/>
      <c r="ZG3" s="13"/>
      <c r="ZH3" s="13"/>
      <c r="ZI3" s="13"/>
      <c r="ZJ3" s="13"/>
      <c r="ZK3" s="13"/>
      <c r="ZL3" s="13"/>
      <c r="ZM3" s="13"/>
      <c r="ZN3" s="13"/>
      <c r="ZO3" s="13"/>
      <c r="ZP3" s="13"/>
      <c r="ZQ3" s="13"/>
      <c r="ZR3" s="13"/>
      <c r="ZS3" s="13"/>
      <c r="ZT3" s="13"/>
      <c r="ZU3" s="13"/>
      <c r="ZV3" s="13"/>
      <c r="ZW3" s="13"/>
      <c r="ZX3" s="13"/>
      <c r="ZY3" s="13"/>
      <c r="ZZ3" s="13"/>
      <c r="AAA3" s="13"/>
      <c r="AAB3" s="13"/>
      <c r="AAC3" s="13"/>
      <c r="AAD3" s="13"/>
      <c r="AAE3" s="13"/>
      <c r="AAF3" s="13"/>
      <c r="AAG3" s="13"/>
      <c r="AAH3" s="13"/>
      <c r="AAI3" s="13"/>
      <c r="AAJ3" s="13"/>
      <c r="AAK3" s="13"/>
      <c r="AAL3" s="13"/>
      <c r="AAM3" s="13"/>
      <c r="AAN3" s="13"/>
      <c r="AAO3" s="13"/>
      <c r="AAP3" s="13"/>
      <c r="AAQ3" s="13"/>
      <c r="AAR3" s="13"/>
      <c r="AAS3" s="13"/>
      <c r="AAT3" s="13"/>
      <c r="AAU3" s="13"/>
      <c r="AAV3" s="13"/>
      <c r="AAW3" s="13"/>
      <c r="AAX3" s="13"/>
      <c r="AAY3" s="13"/>
      <c r="AAZ3" s="13"/>
      <c r="ABA3" s="13"/>
      <c r="ABB3" s="13"/>
      <c r="ABC3" s="13"/>
      <c r="ABD3" s="13"/>
      <c r="ABE3" s="13"/>
      <c r="ABF3" s="13"/>
      <c r="ABG3" s="13"/>
      <c r="ABH3" s="13"/>
      <c r="ABI3" s="13"/>
      <c r="ABJ3" s="13"/>
      <c r="ABK3" s="13"/>
      <c r="ABL3" s="13"/>
      <c r="ABM3" s="13"/>
      <c r="ABN3" s="13"/>
      <c r="ABO3" s="13"/>
      <c r="ABP3" s="13"/>
      <c r="ABQ3" s="13"/>
      <c r="ABR3" s="13"/>
      <c r="ABS3" s="13"/>
      <c r="ABT3" s="13"/>
      <c r="ABU3" s="13"/>
      <c r="ABV3" s="13"/>
      <c r="ABW3" s="13"/>
      <c r="ABX3" s="13"/>
      <c r="ABY3" s="13"/>
      <c r="ABZ3" s="13"/>
      <c r="ACA3" s="13"/>
      <c r="ACB3" s="13"/>
      <c r="ACC3" s="13"/>
      <c r="ACD3" s="13"/>
      <c r="ACE3" s="13"/>
      <c r="ACF3" s="13"/>
      <c r="ACG3" s="13"/>
      <c r="ACH3" s="13"/>
      <c r="ACI3" s="13"/>
      <c r="ACJ3" s="13"/>
      <c r="ACK3" s="13"/>
      <c r="ACL3" s="13"/>
      <c r="ACM3" s="13"/>
      <c r="ACN3" s="13"/>
      <c r="ACO3" s="13"/>
      <c r="ACP3" s="13"/>
      <c r="ACQ3" s="13"/>
      <c r="ACR3" s="13"/>
      <c r="ACS3" s="13"/>
      <c r="ACT3" s="13"/>
      <c r="ACU3" s="13"/>
      <c r="ACV3" s="13"/>
      <c r="ACW3" s="13"/>
      <c r="ACX3" s="13"/>
      <c r="ACY3" s="13"/>
      <c r="ACZ3" s="13"/>
      <c r="ADA3" s="13"/>
      <c r="ADB3" s="13"/>
      <c r="ADC3" s="13"/>
      <c r="ADD3" s="13"/>
      <c r="ADE3" s="13"/>
      <c r="ADF3" s="13"/>
      <c r="ADG3" s="13"/>
      <c r="ADH3" s="13"/>
      <c r="ADI3" s="13"/>
      <c r="ADJ3" s="13"/>
      <c r="ADK3" s="13"/>
      <c r="ADL3" s="13"/>
      <c r="ADM3" s="13"/>
      <c r="ADN3" s="13"/>
      <c r="ADO3" s="13"/>
      <c r="ADP3" s="13"/>
      <c r="ADQ3" s="13"/>
      <c r="ADR3" s="13"/>
      <c r="ADS3" s="13"/>
      <c r="ADT3" s="13"/>
      <c r="ADU3" s="13"/>
      <c r="ADV3" s="13"/>
      <c r="ADW3" s="13"/>
      <c r="ADX3" s="13"/>
      <c r="ADY3" s="13"/>
      <c r="ADZ3" s="13"/>
      <c r="AEA3" s="13"/>
      <c r="AEB3" s="13"/>
      <c r="AEC3" s="13"/>
      <c r="AED3" s="13"/>
      <c r="AEE3" s="13"/>
      <c r="AEF3" s="13"/>
      <c r="AEG3" s="13"/>
      <c r="AEH3" s="13"/>
      <c r="AEI3" s="13"/>
      <c r="AEJ3" s="13"/>
      <c r="AEK3" s="13"/>
      <c r="AEL3" s="13"/>
      <c r="AEM3" s="13"/>
      <c r="AEN3" s="13"/>
      <c r="AEO3" s="13"/>
      <c r="AEP3" s="13"/>
      <c r="AEQ3" s="13"/>
      <c r="AER3" s="13"/>
      <c r="AES3" s="13"/>
      <c r="AET3" s="13"/>
      <c r="AEU3" s="13"/>
      <c r="AEV3" s="13"/>
      <c r="AEW3" s="13"/>
      <c r="AEX3" s="13"/>
      <c r="AEY3" s="13"/>
      <c r="AEZ3" s="13"/>
      <c r="AFA3" s="13"/>
      <c r="AFB3" s="13"/>
      <c r="AFC3" s="13"/>
      <c r="AFD3" s="13"/>
      <c r="AFE3" s="13"/>
      <c r="AFF3" s="13"/>
      <c r="AFG3" s="13"/>
      <c r="AFH3" s="13"/>
      <c r="AFI3" s="13"/>
      <c r="AFJ3" s="13"/>
      <c r="AFK3" s="13"/>
      <c r="AFL3" s="13"/>
      <c r="AFM3" s="13"/>
      <c r="AFN3" s="13"/>
      <c r="AFO3" s="13"/>
      <c r="AFP3" s="13"/>
      <c r="AFQ3" s="13"/>
      <c r="AFR3" s="13"/>
      <c r="AFS3" s="13"/>
      <c r="AFT3" s="13"/>
      <c r="AFU3" s="13"/>
      <c r="AFV3" s="13"/>
      <c r="AFW3" s="13"/>
      <c r="AFX3" s="13"/>
      <c r="AFY3" s="13"/>
      <c r="AFZ3" s="13"/>
      <c r="AGA3" s="13"/>
      <c r="AGB3" s="13"/>
      <c r="AGC3" s="13"/>
      <c r="AGD3" s="13"/>
      <c r="AGE3" s="13"/>
      <c r="AGF3" s="13"/>
      <c r="AGG3" s="13"/>
      <c r="AGH3" s="13"/>
      <c r="AGI3" s="13"/>
      <c r="AGJ3" s="13"/>
      <c r="AGK3" s="13"/>
      <c r="AGL3" s="13"/>
      <c r="AGM3" s="13"/>
      <c r="AGN3" s="13"/>
      <c r="AGO3" s="13"/>
      <c r="AGP3" s="13"/>
      <c r="AGQ3" s="13"/>
      <c r="AGR3" s="13"/>
      <c r="AGS3" s="13"/>
      <c r="AGT3" s="13"/>
      <c r="AGU3" s="13"/>
      <c r="AGV3" s="13"/>
      <c r="AGW3" s="13"/>
      <c r="AGX3" s="13"/>
      <c r="AGY3" s="13"/>
      <c r="AGZ3" s="13"/>
      <c r="AHA3" s="13"/>
      <c r="AHB3" s="13"/>
      <c r="AHC3" s="13"/>
      <c r="AHD3" s="13"/>
      <c r="AHE3" s="13"/>
      <c r="AHF3" s="13"/>
      <c r="AHG3" s="13"/>
      <c r="AHH3" s="13"/>
      <c r="AHI3" s="13"/>
      <c r="AHJ3" s="13"/>
      <c r="AHK3" s="13"/>
      <c r="AHL3" s="13"/>
      <c r="AHM3" s="13"/>
      <c r="AHN3" s="13"/>
      <c r="AHO3" s="13"/>
      <c r="AHP3" s="13"/>
      <c r="AHQ3" s="13"/>
      <c r="AHR3" s="13"/>
      <c r="AHS3" s="13"/>
      <c r="AHT3" s="13"/>
      <c r="AHU3" s="13"/>
      <c r="AHV3" s="13"/>
      <c r="AHW3" s="13"/>
      <c r="AHX3" s="13"/>
      <c r="AHY3" s="13"/>
      <c r="AHZ3" s="13"/>
      <c r="AIA3" s="13"/>
      <c r="AIB3" s="13"/>
      <c r="AIC3" s="13"/>
      <c r="AID3" s="13"/>
      <c r="AIE3" s="13"/>
      <c r="AIF3" s="13"/>
      <c r="AIG3" s="13"/>
      <c r="AIH3" s="13"/>
      <c r="AII3" s="13"/>
      <c r="AIJ3" s="13"/>
      <c r="AIK3" s="13"/>
      <c r="AIL3" s="13"/>
      <c r="AIM3" s="13"/>
      <c r="AIN3" s="13"/>
      <c r="AIO3" s="13"/>
      <c r="AIP3" s="13"/>
      <c r="AIQ3" s="13"/>
      <c r="AIR3" s="13"/>
      <c r="AIS3" s="13"/>
      <c r="AIT3" s="13"/>
      <c r="AIU3" s="13"/>
      <c r="AIV3" s="13"/>
      <c r="AIW3" s="13"/>
      <c r="AIX3" s="13"/>
      <c r="AIY3" s="13"/>
      <c r="AIZ3" s="13"/>
      <c r="AJA3" s="13"/>
      <c r="AJB3" s="13"/>
      <c r="AJC3" s="13"/>
      <c r="AJD3" s="13"/>
      <c r="AJE3" s="13"/>
      <c r="AJF3" s="13"/>
      <c r="AJG3" s="13"/>
      <c r="AJH3" s="13"/>
      <c r="AJI3" s="13"/>
      <c r="AJJ3" s="13"/>
      <c r="AJK3" s="13"/>
      <c r="AJL3" s="13"/>
      <c r="AJM3" s="13"/>
      <c r="AJN3" s="13"/>
      <c r="AJO3" s="13"/>
      <c r="AJP3" s="13"/>
      <c r="AJQ3" s="13"/>
      <c r="AJR3" s="13"/>
      <c r="AJS3" s="13"/>
      <c r="AJT3" s="13"/>
      <c r="AJU3" s="13"/>
      <c r="AJV3" s="13"/>
      <c r="AJW3" s="13"/>
      <c r="AJX3" s="13"/>
      <c r="AJY3" s="13"/>
      <c r="AJZ3" s="13"/>
      <c r="AKA3" s="13"/>
      <c r="AKB3" s="13"/>
      <c r="AKC3" s="13"/>
      <c r="AKD3" s="13"/>
      <c r="AKE3" s="13"/>
      <c r="AKF3" s="13"/>
      <c r="AKG3" s="13"/>
      <c r="AKH3" s="13"/>
      <c r="AKI3" s="13"/>
      <c r="AKJ3" s="13"/>
      <c r="AKK3" s="13"/>
      <c r="AKL3" s="13"/>
      <c r="AKM3" s="13"/>
      <c r="AKN3" s="13"/>
      <c r="AKO3" s="13"/>
      <c r="AKP3" s="13"/>
      <c r="AKQ3" s="13"/>
      <c r="AKR3" s="13"/>
      <c r="AKS3" s="13"/>
      <c r="AKT3" s="13"/>
      <c r="AKU3" s="13"/>
      <c r="AKV3" s="13"/>
      <c r="AKW3" s="13"/>
      <c r="AKX3" s="13"/>
      <c r="AKY3" s="13"/>
      <c r="AKZ3" s="13"/>
      <c r="ALA3" s="13"/>
      <c r="ALB3" s="13"/>
      <c r="ALC3" s="13"/>
      <c r="ALD3" s="13"/>
      <c r="ALE3" s="13"/>
      <c r="ALF3" s="13"/>
      <c r="ALG3" s="13"/>
      <c r="ALH3" s="13"/>
      <c r="ALI3" s="13"/>
      <c r="ALJ3" s="13"/>
      <c r="ALK3" s="13"/>
      <c r="ALL3" s="13"/>
      <c r="ALM3" s="13"/>
      <c r="ALN3" s="13"/>
      <c r="ALO3" s="13"/>
      <c r="ALP3" s="13"/>
      <c r="ALQ3" s="13"/>
      <c r="ALR3" s="13"/>
      <c r="ALS3" s="13"/>
      <c r="ALT3" s="13"/>
      <c r="ALU3" s="13"/>
      <c r="ALV3" s="13"/>
      <c r="ALW3" s="13"/>
      <c r="ALX3" s="13"/>
      <c r="ALY3" s="13"/>
      <c r="ALZ3" s="13"/>
      <c r="AMA3" s="13"/>
      <c r="AMB3" s="13"/>
      <c r="AMC3" s="13"/>
      <c r="AMD3" s="13"/>
      <c r="AME3" s="13"/>
      <c r="AMF3" s="13"/>
      <c r="AMG3" s="13"/>
      <c r="AMH3" s="13"/>
      <c r="AMI3" s="13"/>
      <c r="AMJ3" s="13"/>
    </row>
    <row r="4" s="555" customFormat="true" ht="23.25" hidden="false" customHeight="true" outlineLevel="0" collapsed="false">
      <c r="A4" s="554" t="s">
        <v>631</v>
      </c>
      <c r="B4" s="554"/>
      <c r="C4" s="554"/>
      <c r="D4" s="554"/>
      <c r="E4" s="554"/>
      <c r="F4" s="554"/>
      <c r="G4" s="554"/>
      <c r="H4" s="554"/>
      <c r="I4" s="554"/>
      <c r="J4" s="554"/>
      <c r="K4" s="554"/>
      <c r="L4" s="554"/>
      <c r="M4" s="554"/>
      <c r="N4" s="554"/>
      <c r="O4" s="554"/>
      <c r="P4" s="554"/>
      <c r="Q4" s="554"/>
      <c r="R4" s="554"/>
      <c r="S4" s="554"/>
      <c r="T4" s="554"/>
      <c r="U4" s="554"/>
      <c r="V4" s="554"/>
      <c r="W4" s="554"/>
    </row>
    <row r="5" s="160" customFormat="true" ht="21" hidden="false" customHeight="true" outlineLevel="0" collapsed="false">
      <c r="A5" s="556" t="str">
        <f aca="false">"PREÇO MENSAL GLOBAL - "&amp;B3</f>
        <v>PREÇO MENSAL GLOBAL - Subseção Judiciária de Uberlândia</v>
      </c>
      <c r="B5" s="556"/>
      <c r="C5" s="556"/>
      <c r="D5" s="556"/>
      <c r="E5" s="556"/>
      <c r="F5" s="556"/>
      <c r="G5" s="556"/>
      <c r="H5" s="556"/>
      <c r="I5" s="556"/>
      <c r="J5" s="556"/>
      <c r="K5" s="556"/>
      <c r="L5" s="556"/>
      <c r="M5" s="556"/>
      <c r="N5" s="556"/>
      <c r="O5" s="556"/>
      <c r="P5" s="556"/>
      <c r="Q5" s="556"/>
      <c r="R5" s="556"/>
      <c r="S5" s="556"/>
      <c r="T5" s="556"/>
      <c r="U5" s="556"/>
      <c r="V5" s="556"/>
      <c r="W5" s="556"/>
    </row>
    <row r="6" s="4" customFormat="true" ht="23.25" hidden="false" customHeight="true" outlineLevel="0" collapsed="false">
      <c r="A6" s="557" t="str">
        <f aca="false">Dados!A4</f>
        <v>Sindicato utilizado - SEAC/MG x SINDEACO/MG. Vigência: 01/01/2025 à 31/12/2025. Sendo a data base da categoria 01º Janeiro. Com número de registro no MTE MG001252/2025.</v>
      </c>
      <c r="B6" s="557"/>
      <c r="C6" s="557"/>
      <c r="D6" s="557"/>
      <c r="E6" s="557"/>
      <c r="F6" s="557"/>
      <c r="G6" s="557"/>
      <c r="H6" s="557"/>
      <c r="I6" s="557"/>
      <c r="J6" s="557"/>
      <c r="K6" s="557"/>
      <c r="L6" s="557"/>
      <c r="M6" s="557"/>
      <c r="N6" s="557"/>
      <c r="O6" s="557"/>
      <c r="P6" s="557"/>
      <c r="Q6" s="557"/>
      <c r="R6" s="557"/>
      <c r="S6" s="557"/>
      <c r="T6" s="557"/>
      <c r="U6" s="557"/>
      <c r="V6" s="557"/>
      <c r="W6" s="557"/>
    </row>
    <row r="7" s="21" customFormat="true" ht="26.25" hidden="false" customHeight="true" outlineLevel="0" collapsed="false">
      <c r="A7" s="558"/>
      <c r="B7" s="559"/>
      <c r="C7" s="559"/>
      <c r="D7" s="559"/>
      <c r="E7" s="560"/>
      <c r="F7" s="560"/>
      <c r="G7" s="560"/>
      <c r="H7" s="561" t="s">
        <v>632</v>
      </c>
      <c r="I7" s="562"/>
      <c r="J7" s="562"/>
      <c r="K7" s="560"/>
      <c r="L7" s="560"/>
      <c r="M7" s="560"/>
      <c r="N7" s="560"/>
      <c r="O7" s="560"/>
      <c r="P7" s="560"/>
      <c r="Q7" s="560"/>
      <c r="R7" s="560"/>
      <c r="S7" s="563" t="s">
        <v>633</v>
      </c>
      <c r="T7" s="563"/>
      <c r="U7" s="563"/>
      <c r="V7" s="563"/>
      <c r="W7" s="563"/>
    </row>
    <row r="8" s="21" customFormat="true" ht="27.75" hidden="false" customHeight="true" outlineLevel="0" collapsed="false">
      <c r="A8" s="564" t="s">
        <v>634</v>
      </c>
      <c r="B8" s="565" t="s">
        <v>635</v>
      </c>
      <c r="C8" s="565"/>
      <c r="D8" s="566" t="s">
        <v>40</v>
      </c>
      <c r="E8" s="566"/>
      <c r="F8" s="566"/>
      <c r="G8" s="566"/>
      <c r="H8" s="566"/>
      <c r="I8" s="566"/>
      <c r="J8" s="566"/>
      <c r="K8" s="566"/>
      <c r="L8" s="566"/>
      <c r="M8" s="566"/>
      <c r="N8" s="566"/>
      <c r="O8" s="566"/>
      <c r="P8" s="566"/>
      <c r="Q8" s="566"/>
      <c r="R8" s="566"/>
      <c r="S8" s="566"/>
      <c r="T8" s="566"/>
      <c r="U8" s="566"/>
      <c r="V8" s="566"/>
      <c r="W8" s="567" t="s">
        <v>636</v>
      </c>
    </row>
    <row r="9" s="21" customFormat="true" ht="36.75" hidden="false" customHeight="true" outlineLevel="0" collapsed="false">
      <c r="A9" s="564"/>
      <c r="B9" s="565"/>
      <c r="C9" s="565"/>
      <c r="D9" s="568" t="s">
        <v>637</v>
      </c>
      <c r="E9" s="568"/>
      <c r="F9" s="568"/>
      <c r="G9" s="568" t="s">
        <v>638</v>
      </c>
      <c r="H9" s="568"/>
      <c r="I9" s="568"/>
      <c r="J9" s="569" t="s">
        <v>639</v>
      </c>
      <c r="K9" s="569"/>
      <c r="L9" s="569"/>
      <c r="M9" s="569"/>
      <c r="N9" s="569"/>
      <c r="O9" s="569"/>
      <c r="P9" s="570" t="s">
        <v>640</v>
      </c>
      <c r="Q9" s="570"/>
      <c r="R9" s="570"/>
      <c r="S9" s="571" t="s">
        <v>641</v>
      </c>
      <c r="T9" s="572" t="s">
        <v>642</v>
      </c>
      <c r="U9" s="572"/>
      <c r="V9" s="572"/>
      <c r="W9" s="567"/>
    </row>
    <row r="10" s="21" customFormat="true" ht="27.75" hidden="false" customHeight="true" outlineLevel="0" collapsed="false">
      <c r="A10" s="564"/>
      <c r="B10" s="565"/>
      <c r="C10" s="565"/>
      <c r="D10" s="573" t="s">
        <v>643</v>
      </c>
      <c r="E10" s="573"/>
      <c r="F10" s="573"/>
      <c r="G10" s="574" t="s">
        <v>644</v>
      </c>
      <c r="H10" s="575" t="s">
        <v>645</v>
      </c>
      <c r="I10" s="575"/>
      <c r="J10" s="576" t="s">
        <v>646</v>
      </c>
      <c r="K10" s="576"/>
      <c r="L10" s="576"/>
      <c r="M10" s="577" t="s">
        <v>647</v>
      </c>
      <c r="N10" s="577"/>
      <c r="O10" s="577"/>
      <c r="P10" s="578" t="s">
        <v>648</v>
      </c>
      <c r="Q10" s="578"/>
      <c r="R10" s="578"/>
      <c r="S10" s="579" t="s">
        <v>649</v>
      </c>
      <c r="T10" s="578" t="s">
        <v>650</v>
      </c>
      <c r="U10" s="578"/>
      <c r="V10" s="578"/>
      <c r="W10" s="567"/>
    </row>
    <row r="11" s="21" customFormat="true" ht="34.3" hidden="false" customHeight="false" outlineLevel="0" collapsed="false">
      <c r="A11" s="564"/>
      <c r="B11" s="580" t="s">
        <v>22</v>
      </c>
      <c r="C11" s="581" t="s">
        <v>23</v>
      </c>
      <c r="D11" s="582" t="s">
        <v>21</v>
      </c>
      <c r="E11" s="583" t="s">
        <v>651</v>
      </c>
      <c r="F11" s="584" t="s">
        <v>652</v>
      </c>
      <c r="G11" s="574"/>
      <c r="H11" s="585" t="s">
        <v>653</v>
      </c>
      <c r="I11" s="586" t="s">
        <v>654</v>
      </c>
      <c r="J11" s="587" t="s">
        <v>655</v>
      </c>
      <c r="K11" s="585" t="s">
        <v>30</v>
      </c>
      <c r="L11" s="586" t="s">
        <v>656</v>
      </c>
      <c r="M11" s="588" t="s">
        <v>657</v>
      </c>
      <c r="N11" s="585" t="s">
        <v>31</v>
      </c>
      <c r="O11" s="589" t="s">
        <v>658</v>
      </c>
      <c r="P11" s="590" t="s">
        <v>659</v>
      </c>
      <c r="Q11" s="591" t="s">
        <v>660</v>
      </c>
      <c r="R11" s="586" t="s">
        <v>661</v>
      </c>
      <c r="S11" s="579"/>
      <c r="T11" s="592" t="s">
        <v>662</v>
      </c>
      <c r="U11" s="593" t="s">
        <v>663</v>
      </c>
      <c r="V11" s="594" t="s">
        <v>664</v>
      </c>
      <c r="W11" s="567"/>
    </row>
    <row r="12" s="55" customFormat="true" ht="15" hidden="false" customHeight="false" outlineLevel="0" collapsed="false">
      <c r="A12" s="595" t="s">
        <v>193</v>
      </c>
      <c r="B12" s="596" t="str">
        <f aca="false">Dados!C7</f>
        <v>Assistente Administrativo</v>
      </c>
      <c r="C12" s="597" t="n">
        <f aca="false">Dados!D7</f>
        <v>150</v>
      </c>
      <c r="D12" s="598" t="n">
        <f aca="false">Dados!B7</f>
        <v>10</v>
      </c>
      <c r="E12" s="599" t="n">
        <f aca="false">'Assistente Administrativo 150'!F45</f>
        <v>4445.5</v>
      </c>
      <c r="F12" s="600" t="n">
        <f aca="false">ROUND((D12*E12),2)</f>
        <v>44455</v>
      </c>
      <c r="G12" s="601" t="n">
        <f aca="false">'Assistente Administrativo 150'!I45</f>
        <v>189.43</v>
      </c>
      <c r="H12" s="602" t="n">
        <f aca="false">'Ocorrências Mensais - FAT'!F11+'Ocorrências Mensais - FAT'!H11</f>
        <v>0</v>
      </c>
      <c r="I12" s="603" t="n">
        <f aca="false">(ROUND(G12/Dados!$G$40*H12,2)-(G12/'Ocorrências Mensais - FAT'!$E$5*'Ocorrências Mensais - FAT'!G11))</f>
        <v>0</v>
      </c>
      <c r="J12" s="604" t="n">
        <f aca="false">'Assistente Administrativo 150'!G45</f>
        <v>4445.5</v>
      </c>
      <c r="K12" s="605" t="n">
        <f aca="false">'Ocorrências Mensais - FAT'!K11</f>
        <v>0</v>
      </c>
      <c r="L12" s="606" t="n">
        <f aca="false">J12/'Ocorrências Mensais - FAT'!$E$5*K12</f>
        <v>0</v>
      </c>
      <c r="M12" s="604" t="n">
        <f aca="false">'Custo Substituto'!$F$34</f>
        <v>3828.27</v>
      </c>
      <c r="N12" s="605" t="n">
        <f aca="false">'Ocorrências Mensais - FAT'!L11</f>
        <v>0</v>
      </c>
      <c r="O12" s="606" t="n">
        <f aca="false">M12/'Ocorrências Mensais - FAT'!$E$5*N12</f>
        <v>0</v>
      </c>
      <c r="P12" s="607" t="n">
        <f aca="false">'Assistente Administrativo 150'!H45</f>
        <v>484.79</v>
      </c>
      <c r="Q12" s="607" t="n">
        <f aca="false">'Ocorrências Mensais - FAT'!M11</f>
        <v>0</v>
      </c>
      <c r="R12" s="606" t="n">
        <f aca="false">ROUND((P12/Dados!$G$43*Q12),2)</f>
        <v>0</v>
      </c>
      <c r="S12" s="606" t="n">
        <f aca="false">I12+L12+O12+R12</f>
        <v>0</v>
      </c>
      <c r="T12" s="607"/>
      <c r="U12" s="607"/>
      <c r="V12" s="607"/>
      <c r="W12" s="608" t="n">
        <f aca="false">ROUND((F12-S12+V12),2)</f>
        <v>44455</v>
      </c>
      <c r="Y12" s="56"/>
    </row>
    <row r="13" s="55" customFormat="true" ht="15" hidden="false" customHeight="false" outlineLevel="0" collapsed="false">
      <c r="A13" s="595"/>
      <c r="B13" s="596" t="str">
        <f aca="false">Dados!C8</f>
        <v>Assistente Administrativo</v>
      </c>
      <c r="C13" s="597" t="n">
        <v>200</v>
      </c>
      <c r="D13" s="598" t="n">
        <f aca="false">Dados!B8</f>
        <v>3</v>
      </c>
      <c r="E13" s="599" t="n">
        <f aca="false">'Assistente Administrativo 200'!F45</f>
        <v>5620.32</v>
      </c>
      <c r="F13" s="600" t="n">
        <f aca="false">ROUND((D13*E13),2)</f>
        <v>16860.96</v>
      </c>
      <c r="G13" s="609" t="n">
        <f aca="false">'Assistente Administrativo 200'!I45</f>
        <v>148.07</v>
      </c>
      <c r="H13" s="602" t="n">
        <f aca="false">'Ocorrências Mensais - FAT'!F12+'Ocorrências Mensais - FAT'!H12</f>
        <v>0</v>
      </c>
      <c r="I13" s="603" t="n">
        <f aca="false">(ROUND(G13/Dados!$G$40*H13,2)-(G13/'Ocorrências Mensais - FAT'!$E$5*'Ocorrências Mensais - FAT'!G12))</f>
        <v>0</v>
      </c>
      <c r="J13" s="604" t="n">
        <f aca="false">'Assistente Administrativo 200'!G45</f>
        <v>5620.32</v>
      </c>
      <c r="K13" s="605" t="n">
        <f aca="false">'Ocorrências Mensais - FAT'!K12</f>
        <v>0</v>
      </c>
      <c r="L13" s="606" t="n">
        <f aca="false">J13/'Ocorrências Mensais - FAT'!$E$5*K13</f>
        <v>0</v>
      </c>
      <c r="M13" s="604" t="n">
        <v>3533.49</v>
      </c>
      <c r="N13" s="605" t="n">
        <f aca="false">'Ocorrências Mensais - FAT'!L12</f>
        <v>0</v>
      </c>
      <c r="O13" s="606" t="n">
        <f aca="false">M13/'Ocorrências Mensais - FAT'!$E$5*N13</f>
        <v>0</v>
      </c>
      <c r="P13" s="607" t="n">
        <f aca="false">'Assistente Administrativo 200'!H45</f>
        <v>484.79</v>
      </c>
      <c r="Q13" s="607" t="n">
        <f aca="false">'Ocorrências Mensais - FAT'!M12</f>
        <v>0</v>
      </c>
      <c r="R13" s="606" t="n">
        <f aca="false">ROUND((P13/Dados!$G$43*Q13),2)</f>
        <v>0</v>
      </c>
      <c r="S13" s="606" t="n">
        <f aca="false">I13+L13+O13+R13</f>
        <v>0</v>
      </c>
      <c r="T13" s="607"/>
      <c r="U13" s="607"/>
      <c r="V13" s="607"/>
      <c r="W13" s="608" t="n">
        <f aca="false">ROUND((F13-S13+V13),2)</f>
        <v>16860.96</v>
      </c>
    </row>
    <row r="14" s="55" customFormat="true" ht="15" hidden="false" customHeight="false" outlineLevel="0" collapsed="false">
      <c r="A14" s="595"/>
      <c r="B14" s="596" t="str">
        <f aca="false">Dados!C9</f>
        <v>Recepcionista</v>
      </c>
      <c r="C14" s="597" t="n">
        <f aca="false">Dados!D9</f>
        <v>150</v>
      </c>
      <c r="D14" s="598" t="n">
        <f aca="false">Dados!B9</f>
        <v>2</v>
      </c>
      <c r="E14" s="599" t="n">
        <f aca="false">'Recepcionista 150'!F45</f>
        <v>5041.54</v>
      </c>
      <c r="F14" s="600" t="n">
        <f aca="false">ROUND((D14*E14),2)</f>
        <v>10083.08</v>
      </c>
      <c r="G14" s="610" t="n">
        <f aca="false">'Recepcionista 150'!I45</f>
        <v>168.75</v>
      </c>
      <c r="H14" s="602" t="n">
        <f aca="false">'Ocorrências Mensais - FAT'!F13+'Ocorrências Mensais - FAT'!H13</f>
        <v>0</v>
      </c>
      <c r="I14" s="603" t="n">
        <f aca="false">(ROUND(G14/Dados!$G$40*H14,2)-(G14/'Ocorrências Mensais - FAT'!$E$5*'Ocorrências Mensais - FAT'!G13))</f>
        <v>0</v>
      </c>
      <c r="J14" s="611" t="n">
        <f aca="false">'Recepcionista 150'!G45</f>
        <v>5041.54</v>
      </c>
      <c r="K14" s="605" t="n">
        <f aca="false">'Ocorrências Mensais - FAT'!K13</f>
        <v>0</v>
      </c>
      <c r="L14" s="606" t="n">
        <f aca="false">J14/'Ocorrências Mensais - FAT'!$E$5*K14</f>
        <v>0</v>
      </c>
      <c r="M14" s="611" t="n">
        <f aca="false">'Custo Substituto'!H34</f>
        <v>4333.25</v>
      </c>
      <c r="N14" s="605" t="n">
        <f aca="false">'Ocorrências Mensais - FAT'!L13</f>
        <v>0</v>
      </c>
      <c r="O14" s="606" t="n">
        <f aca="false">M14/'Ocorrências Mensais - FAT'!$E$5*N14</f>
        <v>0</v>
      </c>
      <c r="P14" s="607" t="n">
        <f aca="false">'Recepcionista 150'!H45</f>
        <v>484.79</v>
      </c>
      <c r="Q14" s="607" t="n">
        <f aca="false">'Ocorrências Mensais - FAT'!M13</f>
        <v>0</v>
      </c>
      <c r="R14" s="606" t="n">
        <f aca="false">ROUND((P14/Dados!$G$43*Q14),2)</f>
        <v>0</v>
      </c>
      <c r="S14" s="606" t="n">
        <f aca="false">I14+L14+O14+R14</f>
        <v>0</v>
      </c>
      <c r="T14" s="606"/>
      <c r="U14" s="606"/>
      <c r="V14" s="606"/>
      <c r="W14" s="608" t="n">
        <f aca="false">ROUND((F14-S14+V14),2)</f>
        <v>10083.08</v>
      </c>
      <c r="Y14" s="56"/>
    </row>
    <row r="15" s="21" customFormat="true" ht="15" hidden="false" customHeight="false" outlineLevel="0" collapsed="false">
      <c r="A15" s="612" t="s">
        <v>196</v>
      </c>
      <c r="B15" s="613" t="str">
        <f aca="false">Dados!C10</f>
        <v>Servente de Limpeza insalubridade (20%)</v>
      </c>
      <c r="C15" s="614" t="n">
        <f aca="false">Dados!D10</f>
        <v>200</v>
      </c>
      <c r="D15" s="598" t="n">
        <f aca="false">Dados!B10</f>
        <v>1</v>
      </c>
      <c r="E15" s="615" t="n">
        <f aca="false">'Servente Limpeza - Insal. (20%)'!F46</f>
        <v>6108.74</v>
      </c>
      <c r="F15" s="616" t="n">
        <f aca="false">ROUND((D15*E15),2)</f>
        <v>6108.74</v>
      </c>
      <c r="G15" s="617" t="n">
        <f aca="false">'Servente Limpeza - Insal. (20%)'!I46</f>
        <v>203.37</v>
      </c>
      <c r="H15" s="618" t="n">
        <f aca="false">'Ocorrências Mensais - FAT'!F14+'Ocorrências Mensais - FAT'!H14</f>
        <v>0</v>
      </c>
      <c r="I15" s="603" t="n">
        <f aca="false">(ROUND(G15/Dados!$G$40*H15,2)-(G15/'Ocorrências Mensais - FAT'!$E$5*'Ocorrências Mensais - FAT'!G14))</f>
        <v>0</v>
      </c>
      <c r="J15" s="619" t="n">
        <f aca="false">'Servente Limpeza - Insal. (20%)'!G46</f>
        <v>4822.72</v>
      </c>
      <c r="K15" s="620" t="n">
        <f aca="false">'Ocorrências Mensais - FAT'!K14</f>
        <v>0</v>
      </c>
      <c r="L15" s="621" t="n">
        <f aca="false">J15/'Ocorrências Mensais - FAT'!$E$5*K15</f>
        <v>0</v>
      </c>
      <c r="M15" s="619" t="n">
        <f aca="false">'Custo Substituto'!J34</f>
        <v>4169.53</v>
      </c>
      <c r="N15" s="620" t="n">
        <f aca="false">'Ocorrências Mensais - FAT'!L14</f>
        <v>0</v>
      </c>
      <c r="O15" s="621" t="n">
        <f aca="false">M15/'Ocorrências Mensais - FAT'!$E$5*N15</f>
        <v>0</v>
      </c>
      <c r="P15" s="622" t="n">
        <f aca="false">'Servente Limpeza - Insal. (20%)'!H46</f>
        <v>490.31</v>
      </c>
      <c r="Q15" s="622" t="n">
        <f aca="false">'Ocorrências Mensais - FAT'!M14</f>
        <v>0</v>
      </c>
      <c r="R15" s="621" t="n">
        <f aca="false">ROUND((P15/Dados!$G$43*Q15),2)</f>
        <v>0</v>
      </c>
      <c r="S15" s="621" t="n">
        <f aca="false">I15+L15+O15+R15</f>
        <v>0</v>
      </c>
      <c r="T15" s="623"/>
      <c r="U15" s="623"/>
      <c r="V15" s="623"/>
      <c r="W15" s="624" t="n">
        <f aca="false">ROUND((F15-S15+V15),2)</f>
        <v>6108.74</v>
      </c>
    </row>
    <row r="16" s="21" customFormat="true" ht="15" hidden="false" customHeight="false" outlineLevel="0" collapsed="false">
      <c r="A16" s="612"/>
      <c r="B16" s="613" t="str">
        <f aca="false">Dados!C11</f>
        <v>Limpador de Vidro</v>
      </c>
      <c r="C16" s="614" t="n">
        <f aca="false">Dados!D11</f>
        <v>200</v>
      </c>
      <c r="D16" s="598" t="n">
        <f aca="false">Dados!B11</f>
        <v>1</v>
      </c>
      <c r="E16" s="615" t="n">
        <f aca="false">'Limpador de Vidro'!F46</f>
        <v>4456.57</v>
      </c>
      <c r="F16" s="616" t="n">
        <f aca="false">ROUND((D16*E16),2)</f>
        <v>4456.57</v>
      </c>
      <c r="G16" s="617" t="n">
        <f aca="false">'Limpador de Vidro'!I46</f>
        <v>192.55</v>
      </c>
      <c r="H16" s="618" t="n">
        <f aca="false">'Ocorrências Mensais - FAT'!F15+'Ocorrências Mensais - FAT'!H15</f>
        <v>0</v>
      </c>
      <c r="I16" s="603" t="n">
        <f aca="false">(ROUND(G16/Dados!$G$40*H16,2)-(G16/'Ocorrências Mensais - FAT'!$E$5*'Ocorrências Mensais - FAT'!G15))</f>
        <v>0</v>
      </c>
      <c r="J16" s="619" t="n">
        <f aca="false">'Limpador de Vidro'!G46</f>
        <v>4456.57</v>
      </c>
      <c r="K16" s="620" t="n">
        <f aca="false">'Ocorrências Mensais - FAT'!K15</f>
        <v>0</v>
      </c>
      <c r="L16" s="621" t="n">
        <f aca="false">J16/'Ocorrências Mensais - FAT'!$E$5*K16</f>
        <v>0</v>
      </c>
      <c r="M16" s="619" t="n">
        <f aca="false">'Custo Substituto'!K34</f>
        <v>3848.43</v>
      </c>
      <c r="N16" s="620" t="n">
        <f aca="false">'Ocorrências Mensais - FAT'!L15</f>
        <v>0</v>
      </c>
      <c r="O16" s="621" t="n">
        <f aca="false">M16/'Ocorrências Mensais - FAT'!$E$5*N16</f>
        <v>0</v>
      </c>
      <c r="P16" s="622" t="n">
        <f aca="false">'Limpador de Vidro'!H46</f>
        <v>490.31</v>
      </c>
      <c r="Q16" s="622" t="n">
        <f aca="false">'Ocorrências Mensais - FAT'!M15</f>
        <v>0</v>
      </c>
      <c r="R16" s="621" t="n">
        <f aca="false">ROUND((P16/Dados!$G$43*Q16),2)</f>
        <v>0</v>
      </c>
      <c r="S16" s="621" t="n">
        <f aca="false">I16+L16+O16+R16</f>
        <v>0</v>
      </c>
      <c r="T16" s="623"/>
      <c r="U16" s="623"/>
      <c r="V16" s="623"/>
      <c r="W16" s="624" t="n">
        <f aca="false">ROUND((F16-S16+V16),2)</f>
        <v>4456.57</v>
      </c>
    </row>
    <row r="17" s="21" customFormat="true" ht="15" hidden="false" customHeight="false" outlineLevel="0" collapsed="false">
      <c r="A17" s="612"/>
      <c r="B17" s="613" t="str">
        <f aca="false">Dados!C12</f>
        <v>Servente de Limpeza</v>
      </c>
      <c r="C17" s="614" t="n">
        <f aca="false">Dados!D12</f>
        <v>200</v>
      </c>
      <c r="D17" s="598" t="n">
        <f aca="false">Dados!B12</f>
        <v>8</v>
      </c>
      <c r="E17" s="615" t="n">
        <f aca="false">'Servente Limpeza 200h'!$F$46</f>
        <v>5431.61</v>
      </c>
      <c r="F17" s="616" t="n">
        <f aca="false">ROUND((D17*E17),2)</f>
        <v>43452.88</v>
      </c>
      <c r="G17" s="617" t="n">
        <f aca="false">'Servente Limpeza 200h'!$I$46</f>
        <v>203.37</v>
      </c>
      <c r="H17" s="618" t="n">
        <f aca="false">'Ocorrências Mensais - FAT'!F16+'Ocorrências Mensais - FAT'!H16</f>
        <v>0</v>
      </c>
      <c r="I17" s="603" t="n">
        <f aca="false">(ROUND(G17/Dados!$G$40*H17,2)-(G17/'Ocorrências Mensais - FAT'!$E$5*'Ocorrências Mensais - FAT'!G16))</f>
        <v>0</v>
      </c>
      <c r="J17" s="619" t="n">
        <f aca="false">'Servente Limpeza 200h'!$G$46</f>
        <v>4145.59</v>
      </c>
      <c r="K17" s="620" t="n">
        <f aca="false">'Ocorrências Mensais - FAT'!K16</f>
        <v>0</v>
      </c>
      <c r="L17" s="621" t="n">
        <f aca="false">J17/'Ocorrências Mensais - FAT'!$E$5*K17</f>
        <v>0</v>
      </c>
      <c r="M17" s="619" t="n">
        <f aca="false">'Custo Substituto'!L34</f>
        <v>3584.33</v>
      </c>
      <c r="N17" s="620" t="n">
        <f aca="false">'Ocorrências Mensais - FAT'!L16</f>
        <v>0</v>
      </c>
      <c r="O17" s="621" t="n">
        <f aca="false">M17/'Ocorrências Mensais - FAT'!$E$5*N17</f>
        <v>0</v>
      </c>
      <c r="P17" s="622" t="n">
        <f aca="false">'Servente Limpeza 200h'!$H$46</f>
        <v>490.31</v>
      </c>
      <c r="Q17" s="622" t="n">
        <f aca="false">'Ocorrências Mensais - FAT'!M16</f>
        <v>0</v>
      </c>
      <c r="R17" s="621" t="n">
        <f aca="false">ROUND((P17/Dados!$G$43*Q17),2)</f>
        <v>0</v>
      </c>
      <c r="S17" s="621" t="n">
        <f aca="false">I17+L17+O17+R17</f>
        <v>0</v>
      </c>
      <c r="T17" s="606" t="n">
        <f aca="false">'Servente Limpeza - Insal (40%)'!$J$47</f>
        <v>45.14</v>
      </c>
      <c r="U17" s="606" t="n">
        <f aca="false">'Ocorrências Mensais - FAT'!N16</f>
        <v>0</v>
      </c>
      <c r="V17" s="606" t="n">
        <f aca="false">T17*U17</f>
        <v>0</v>
      </c>
      <c r="W17" s="624" t="n">
        <f aca="false">ROUND((F17-S17+V17),2)</f>
        <v>43452.88</v>
      </c>
    </row>
    <row r="18" s="21" customFormat="true" ht="15" hidden="false" customHeight="false" outlineLevel="0" collapsed="false">
      <c r="A18" s="612"/>
      <c r="B18" s="613" t="str">
        <f aca="false">Dados!C13</f>
        <v>Servente de Limpeza insalubridade (40%)</v>
      </c>
      <c r="C18" s="614" t="n">
        <f aca="false">Dados!D13</f>
        <v>200</v>
      </c>
      <c r="D18" s="598" t="n">
        <f aca="false">Dados!B13</f>
        <v>2</v>
      </c>
      <c r="E18" s="615" t="n">
        <f aca="false">'Servente Limpeza - Insal (40%)'!$F$46</f>
        <v>6785.88</v>
      </c>
      <c r="F18" s="616" t="n">
        <f aca="false">ROUND((D18*E18),2)</f>
        <v>13571.76</v>
      </c>
      <c r="G18" s="617" t="n">
        <f aca="false">'Servente Limpeza - Insal (40%)'!$I$46</f>
        <v>203.37</v>
      </c>
      <c r="H18" s="618" t="n">
        <f aca="false">'Ocorrências Mensais - FAT'!F17+'Ocorrências Mensais - FAT'!H17</f>
        <v>0</v>
      </c>
      <c r="I18" s="603" t="n">
        <f aca="false">(ROUND(G18/Dados!$G$40*H18,2)-(G18/'Ocorrências Mensais - FAT'!$E$5*'Ocorrências Mensais - FAT'!G17))</f>
        <v>0</v>
      </c>
      <c r="J18" s="619" t="n">
        <f aca="false">'Servente Limpeza - Insal (40%)'!$G$46</f>
        <v>5499.86</v>
      </c>
      <c r="K18" s="620" t="n">
        <f aca="false">'Ocorrências Mensais - FAT'!K17</f>
        <v>0</v>
      </c>
      <c r="L18" s="621" t="n">
        <f aca="false">J18/'Ocorrências Mensais - FAT'!$E$5*K18</f>
        <v>0</v>
      </c>
      <c r="M18" s="619" t="n">
        <f aca="false">'Custo Substituto'!M34</f>
        <v>4755.04</v>
      </c>
      <c r="N18" s="620" t="n">
        <f aca="false">'Ocorrências Mensais - FAT'!L17</f>
        <v>0</v>
      </c>
      <c r="O18" s="621" t="n">
        <f aca="false">M18/'Ocorrências Mensais - FAT'!$E$5*N18</f>
        <v>0</v>
      </c>
      <c r="P18" s="622" t="n">
        <f aca="false">'Servente Limpeza - Insal (40%)'!$H$46</f>
        <v>490.31</v>
      </c>
      <c r="Q18" s="622" t="n">
        <f aca="false">'Ocorrências Mensais - FAT'!M17</f>
        <v>0</v>
      </c>
      <c r="R18" s="621" t="n">
        <f aca="false">ROUND((P18/Dados!$G$43*Q18),2)</f>
        <v>0</v>
      </c>
      <c r="S18" s="621" t="n">
        <f aca="false">I18+L18+O18+R18</f>
        <v>0</v>
      </c>
      <c r="T18" s="623"/>
      <c r="U18" s="623"/>
      <c r="V18" s="623"/>
      <c r="W18" s="624" t="n">
        <f aca="false">ROUND((F18-S18+V18),2)</f>
        <v>13571.76</v>
      </c>
    </row>
    <row r="19" s="78" customFormat="true" ht="23.85" hidden="false" customHeight="false" outlineLevel="0" collapsed="false">
      <c r="A19" s="612"/>
      <c r="B19" s="625" t="str">
        <f aca="false">Dados!C14</f>
        <v>Zelador acúmulo de função Lavador de Carro e Jardineiro</v>
      </c>
      <c r="C19" s="614" t="n">
        <f aca="false">Dados!D14</f>
        <v>200</v>
      </c>
      <c r="D19" s="598" t="n">
        <f aca="false">Dados!B14</f>
        <v>1</v>
      </c>
      <c r="E19" s="615" t="n">
        <f aca="false">'Zelador acúmulo Lavador Jardin.'!$F$46</f>
        <v>6354.55</v>
      </c>
      <c r="F19" s="616" t="n">
        <f aca="false">ROUND((D19*E19),2)</f>
        <v>6354.55</v>
      </c>
      <c r="G19" s="617" t="n">
        <f aca="false">'Zelador acúmulo Lavador Jardin.'!$I$46</f>
        <v>147.23</v>
      </c>
      <c r="H19" s="618" t="n">
        <f aca="false">'Ocorrências Mensais - FAT'!F18+'Ocorrências Mensais - FAT'!H18</f>
        <v>0</v>
      </c>
      <c r="I19" s="603" t="n">
        <f aca="false">(ROUND(G19/Dados!$G$40*H19,2)-(G19/'Ocorrências Mensais - FAT'!$E$5*'Ocorrências Mensais - FAT'!G18))</f>
        <v>0</v>
      </c>
      <c r="J19" s="619" t="n">
        <f aca="false">'Zelador acúmulo Lavador Jardin.'!$G$46</f>
        <v>5974.81</v>
      </c>
      <c r="K19" s="620" t="n">
        <f aca="false">'Ocorrências Mensais - FAT'!K18</f>
        <v>0</v>
      </c>
      <c r="L19" s="621" t="n">
        <f aca="false">J19/'Ocorrências Mensais - FAT'!$E$5*K19</f>
        <v>0</v>
      </c>
      <c r="M19" s="619" t="n">
        <f aca="false">'Custo Substituto'!N34</f>
        <v>5110.66</v>
      </c>
      <c r="N19" s="620" t="n">
        <f aca="false">'Ocorrências Mensais - FAT'!L18</f>
        <v>0</v>
      </c>
      <c r="O19" s="621" t="n">
        <f aca="false">M19/'Ocorrências Mensais - FAT'!$E$5*N19</f>
        <v>0</v>
      </c>
      <c r="P19" s="622" t="n">
        <f aca="false">'Zelador acúmulo Lavador Jardin.'!$H$46</f>
        <v>490.31</v>
      </c>
      <c r="Q19" s="622" t="n">
        <f aca="false">'Ocorrências Mensais - FAT'!M18</f>
        <v>0</v>
      </c>
      <c r="R19" s="621" t="n">
        <f aca="false">ROUND((P19/Dados!$G$43*Q19),2)</f>
        <v>0</v>
      </c>
      <c r="S19" s="621" t="n">
        <f aca="false">I19+L19+O19+R19</f>
        <v>0</v>
      </c>
      <c r="T19" s="623"/>
      <c r="U19" s="623"/>
      <c r="V19" s="623"/>
      <c r="W19" s="624" t="n">
        <f aca="false">ROUND((F19-S19+V19),2)</f>
        <v>6354.55</v>
      </c>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row>
    <row r="20" s="62" customFormat="true" ht="15" hidden="false" customHeight="false" outlineLevel="0" collapsed="false">
      <c r="A20" s="612"/>
      <c r="B20" s="613" t="str">
        <f aca="false">Dados!C15</f>
        <v>Encarregado Geral</v>
      </c>
      <c r="C20" s="614" t="n">
        <f aca="false">Dados!D15</f>
        <v>200</v>
      </c>
      <c r="D20" s="598" t="n">
        <f aca="false">Dados!B15</f>
        <v>1</v>
      </c>
      <c r="E20" s="615" t="n">
        <f aca="false">'Encarregado Geral'!F45</f>
        <v>5709.52</v>
      </c>
      <c r="F20" s="616" t="n">
        <f aca="false">ROUND((D20*E20),2)</f>
        <v>5709.52</v>
      </c>
      <c r="G20" s="617" t="n">
        <f aca="false">'Encarregado Geral'!I45</f>
        <v>145.57</v>
      </c>
      <c r="H20" s="618" t="n">
        <f aca="false">'Ocorrências Mensais - FAT'!F19+'Ocorrências Mensais - FAT'!H19</f>
        <v>0</v>
      </c>
      <c r="I20" s="603" t="n">
        <f aca="false">(ROUND(G20/Dados!$G$40*H20,2)-(G20/'Ocorrências Mensais - FAT'!$E$5*'Ocorrências Mensais - FAT'!G19))</f>
        <v>0</v>
      </c>
      <c r="J20" s="619" t="n">
        <f aca="false">'Encarregado Geral'!G45</f>
        <v>5709.52</v>
      </c>
      <c r="K20" s="620" t="n">
        <f aca="false">'Ocorrências Mensais - FAT'!K19</f>
        <v>0</v>
      </c>
      <c r="L20" s="621" t="n">
        <f aca="false">J20/'Ocorrências Mensais - FAT'!$E$5*K20</f>
        <v>0</v>
      </c>
      <c r="M20" s="619" t="n">
        <f aca="false">'Custo Substituto'!O34</f>
        <v>4899.46</v>
      </c>
      <c r="N20" s="620" t="n">
        <f aca="false">'Ocorrências Mensais - FAT'!L19</f>
        <v>0</v>
      </c>
      <c r="O20" s="621" t="n">
        <f aca="false">M20/'Ocorrências Mensais - FAT'!$E$5*N20</f>
        <v>0</v>
      </c>
      <c r="P20" s="622" t="n">
        <f aca="false">'Encarregado Geral'!H45</f>
        <v>484.79</v>
      </c>
      <c r="Q20" s="622" t="n">
        <f aca="false">'Ocorrências Mensais - FAT'!M19</f>
        <v>0</v>
      </c>
      <c r="R20" s="621" t="n">
        <f aca="false">ROUND((P20/Dados!$G$43*Q20),2)</f>
        <v>0</v>
      </c>
      <c r="S20" s="621" t="n">
        <f aca="false">I20+L20+O20+R20</f>
        <v>0</v>
      </c>
      <c r="T20" s="623"/>
      <c r="U20" s="623"/>
      <c r="V20" s="623"/>
      <c r="W20" s="624" t="n">
        <f aca="false">ROUND((F20-S20+V20),2)</f>
        <v>5709.52</v>
      </c>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row>
    <row r="21" s="62" customFormat="true" ht="15" hidden="false" customHeight="false" outlineLevel="0" collapsed="false">
      <c r="A21" s="169" t="s">
        <v>203</v>
      </c>
      <c r="B21" s="626" t="str">
        <f aca="false">Dados!C16</f>
        <v>Copeira</v>
      </c>
      <c r="C21" s="627" t="n">
        <f aca="false">Dados!D16</f>
        <v>200</v>
      </c>
      <c r="D21" s="598" t="n">
        <f aca="false">Dados!B16</f>
        <v>1</v>
      </c>
      <c r="E21" s="628" t="n">
        <f aca="false">'Copeira 200'!F46</f>
        <v>4521.01</v>
      </c>
      <c r="F21" s="629" t="n">
        <f aca="false">ROUND((D21*E21),2)</f>
        <v>4521.01</v>
      </c>
      <c r="G21" s="630" t="n">
        <f aca="false">'Copeira 200'!I46</f>
        <v>203.37</v>
      </c>
      <c r="H21" s="618" t="n">
        <f aca="false">'Ocorrências Mensais - FAT'!F20+'Ocorrências Mensais - FAT'!H20</f>
        <v>0</v>
      </c>
      <c r="I21" s="603" t="n">
        <f aca="false">(ROUND(G21/Dados!$G$40*H21,2)-(G21/'Ocorrências Mensais - FAT'!$E$5*'Ocorrências Mensais - FAT'!G20))</f>
        <v>0</v>
      </c>
      <c r="J21" s="630" t="n">
        <f aca="false">'Copeira 200'!G46</f>
        <v>4179.95</v>
      </c>
      <c r="K21" s="620" t="n">
        <f aca="false">'Ocorrências Mensais - FAT'!K20</f>
        <v>0</v>
      </c>
      <c r="L21" s="621" t="n">
        <f aca="false">J21/'Ocorrências Mensais - FAT'!$E$5*K21</f>
        <v>0</v>
      </c>
      <c r="M21" s="630" t="n">
        <f aca="false">'Custo Substituto'!I34</f>
        <v>3584.33</v>
      </c>
      <c r="N21" s="620" t="n">
        <f aca="false">'Ocorrências Mensais - FAT'!L20</f>
        <v>0</v>
      </c>
      <c r="O21" s="621" t="n">
        <f aca="false">M21/'Ocorrências Mensais - FAT'!$E$5*N21</f>
        <v>0</v>
      </c>
      <c r="P21" s="622" t="n">
        <f aca="false">'Copeira 200'!H46</f>
        <v>490.31</v>
      </c>
      <c r="Q21" s="622" t="n">
        <f aca="false">'Ocorrências Mensais - FAT'!M20</f>
        <v>0</v>
      </c>
      <c r="R21" s="621" t="n">
        <f aca="false">ROUND((P21/Dados!$G$43*Q21),2)</f>
        <v>0</v>
      </c>
      <c r="S21" s="621" t="n">
        <f aca="false">I21+L21+O21+R21</f>
        <v>0</v>
      </c>
      <c r="T21" s="623"/>
      <c r="U21" s="623"/>
      <c r="V21" s="623"/>
      <c r="W21" s="631" t="n">
        <f aca="false">ROUND((F21-S21+V21),2)</f>
        <v>4521.01</v>
      </c>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row>
    <row r="22" s="645" customFormat="true" ht="21.75" hidden="false" customHeight="true" outlineLevel="0" collapsed="false">
      <c r="A22" s="632" t="s">
        <v>665</v>
      </c>
      <c r="B22" s="632"/>
      <c r="C22" s="632"/>
      <c r="D22" s="633" t="n">
        <f aca="false">SUM(D12:D21)</f>
        <v>30</v>
      </c>
      <c r="E22" s="634"/>
      <c r="F22" s="635" t="n">
        <f aca="false">SUM(F12:F21)</f>
        <v>155574.07</v>
      </c>
      <c r="G22" s="636"/>
      <c r="H22" s="634" t="n">
        <f aca="false">SUM(H12:H21)</f>
        <v>0</v>
      </c>
      <c r="I22" s="637" t="n">
        <f aca="false">SUM(I12:I21)</f>
        <v>0</v>
      </c>
      <c r="J22" s="638" t="n">
        <f aca="false">SUM(J12:J21)</f>
        <v>49896.38</v>
      </c>
      <c r="K22" s="634" t="n">
        <f aca="false">SUM(K12:K21)</f>
        <v>0</v>
      </c>
      <c r="L22" s="637" t="n">
        <f aca="false">SUM(L12:L21)</f>
        <v>0</v>
      </c>
      <c r="M22" s="639" t="n">
        <f aca="false">SUM(M12:M21)</f>
        <v>41646.79</v>
      </c>
      <c r="N22" s="634" t="n">
        <f aca="false">SUM(N12:N21)</f>
        <v>0</v>
      </c>
      <c r="O22" s="640" t="n">
        <f aca="false">SUM(O12:O21)</f>
        <v>0</v>
      </c>
      <c r="P22" s="640"/>
      <c r="Q22" s="640" t="n">
        <f aca="false">SUM(Q12:Q21)</f>
        <v>0</v>
      </c>
      <c r="R22" s="640" t="n">
        <f aca="false">SUM(R12:R21)</f>
        <v>0</v>
      </c>
      <c r="S22" s="641" t="n">
        <f aca="false">SUM(S12:S21)</f>
        <v>0</v>
      </c>
      <c r="T22" s="641"/>
      <c r="U22" s="640" t="n">
        <f aca="false">SUM(U12:U21)</f>
        <v>0</v>
      </c>
      <c r="V22" s="642" t="n">
        <f aca="false">SUM(V12:V21)</f>
        <v>0</v>
      </c>
      <c r="W22" s="643" t="n">
        <f aca="false">SUM(W12:W21)</f>
        <v>155574.07</v>
      </c>
      <c r="X22" s="644" t="s">
        <v>666</v>
      </c>
      <c r="Y22" s="644"/>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c r="IU22" s="78"/>
      <c r="IV22" s="78"/>
      <c r="IW22" s="78"/>
      <c r="IX22" s="78"/>
      <c r="IY22" s="78"/>
      <c r="IZ22" s="78"/>
      <c r="JA22" s="78"/>
      <c r="JB22" s="78"/>
      <c r="JC22" s="78"/>
      <c r="JD22" s="78"/>
      <c r="JE22" s="78"/>
      <c r="JF22" s="78"/>
      <c r="JG22" s="78"/>
      <c r="JH22" s="78"/>
      <c r="JI22" s="78"/>
      <c r="JJ22" s="78"/>
      <c r="JK22" s="78"/>
      <c r="JL22" s="78"/>
      <c r="JM22" s="78"/>
      <c r="JN22" s="78"/>
      <c r="JO22" s="78"/>
      <c r="JP22" s="78"/>
      <c r="JQ22" s="78"/>
      <c r="JR22" s="78"/>
      <c r="JS22" s="78"/>
      <c r="JT22" s="78"/>
      <c r="JU22" s="78"/>
      <c r="JV22" s="78"/>
      <c r="JW22" s="78"/>
      <c r="JX22" s="78"/>
      <c r="JY22" s="78"/>
      <c r="JZ22" s="78"/>
      <c r="KA22" s="78"/>
      <c r="KB22" s="78"/>
      <c r="KC22" s="78"/>
      <c r="KD22" s="78"/>
      <c r="KE22" s="78"/>
      <c r="KF22" s="78"/>
      <c r="KG22" s="78"/>
      <c r="KH22" s="78"/>
      <c r="KI22" s="78"/>
      <c r="KJ22" s="78"/>
      <c r="KK22" s="78"/>
      <c r="KL22" s="78"/>
      <c r="KM22" s="78"/>
      <c r="KN22" s="78"/>
      <c r="KO22" s="78"/>
      <c r="KP22" s="78"/>
      <c r="KQ22" s="78"/>
      <c r="KR22" s="78"/>
      <c r="KS22" s="78"/>
      <c r="KT22" s="78"/>
      <c r="KU22" s="78"/>
      <c r="KV22" s="78"/>
      <c r="KW22" s="78"/>
      <c r="KX22" s="78"/>
      <c r="KY22" s="78"/>
      <c r="KZ22" s="78"/>
      <c r="LA22" s="78"/>
      <c r="LB22" s="78"/>
      <c r="LC22" s="78"/>
      <c r="LD22" s="78"/>
      <c r="LE22" s="78"/>
      <c r="LF22" s="78"/>
      <c r="LG22" s="78"/>
      <c r="LH22" s="78"/>
      <c r="LI22" s="78"/>
      <c r="LJ22" s="78"/>
      <c r="LK22" s="78"/>
      <c r="LL22" s="78"/>
      <c r="LM22" s="78"/>
      <c r="LN22" s="78"/>
      <c r="LO22" s="78"/>
      <c r="LP22" s="78"/>
      <c r="LQ22" s="78"/>
      <c r="LR22" s="78"/>
      <c r="LS22" s="78"/>
      <c r="LT22" s="78"/>
      <c r="LU22" s="78"/>
      <c r="LV22" s="78"/>
      <c r="LW22" s="78"/>
      <c r="LX22" s="78"/>
      <c r="LY22" s="78"/>
      <c r="LZ22" s="78"/>
      <c r="MA22" s="78"/>
      <c r="MB22" s="78"/>
      <c r="MC22" s="78"/>
      <c r="MD22" s="78"/>
      <c r="ME22" s="78"/>
      <c r="MF22" s="78"/>
      <c r="MG22" s="78"/>
      <c r="MH22" s="78"/>
      <c r="MI22" s="78"/>
      <c r="MJ22" s="78"/>
      <c r="MK22" s="78"/>
      <c r="ML22" s="78"/>
      <c r="MM22" s="78"/>
      <c r="MN22" s="78"/>
      <c r="MO22" s="78"/>
      <c r="MP22" s="78"/>
      <c r="MQ22" s="78"/>
      <c r="MR22" s="78"/>
      <c r="MS22" s="78"/>
      <c r="MT22" s="78"/>
      <c r="MU22" s="78"/>
      <c r="MV22" s="78"/>
      <c r="MW22" s="78"/>
      <c r="MX22" s="78"/>
      <c r="MY22" s="78"/>
      <c r="MZ22" s="78"/>
      <c r="NA22" s="78"/>
      <c r="NB22" s="78"/>
      <c r="NC22" s="78"/>
      <c r="ND22" s="78"/>
      <c r="NE22" s="78"/>
      <c r="NF22" s="78"/>
      <c r="NG22" s="78"/>
      <c r="NH22" s="78"/>
      <c r="NI22" s="78"/>
      <c r="NJ22" s="78"/>
      <c r="NK22" s="78"/>
      <c r="NL22" s="78"/>
      <c r="NM22" s="78"/>
      <c r="NN22" s="78"/>
      <c r="NO22" s="78"/>
      <c r="NP22" s="78"/>
      <c r="NQ22" s="78"/>
      <c r="NR22" s="78"/>
      <c r="NS22" s="78"/>
      <c r="NT22" s="78"/>
      <c r="NU22" s="78"/>
      <c r="NV22" s="78"/>
      <c r="NW22" s="78"/>
      <c r="NX22" s="78"/>
      <c r="NY22" s="78"/>
      <c r="NZ22" s="78"/>
      <c r="OA22" s="78"/>
      <c r="OB22" s="78"/>
      <c r="OC22" s="78"/>
      <c r="OD22" s="78"/>
      <c r="OE22" s="78"/>
      <c r="OF22" s="78"/>
      <c r="OG22" s="78"/>
      <c r="OH22" s="78"/>
      <c r="OI22" s="78"/>
      <c r="OJ22" s="78"/>
      <c r="OK22" s="78"/>
      <c r="OL22" s="78"/>
      <c r="OM22" s="78"/>
      <c r="ON22" s="78"/>
      <c r="OO22" s="78"/>
      <c r="OP22" s="78"/>
      <c r="OQ22" s="78"/>
      <c r="OR22" s="78"/>
      <c r="OS22" s="78"/>
      <c r="OT22" s="78"/>
      <c r="OU22" s="78"/>
      <c r="OV22" s="78"/>
      <c r="OW22" s="78"/>
      <c r="OX22" s="78"/>
      <c r="OY22" s="78"/>
      <c r="OZ22" s="78"/>
      <c r="PA22" s="78"/>
      <c r="PB22" s="78"/>
      <c r="PC22" s="78"/>
      <c r="PD22" s="78"/>
      <c r="PE22" s="78"/>
      <c r="PF22" s="78"/>
      <c r="PG22" s="78"/>
      <c r="PH22" s="78"/>
      <c r="PI22" s="78"/>
      <c r="PJ22" s="78"/>
      <c r="PK22" s="78"/>
      <c r="PL22" s="78"/>
      <c r="PM22" s="78"/>
      <c r="PN22" s="78"/>
      <c r="PO22" s="78"/>
      <c r="PP22" s="78"/>
      <c r="PQ22" s="78"/>
      <c r="PR22" s="78"/>
      <c r="PS22" s="78"/>
      <c r="PT22" s="78"/>
      <c r="PU22" s="78"/>
      <c r="PV22" s="78"/>
      <c r="PW22" s="78"/>
      <c r="PX22" s="78"/>
      <c r="PY22" s="78"/>
      <c r="PZ22" s="78"/>
      <c r="QA22" s="78"/>
      <c r="QB22" s="78"/>
      <c r="QC22" s="78"/>
      <c r="QD22" s="78"/>
      <c r="QE22" s="78"/>
      <c r="QF22" s="78"/>
      <c r="QG22" s="78"/>
      <c r="QH22" s="78"/>
      <c r="QI22" s="78"/>
      <c r="QJ22" s="78"/>
      <c r="QK22" s="78"/>
      <c r="QL22" s="78"/>
      <c r="QM22" s="78"/>
      <c r="QN22" s="78"/>
      <c r="QO22" s="78"/>
      <c r="QP22" s="78"/>
      <c r="QQ22" s="78"/>
      <c r="QR22" s="78"/>
      <c r="QS22" s="78"/>
      <c r="QT22" s="78"/>
      <c r="QU22" s="78"/>
      <c r="QV22" s="78"/>
      <c r="QW22" s="78"/>
      <c r="QX22" s="78"/>
      <c r="QY22" s="78"/>
      <c r="QZ22" s="78"/>
      <c r="RA22" s="78"/>
      <c r="RB22" s="78"/>
      <c r="RC22" s="78"/>
      <c r="RD22" s="78"/>
      <c r="RE22" s="78"/>
      <c r="RF22" s="78"/>
      <c r="RG22" s="78"/>
      <c r="RH22" s="78"/>
      <c r="RI22" s="78"/>
      <c r="RJ22" s="78"/>
      <c r="RK22" s="78"/>
      <c r="RL22" s="78"/>
      <c r="RM22" s="78"/>
      <c r="RN22" s="78"/>
      <c r="RO22" s="78"/>
      <c r="RP22" s="78"/>
      <c r="RQ22" s="78"/>
      <c r="RR22" s="78"/>
      <c r="RS22" s="78"/>
      <c r="RT22" s="78"/>
      <c r="RU22" s="78"/>
      <c r="RV22" s="78"/>
      <c r="RW22" s="78"/>
      <c r="RX22" s="78"/>
      <c r="RY22" s="78"/>
      <c r="RZ22" s="78"/>
      <c r="SA22" s="78"/>
      <c r="SB22" s="78"/>
      <c r="SC22" s="78"/>
      <c r="SD22" s="78"/>
      <c r="SE22" s="78"/>
      <c r="SF22" s="78"/>
      <c r="SG22" s="78"/>
      <c r="SH22" s="78"/>
      <c r="SI22" s="78"/>
      <c r="SJ22" s="78"/>
      <c r="SK22" s="78"/>
      <c r="SL22" s="78"/>
      <c r="SM22" s="78"/>
      <c r="SN22" s="78"/>
      <c r="SO22" s="78"/>
      <c r="SP22" s="78"/>
      <c r="SQ22" s="78"/>
      <c r="SR22" s="78"/>
      <c r="SS22" s="78"/>
      <c r="ST22" s="78"/>
      <c r="SU22" s="78"/>
      <c r="SV22" s="78"/>
      <c r="SW22" s="78"/>
      <c r="SX22" s="78"/>
      <c r="SY22" s="78"/>
      <c r="SZ22" s="78"/>
      <c r="TA22" s="78"/>
      <c r="TB22" s="78"/>
      <c r="TC22" s="78"/>
      <c r="TD22" s="78"/>
      <c r="TE22" s="78"/>
      <c r="TF22" s="78"/>
      <c r="TG22" s="78"/>
      <c r="TH22" s="78"/>
      <c r="TI22" s="78"/>
      <c r="TJ22" s="78"/>
      <c r="TK22" s="78"/>
      <c r="TL22" s="78"/>
      <c r="TM22" s="78"/>
      <c r="TN22" s="78"/>
      <c r="TO22" s="78"/>
      <c r="TP22" s="78"/>
      <c r="TQ22" s="78"/>
      <c r="TR22" s="78"/>
      <c r="TS22" s="78"/>
      <c r="TT22" s="78"/>
      <c r="TU22" s="78"/>
      <c r="TV22" s="78"/>
      <c r="TW22" s="78"/>
      <c r="TX22" s="78"/>
      <c r="TY22" s="78"/>
      <c r="TZ22" s="78"/>
      <c r="UA22" s="78"/>
      <c r="UB22" s="78"/>
      <c r="UC22" s="78"/>
      <c r="UD22" s="78"/>
      <c r="UE22" s="78"/>
      <c r="UF22" s="78"/>
      <c r="UG22" s="78"/>
      <c r="UH22" s="78"/>
      <c r="UI22" s="78"/>
      <c r="UJ22" s="78"/>
      <c r="UK22" s="78"/>
      <c r="UL22" s="78"/>
      <c r="UM22" s="78"/>
      <c r="UN22" s="78"/>
      <c r="UO22" s="78"/>
      <c r="UP22" s="78"/>
      <c r="UQ22" s="78"/>
      <c r="UR22" s="78"/>
      <c r="US22" s="78"/>
      <c r="UT22" s="78"/>
      <c r="UU22" s="78"/>
      <c r="UV22" s="78"/>
      <c r="UW22" s="78"/>
      <c r="UX22" s="78"/>
      <c r="UY22" s="78"/>
      <c r="UZ22" s="78"/>
      <c r="VA22" s="78"/>
      <c r="VB22" s="78"/>
      <c r="VC22" s="78"/>
      <c r="VD22" s="78"/>
      <c r="VE22" s="78"/>
      <c r="VF22" s="78"/>
      <c r="VG22" s="78"/>
      <c r="VH22" s="78"/>
      <c r="VI22" s="78"/>
      <c r="VJ22" s="78"/>
      <c r="VK22" s="78"/>
      <c r="VL22" s="78"/>
      <c r="VM22" s="78"/>
      <c r="VN22" s="78"/>
      <c r="VO22" s="78"/>
      <c r="VP22" s="78"/>
      <c r="VQ22" s="78"/>
      <c r="VR22" s="78"/>
      <c r="VS22" s="78"/>
      <c r="VT22" s="78"/>
      <c r="VU22" s="78"/>
      <c r="VV22" s="78"/>
      <c r="VW22" s="78"/>
      <c r="VX22" s="78"/>
      <c r="VY22" s="78"/>
      <c r="VZ22" s="78"/>
      <c r="WA22" s="78"/>
      <c r="WB22" s="78"/>
      <c r="WC22" s="78"/>
      <c r="WD22" s="78"/>
      <c r="WE22" s="78"/>
      <c r="WF22" s="78"/>
      <c r="WG22" s="78"/>
      <c r="WH22" s="78"/>
      <c r="WI22" s="78"/>
      <c r="WJ22" s="78"/>
      <c r="WK22" s="78"/>
      <c r="WL22" s="78"/>
      <c r="WM22" s="78"/>
      <c r="WN22" s="78"/>
      <c r="WO22" s="78"/>
      <c r="WP22" s="78"/>
      <c r="WQ22" s="78"/>
      <c r="WR22" s="78"/>
      <c r="WS22" s="78"/>
      <c r="WT22" s="78"/>
      <c r="WU22" s="78"/>
      <c r="WV22" s="78"/>
      <c r="WW22" s="78"/>
      <c r="WX22" s="78"/>
      <c r="WY22" s="78"/>
      <c r="WZ22" s="78"/>
      <c r="XA22" s="78"/>
      <c r="XB22" s="78"/>
      <c r="XC22" s="78"/>
      <c r="XD22" s="78"/>
      <c r="XE22" s="78"/>
      <c r="XF22" s="78"/>
      <c r="XG22" s="78"/>
      <c r="XH22" s="78"/>
      <c r="XI22" s="78"/>
      <c r="XJ22" s="78"/>
      <c r="XK22" s="78"/>
      <c r="XL22" s="78"/>
      <c r="XM22" s="78"/>
      <c r="XN22" s="78"/>
      <c r="XO22" s="78"/>
      <c r="XP22" s="78"/>
      <c r="XQ22" s="78"/>
      <c r="XR22" s="78"/>
      <c r="XS22" s="78"/>
      <c r="XT22" s="78"/>
      <c r="XU22" s="78"/>
      <c r="XV22" s="78"/>
      <c r="XW22" s="78"/>
      <c r="XX22" s="78"/>
      <c r="XY22" s="78"/>
      <c r="XZ22" s="78"/>
      <c r="YA22" s="78"/>
      <c r="YB22" s="78"/>
      <c r="YC22" s="78"/>
      <c r="YD22" s="78"/>
      <c r="YE22" s="78"/>
      <c r="YF22" s="78"/>
      <c r="YG22" s="78"/>
      <c r="YH22" s="78"/>
      <c r="YI22" s="78"/>
      <c r="YJ22" s="78"/>
      <c r="YK22" s="78"/>
      <c r="YL22" s="78"/>
      <c r="YM22" s="78"/>
      <c r="YN22" s="78"/>
      <c r="YO22" s="78"/>
      <c r="YP22" s="78"/>
      <c r="YQ22" s="78"/>
      <c r="YR22" s="78"/>
      <c r="YS22" s="78"/>
      <c r="YT22" s="78"/>
      <c r="YU22" s="78"/>
      <c r="YV22" s="78"/>
      <c r="YW22" s="78"/>
      <c r="YX22" s="78"/>
      <c r="YY22" s="78"/>
      <c r="YZ22" s="78"/>
      <c r="ZA22" s="78"/>
      <c r="ZB22" s="78"/>
      <c r="ZC22" s="78"/>
      <c r="ZD22" s="78"/>
      <c r="ZE22" s="78"/>
      <c r="ZF22" s="78"/>
      <c r="ZG22" s="78"/>
      <c r="ZH22" s="78"/>
      <c r="ZI22" s="78"/>
      <c r="ZJ22" s="78"/>
      <c r="ZK22" s="78"/>
      <c r="ZL22" s="78"/>
      <c r="ZM22" s="78"/>
      <c r="ZN22" s="78"/>
      <c r="ZO22" s="78"/>
      <c r="ZP22" s="78"/>
      <c r="ZQ22" s="78"/>
      <c r="ZR22" s="78"/>
      <c r="ZS22" s="78"/>
      <c r="ZT22" s="78"/>
      <c r="ZU22" s="78"/>
      <c r="ZV22" s="78"/>
      <c r="ZW22" s="78"/>
      <c r="ZX22" s="78"/>
      <c r="ZY22" s="78"/>
      <c r="ZZ22" s="78"/>
      <c r="AAA22" s="78"/>
      <c r="AAB22" s="78"/>
      <c r="AAC22" s="78"/>
      <c r="AAD22" s="78"/>
      <c r="AAE22" s="78"/>
      <c r="AAF22" s="78"/>
      <c r="AAG22" s="78"/>
      <c r="AAH22" s="78"/>
      <c r="AAI22" s="78"/>
      <c r="AAJ22" s="78"/>
      <c r="AAK22" s="78"/>
      <c r="AAL22" s="78"/>
      <c r="AAM22" s="78"/>
      <c r="AAN22" s="78"/>
      <c r="AAO22" s="78"/>
      <c r="AAP22" s="78"/>
      <c r="AAQ22" s="78"/>
      <c r="AAR22" s="78"/>
      <c r="AAS22" s="78"/>
      <c r="AAT22" s="78"/>
      <c r="AAU22" s="78"/>
      <c r="AAV22" s="78"/>
      <c r="AAW22" s="78"/>
      <c r="AAX22" s="78"/>
      <c r="AAY22" s="78"/>
      <c r="AAZ22" s="78"/>
      <c r="ABA22" s="78"/>
      <c r="ABB22" s="78"/>
      <c r="ABC22" s="78"/>
      <c r="ABD22" s="78"/>
      <c r="ABE22" s="78"/>
      <c r="ABF22" s="78"/>
      <c r="ABG22" s="78"/>
      <c r="ABH22" s="78"/>
      <c r="ABI22" s="78"/>
      <c r="ABJ22" s="78"/>
      <c r="ABK22" s="78"/>
      <c r="ABL22" s="78"/>
      <c r="ABM22" s="78"/>
      <c r="ABN22" s="78"/>
      <c r="ABO22" s="78"/>
      <c r="ABP22" s="78"/>
      <c r="ABQ22" s="78"/>
      <c r="ABR22" s="78"/>
      <c r="ABS22" s="78"/>
      <c r="ABT22" s="78"/>
      <c r="ABU22" s="78"/>
      <c r="ABV22" s="78"/>
      <c r="ABW22" s="78"/>
      <c r="ABX22" s="78"/>
      <c r="ABY22" s="78"/>
      <c r="ABZ22" s="78"/>
      <c r="ACA22" s="78"/>
      <c r="ACB22" s="78"/>
      <c r="ACC22" s="78"/>
      <c r="ACD22" s="78"/>
      <c r="ACE22" s="78"/>
      <c r="ACF22" s="78"/>
      <c r="ACG22" s="78"/>
      <c r="ACH22" s="78"/>
      <c r="ACI22" s="78"/>
      <c r="ACJ22" s="78"/>
      <c r="ACK22" s="78"/>
      <c r="ACL22" s="78"/>
      <c r="ACM22" s="78"/>
      <c r="ACN22" s="78"/>
      <c r="ACO22" s="78"/>
      <c r="ACP22" s="78"/>
      <c r="ACQ22" s="78"/>
      <c r="ACR22" s="78"/>
      <c r="ACS22" s="78"/>
      <c r="ACT22" s="78"/>
      <c r="ACU22" s="78"/>
      <c r="ACV22" s="78"/>
      <c r="ACW22" s="78"/>
      <c r="ACX22" s="78"/>
      <c r="ACY22" s="78"/>
      <c r="ACZ22" s="78"/>
      <c r="ADA22" s="78"/>
      <c r="ADB22" s="78"/>
      <c r="ADC22" s="78"/>
      <c r="ADD22" s="78"/>
      <c r="ADE22" s="78"/>
      <c r="ADF22" s="78"/>
      <c r="ADG22" s="78"/>
      <c r="ADH22" s="78"/>
      <c r="ADI22" s="78"/>
      <c r="ADJ22" s="78"/>
      <c r="ADK22" s="78"/>
      <c r="ADL22" s="78"/>
      <c r="ADM22" s="78"/>
      <c r="ADN22" s="78"/>
      <c r="ADO22" s="78"/>
      <c r="ADP22" s="78"/>
      <c r="ADQ22" s="78"/>
      <c r="ADR22" s="78"/>
      <c r="ADS22" s="78"/>
      <c r="ADT22" s="78"/>
      <c r="ADU22" s="78"/>
      <c r="ADV22" s="78"/>
      <c r="ADW22" s="78"/>
      <c r="ADX22" s="78"/>
      <c r="ADY22" s="78"/>
      <c r="ADZ22" s="78"/>
      <c r="AEA22" s="78"/>
      <c r="AEB22" s="78"/>
      <c r="AEC22" s="78"/>
      <c r="AED22" s="78"/>
      <c r="AEE22" s="78"/>
      <c r="AEF22" s="78"/>
      <c r="AEG22" s="78"/>
      <c r="AEH22" s="78"/>
      <c r="AEI22" s="78"/>
      <c r="AEJ22" s="78"/>
      <c r="AEK22" s="78"/>
      <c r="AEL22" s="78"/>
      <c r="AEM22" s="78"/>
      <c r="AEN22" s="78"/>
      <c r="AEO22" s="78"/>
      <c r="AEP22" s="78"/>
      <c r="AEQ22" s="78"/>
      <c r="AER22" s="78"/>
      <c r="AES22" s="78"/>
      <c r="AET22" s="78"/>
      <c r="AEU22" s="78"/>
      <c r="AEV22" s="78"/>
      <c r="AEW22" s="78"/>
      <c r="AEX22" s="78"/>
      <c r="AEY22" s="78"/>
      <c r="AEZ22" s="78"/>
      <c r="AFA22" s="78"/>
      <c r="AFB22" s="78"/>
      <c r="AFC22" s="78"/>
      <c r="AFD22" s="78"/>
      <c r="AFE22" s="78"/>
      <c r="AFF22" s="78"/>
      <c r="AFG22" s="78"/>
      <c r="AFH22" s="78"/>
      <c r="AFI22" s="78"/>
      <c r="AFJ22" s="78"/>
      <c r="AFK22" s="78"/>
      <c r="AFL22" s="78"/>
      <c r="AFM22" s="78"/>
      <c r="AFN22" s="78"/>
      <c r="AFO22" s="78"/>
      <c r="AFP22" s="78"/>
      <c r="AFQ22" s="78"/>
      <c r="AFR22" s="78"/>
      <c r="AFS22" s="78"/>
      <c r="AFT22" s="78"/>
      <c r="AFU22" s="78"/>
      <c r="AFV22" s="78"/>
      <c r="AFW22" s="78"/>
      <c r="AFX22" s="78"/>
      <c r="AFY22" s="78"/>
      <c r="AFZ22" s="78"/>
      <c r="AGA22" s="78"/>
      <c r="AGB22" s="78"/>
      <c r="AGC22" s="78"/>
      <c r="AGD22" s="78"/>
      <c r="AGE22" s="78"/>
      <c r="AGF22" s="78"/>
      <c r="AGG22" s="78"/>
      <c r="AGH22" s="78"/>
      <c r="AGI22" s="78"/>
      <c r="AGJ22" s="78"/>
      <c r="AGK22" s="78"/>
      <c r="AGL22" s="78"/>
      <c r="AGM22" s="78"/>
      <c r="AGN22" s="78"/>
      <c r="AGO22" s="78"/>
      <c r="AGP22" s="78"/>
      <c r="AGQ22" s="78"/>
      <c r="AGR22" s="78"/>
      <c r="AGS22" s="78"/>
      <c r="AGT22" s="78"/>
      <c r="AGU22" s="78"/>
      <c r="AGV22" s="78"/>
      <c r="AGW22" s="78"/>
      <c r="AGX22" s="78"/>
      <c r="AGY22" s="78"/>
      <c r="AGZ22" s="78"/>
      <c r="AHA22" s="78"/>
      <c r="AHB22" s="78"/>
      <c r="AHC22" s="78"/>
      <c r="AHD22" s="78"/>
      <c r="AHE22" s="78"/>
      <c r="AHF22" s="78"/>
      <c r="AHG22" s="78"/>
      <c r="AHH22" s="78"/>
      <c r="AHI22" s="78"/>
      <c r="AHJ22" s="78"/>
      <c r="AHK22" s="78"/>
      <c r="AHL22" s="78"/>
      <c r="AHM22" s="78"/>
      <c r="AHN22" s="78"/>
      <c r="AHO22" s="78"/>
      <c r="AHP22" s="78"/>
      <c r="AHQ22" s="78"/>
      <c r="AHR22" s="78"/>
      <c r="AHS22" s="78"/>
      <c r="AHT22" s="78"/>
      <c r="AHU22" s="78"/>
      <c r="AHV22" s="78"/>
      <c r="AHW22" s="78"/>
      <c r="AHX22" s="78"/>
      <c r="AHY22" s="78"/>
      <c r="AHZ22" s="78"/>
      <c r="AIA22" s="78"/>
      <c r="AIB22" s="78"/>
      <c r="AIC22" s="78"/>
      <c r="AID22" s="78"/>
      <c r="AIE22" s="78"/>
      <c r="AIF22" s="78"/>
      <c r="AIG22" s="78"/>
      <c r="AIH22" s="78"/>
      <c r="AII22" s="78"/>
      <c r="AIJ22" s="78"/>
      <c r="AIK22" s="78"/>
      <c r="AIL22" s="78"/>
      <c r="AIM22" s="78"/>
      <c r="AIN22" s="78"/>
      <c r="AIO22" s="78"/>
      <c r="AIP22" s="78"/>
      <c r="AIQ22" s="78"/>
      <c r="AIR22" s="78"/>
      <c r="AIS22" s="78"/>
      <c r="AIT22" s="78"/>
      <c r="AIU22" s="78"/>
      <c r="AIV22" s="78"/>
      <c r="AIW22" s="78"/>
      <c r="AIX22" s="78"/>
      <c r="AIY22" s="78"/>
      <c r="AIZ22" s="78"/>
      <c r="AJA22" s="78"/>
      <c r="AJB22" s="78"/>
      <c r="AJC22" s="78"/>
      <c r="AJD22" s="78"/>
      <c r="AJE22" s="78"/>
      <c r="AJF22" s="78"/>
      <c r="AJG22" s="78"/>
      <c r="AJH22" s="78"/>
      <c r="AJI22" s="78"/>
      <c r="AJJ22" s="78"/>
      <c r="AJK22" s="78"/>
      <c r="AJL22" s="78"/>
      <c r="AJM22" s="78"/>
      <c r="AJN22" s="78"/>
      <c r="AJO22" s="78"/>
      <c r="AJP22" s="78"/>
      <c r="AJQ22" s="78"/>
      <c r="AJR22" s="78"/>
      <c r="AJS22" s="78"/>
      <c r="AJT22" s="78"/>
      <c r="AJU22" s="78"/>
      <c r="AJV22" s="78"/>
      <c r="AJW22" s="78"/>
      <c r="AJX22" s="78"/>
      <c r="AJY22" s="78"/>
      <c r="AJZ22" s="78"/>
      <c r="AKA22" s="78"/>
      <c r="AKB22" s="78"/>
      <c r="AKC22" s="78"/>
      <c r="AKD22" s="78"/>
      <c r="AKE22" s="78"/>
      <c r="AKF22" s="78"/>
      <c r="AKG22" s="78"/>
      <c r="AKH22" s="78"/>
      <c r="AKI22" s="78"/>
      <c r="AKJ22" s="78"/>
      <c r="AKK22" s="78"/>
      <c r="AKL22" s="78"/>
      <c r="AKM22" s="78"/>
      <c r="AKN22" s="78"/>
      <c r="AKO22" s="78"/>
      <c r="AKP22" s="78"/>
      <c r="AKQ22" s="78"/>
      <c r="AKR22" s="78"/>
      <c r="AKS22" s="78"/>
      <c r="AKT22" s="78"/>
      <c r="AKU22" s="78"/>
      <c r="AKV22" s="78"/>
      <c r="AKW22" s="78"/>
      <c r="AKX22" s="78"/>
      <c r="AKY22" s="78"/>
      <c r="AKZ22" s="78"/>
      <c r="ALA22" s="78"/>
      <c r="ALB22" s="78"/>
      <c r="ALC22" s="78"/>
      <c r="ALD22" s="78"/>
      <c r="ALE22" s="78"/>
      <c r="ALF22" s="78"/>
      <c r="ALG22" s="78"/>
      <c r="ALH22" s="78"/>
      <c r="ALI22" s="78"/>
      <c r="ALJ22" s="78"/>
      <c r="ALK22" s="78"/>
      <c r="ALL22" s="78"/>
      <c r="ALM22" s="78"/>
      <c r="ALN22" s="78"/>
      <c r="ALO22" s="78"/>
      <c r="ALP22" s="78"/>
      <c r="ALQ22" s="78"/>
      <c r="ALR22" s="78"/>
      <c r="ALS22" s="78"/>
      <c r="ALT22" s="78"/>
      <c r="ALU22" s="78"/>
      <c r="ALV22" s="78"/>
      <c r="ALW22" s="78"/>
      <c r="ALX22" s="78"/>
      <c r="ALY22" s="78"/>
      <c r="ALZ22" s="78"/>
      <c r="AMA22" s="78"/>
      <c r="AMB22" s="78"/>
      <c r="AMC22" s="78"/>
      <c r="AMD22" s="78"/>
      <c r="AME22" s="78"/>
      <c r="AMF22" s="78"/>
      <c r="AMG22" s="78"/>
      <c r="AMH22" s="78"/>
      <c r="AMI22" s="78"/>
      <c r="AMJ22" s="78"/>
    </row>
    <row r="23" s="62" customFormat="true" ht="18" hidden="false" customHeight="true" outlineLevel="0" collapsed="false">
      <c r="A23" s="646" t="s">
        <v>667</v>
      </c>
      <c r="B23" s="646"/>
      <c r="C23" s="646"/>
      <c r="D23" s="646"/>
      <c r="E23" s="646"/>
      <c r="F23" s="646"/>
      <c r="G23" s="646"/>
      <c r="H23" s="646"/>
      <c r="I23" s="646"/>
      <c r="J23" s="646"/>
      <c r="K23" s="646"/>
      <c r="L23" s="646"/>
      <c r="M23" s="646"/>
      <c r="N23" s="646"/>
      <c r="O23" s="646"/>
      <c r="P23" s="646"/>
      <c r="Q23" s="646"/>
      <c r="R23" s="646"/>
      <c r="S23" s="646"/>
      <c r="T23" s="646"/>
      <c r="U23" s="646"/>
      <c r="V23" s="646"/>
      <c r="W23" s="647" t="n">
        <f aca="false">Insumos!K62+Insumos!K83+Insumos!K99+Insumos!K111</f>
        <v>11758.3941666667</v>
      </c>
    </row>
    <row r="24" s="649" customFormat="true" ht="20.25" hidden="false" customHeight="true" outlineLevel="0" collapsed="false">
      <c r="A24" s="646" t="s">
        <v>668</v>
      </c>
      <c r="B24" s="646"/>
      <c r="C24" s="646"/>
      <c r="D24" s="646"/>
      <c r="E24" s="646"/>
      <c r="F24" s="646"/>
      <c r="G24" s="646"/>
      <c r="H24" s="646"/>
      <c r="I24" s="646"/>
      <c r="J24" s="646"/>
      <c r="K24" s="646"/>
      <c r="L24" s="646"/>
      <c r="M24" s="646"/>
      <c r="N24" s="646"/>
      <c r="O24" s="646"/>
      <c r="P24" s="646"/>
      <c r="Q24" s="646"/>
      <c r="R24" s="646"/>
      <c r="S24" s="646"/>
      <c r="T24" s="646"/>
      <c r="U24" s="646"/>
      <c r="V24" s="646"/>
      <c r="W24" s="648" t="n">
        <f aca="false">W22*12</f>
        <v>1866888.84</v>
      </c>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62"/>
      <c r="ON24" s="62"/>
      <c r="OO24" s="62"/>
      <c r="OP24" s="62"/>
      <c r="OQ24" s="62"/>
      <c r="OR24" s="62"/>
      <c r="OS24" s="62"/>
      <c r="OT24" s="62"/>
      <c r="OU24" s="62"/>
      <c r="OV24" s="62"/>
      <c r="OW24" s="62"/>
      <c r="OX24" s="62"/>
      <c r="OY24" s="62"/>
      <c r="OZ24" s="62"/>
      <c r="PA24" s="62"/>
      <c r="PB24" s="62"/>
      <c r="PC24" s="62"/>
      <c r="PD24" s="62"/>
      <c r="PE24" s="62"/>
      <c r="PF24" s="62"/>
      <c r="PG24" s="62"/>
      <c r="PH24" s="62"/>
      <c r="PI24" s="62"/>
      <c r="PJ24" s="62"/>
      <c r="PK24" s="62"/>
      <c r="PL24" s="62"/>
      <c r="PM24" s="62"/>
      <c r="PN24" s="62"/>
      <c r="PO24" s="62"/>
      <c r="PP24" s="62"/>
      <c r="PQ24" s="62"/>
      <c r="PR24" s="62"/>
      <c r="PS24" s="62"/>
      <c r="PT24" s="62"/>
      <c r="PU24" s="62"/>
      <c r="PV24" s="62"/>
      <c r="PW24" s="62"/>
      <c r="PX24" s="62"/>
      <c r="PY24" s="62"/>
      <c r="PZ24" s="62"/>
      <c r="QA24" s="62"/>
      <c r="QB24" s="62"/>
      <c r="QC24" s="62"/>
      <c r="QD24" s="62"/>
      <c r="QE24" s="62"/>
      <c r="QF24" s="62"/>
      <c r="QG24" s="62"/>
      <c r="QH24" s="62"/>
      <c r="QI24" s="62"/>
      <c r="QJ24" s="62"/>
      <c r="QK24" s="62"/>
      <c r="QL24" s="62"/>
      <c r="QM24" s="62"/>
      <c r="QN24" s="62"/>
      <c r="QO24" s="62"/>
      <c r="QP24" s="62"/>
      <c r="QQ24" s="62"/>
      <c r="QR24" s="62"/>
      <c r="QS24" s="62"/>
      <c r="QT24" s="62"/>
      <c r="QU24" s="62"/>
      <c r="QV24" s="62"/>
      <c r="QW24" s="62"/>
      <c r="QX24" s="62"/>
      <c r="QY24" s="62"/>
      <c r="QZ24" s="62"/>
      <c r="RA24" s="62"/>
      <c r="RB24" s="62"/>
      <c r="RC24" s="62"/>
      <c r="RD24" s="62"/>
      <c r="RE24" s="62"/>
      <c r="RF24" s="62"/>
      <c r="RG24" s="62"/>
      <c r="RH24" s="62"/>
      <c r="RI24" s="62"/>
      <c r="RJ24" s="62"/>
      <c r="RK24" s="62"/>
      <c r="RL24" s="62"/>
      <c r="RM24" s="62"/>
      <c r="RN24" s="62"/>
      <c r="RO24" s="62"/>
      <c r="RP24" s="62"/>
      <c r="RQ24" s="62"/>
      <c r="RR24" s="62"/>
      <c r="RS24" s="62"/>
      <c r="RT24" s="62"/>
      <c r="RU24" s="62"/>
      <c r="RV24" s="62"/>
      <c r="RW24" s="62"/>
      <c r="RX24" s="62"/>
      <c r="RY24" s="62"/>
      <c r="RZ24" s="62"/>
      <c r="SA24" s="62"/>
      <c r="SB24" s="62"/>
      <c r="SC24" s="62"/>
      <c r="SD24" s="62"/>
      <c r="SE24" s="62"/>
      <c r="SF24" s="62"/>
      <c r="SG24" s="62"/>
      <c r="SH24" s="62"/>
      <c r="SI24" s="62"/>
      <c r="SJ24" s="62"/>
      <c r="SK24" s="62"/>
      <c r="SL24" s="62"/>
      <c r="SM24" s="62"/>
      <c r="SN24" s="62"/>
      <c r="SO24" s="62"/>
      <c r="SP24" s="62"/>
      <c r="SQ24" s="62"/>
      <c r="SR24" s="62"/>
      <c r="SS24" s="62"/>
      <c r="ST24" s="62"/>
      <c r="SU24" s="62"/>
      <c r="SV24" s="62"/>
      <c r="SW24" s="62"/>
      <c r="SX24" s="62"/>
      <c r="SY24" s="62"/>
      <c r="SZ24" s="62"/>
      <c r="TA24" s="62"/>
      <c r="TB24" s="62"/>
      <c r="TC24" s="62"/>
      <c r="TD24" s="62"/>
      <c r="TE24" s="62"/>
      <c r="TF24" s="62"/>
      <c r="TG24" s="62"/>
      <c r="TH24" s="62"/>
      <c r="TI24" s="62"/>
      <c r="TJ24" s="62"/>
      <c r="TK24" s="62"/>
      <c r="TL24" s="62"/>
      <c r="TM24" s="62"/>
      <c r="TN24" s="62"/>
      <c r="TO24" s="62"/>
      <c r="TP24" s="62"/>
      <c r="TQ24" s="62"/>
      <c r="TR24" s="62"/>
      <c r="TS24" s="62"/>
      <c r="TT24" s="62"/>
      <c r="TU24" s="62"/>
      <c r="TV24" s="62"/>
      <c r="TW24" s="62"/>
      <c r="TX24" s="62"/>
      <c r="TY24" s="62"/>
      <c r="TZ24" s="62"/>
      <c r="UA24" s="62"/>
      <c r="UB24" s="62"/>
      <c r="UC24" s="62"/>
      <c r="UD24" s="62"/>
      <c r="UE24" s="62"/>
      <c r="UF24" s="62"/>
      <c r="UG24" s="62"/>
      <c r="UH24" s="62"/>
      <c r="UI24" s="62"/>
      <c r="UJ24" s="62"/>
      <c r="UK24" s="62"/>
      <c r="UL24" s="62"/>
      <c r="UM24" s="62"/>
      <c r="UN24" s="62"/>
      <c r="UO24" s="62"/>
      <c r="UP24" s="62"/>
      <c r="UQ24" s="62"/>
      <c r="UR24" s="62"/>
      <c r="US24" s="62"/>
      <c r="UT24" s="62"/>
      <c r="UU24" s="62"/>
      <c r="UV24" s="62"/>
      <c r="UW24" s="62"/>
      <c r="UX24" s="62"/>
      <c r="UY24" s="62"/>
      <c r="UZ24" s="62"/>
      <c r="VA24" s="62"/>
      <c r="VB24" s="62"/>
      <c r="VC24" s="62"/>
      <c r="VD24" s="62"/>
      <c r="VE24" s="62"/>
      <c r="VF24" s="62"/>
      <c r="VG24" s="62"/>
      <c r="VH24" s="62"/>
      <c r="VI24" s="62"/>
      <c r="VJ24" s="62"/>
      <c r="VK24" s="62"/>
      <c r="VL24" s="62"/>
      <c r="VM24" s="62"/>
      <c r="VN24" s="62"/>
      <c r="VO24" s="62"/>
      <c r="VP24" s="62"/>
      <c r="VQ24" s="62"/>
      <c r="VR24" s="62"/>
      <c r="VS24" s="62"/>
      <c r="VT24" s="62"/>
      <c r="VU24" s="62"/>
      <c r="VV24" s="62"/>
      <c r="VW24" s="62"/>
      <c r="VX24" s="62"/>
      <c r="VY24" s="62"/>
      <c r="VZ24" s="62"/>
      <c r="WA24" s="62"/>
      <c r="WB24" s="62"/>
      <c r="WC24" s="62"/>
      <c r="WD24" s="62"/>
      <c r="WE24" s="62"/>
      <c r="WF24" s="62"/>
      <c r="WG24" s="62"/>
      <c r="WH24" s="62"/>
      <c r="WI24" s="62"/>
      <c r="WJ24" s="62"/>
      <c r="WK24" s="62"/>
      <c r="WL24" s="62"/>
      <c r="WM24" s="62"/>
      <c r="WN24" s="62"/>
      <c r="WO24" s="62"/>
      <c r="WP24" s="62"/>
      <c r="WQ24" s="62"/>
      <c r="WR24" s="62"/>
      <c r="WS24" s="62"/>
      <c r="WT24" s="62"/>
      <c r="WU24" s="62"/>
      <c r="WV24" s="62"/>
      <c r="WW24" s="62"/>
      <c r="WX24" s="62"/>
      <c r="WY24" s="62"/>
      <c r="WZ24" s="62"/>
      <c r="XA24" s="62"/>
      <c r="XB24" s="62"/>
      <c r="XC24" s="62"/>
      <c r="XD24" s="62"/>
      <c r="XE24" s="62"/>
      <c r="XF24" s="62"/>
      <c r="XG24" s="62"/>
      <c r="XH24" s="62"/>
      <c r="XI24" s="62"/>
      <c r="XJ24" s="62"/>
      <c r="XK24" s="62"/>
      <c r="XL24" s="62"/>
      <c r="XM24" s="62"/>
      <c r="XN24" s="62"/>
      <c r="XO24" s="62"/>
      <c r="XP24" s="62"/>
      <c r="XQ24" s="62"/>
      <c r="XR24" s="62"/>
      <c r="XS24" s="62"/>
      <c r="XT24" s="62"/>
      <c r="XU24" s="62"/>
      <c r="XV24" s="62"/>
      <c r="XW24" s="62"/>
      <c r="XX24" s="62"/>
      <c r="XY24" s="62"/>
      <c r="XZ24" s="62"/>
      <c r="YA24" s="62"/>
      <c r="YB24" s="62"/>
      <c r="YC24" s="62"/>
      <c r="YD24" s="62"/>
      <c r="YE24" s="62"/>
      <c r="YF24" s="62"/>
      <c r="YG24" s="62"/>
      <c r="YH24" s="62"/>
      <c r="YI24" s="62"/>
      <c r="YJ24" s="62"/>
      <c r="YK24" s="62"/>
      <c r="YL24" s="62"/>
      <c r="YM24" s="62"/>
      <c r="YN24" s="62"/>
      <c r="YO24" s="62"/>
      <c r="YP24" s="62"/>
      <c r="YQ24" s="62"/>
      <c r="YR24" s="62"/>
      <c r="YS24" s="62"/>
      <c r="YT24" s="62"/>
      <c r="YU24" s="62"/>
      <c r="YV24" s="62"/>
      <c r="YW24" s="62"/>
      <c r="YX24" s="62"/>
      <c r="YY24" s="62"/>
      <c r="YZ24" s="62"/>
      <c r="ZA24" s="62"/>
      <c r="ZB24" s="62"/>
      <c r="ZC24" s="62"/>
      <c r="ZD24" s="62"/>
      <c r="ZE24" s="62"/>
      <c r="ZF24" s="62"/>
      <c r="ZG24" s="62"/>
      <c r="ZH24" s="62"/>
      <c r="ZI24" s="62"/>
      <c r="ZJ24" s="62"/>
      <c r="ZK24" s="62"/>
      <c r="ZL24" s="62"/>
      <c r="ZM24" s="62"/>
      <c r="ZN24" s="62"/>
      <c r="ZO24" s="62"/>
      <c r="ZP24" s="62"/>
      <c r="ZQ24" s="62"/>
      <c r="ZR24" s="62"/>
      <c r="ZS24" s="62"/>
      <c r="ZT24" s="62"/>
      <c r="ZU24" s="62"/>
      <c r="ZV24" s="62"/>
      <c r="ZW24" s="62"/>
      <c r="ZX24" s="62"/>
      <c r="ZY24" s="62"/>
      <c r="ZZ24" s="62"/>
      <c r="AAA24" s="62"/>
      <c r="AAB24" s="62"/>
      <c r="AAC24" s="62"/>
      <c r="AAD24" s="62"/>
      <c r="AAE24" s="62"/>
      <c r="AAF24" s="62"/>
      <c r="AAG24" s="62"/>
      <c r="AAH24" s="62"/>
      <c r="AAI24" s="62"/>
      <c r="AAJ24" s="62"/>
      <c r="AAK24" s="62"/>
      <c r="AAL24" s="62"/>
      <c r="AAM24" s="62"/>
      <c r="AAN24" s="62"/>
      <c r="AAO24" s="62"/>
      <c r="AAP24" s="62"/>
      <c r="AAQ24" s="62"/>
      <c r="AAR24" s="62"/>
      <c r="AAS24" s="62"/>
      <c r="AAT24" s="62"/>
      <c r="AAU24" s="62"/>
      <c r="AAV24" s="62"/>
      <c r="AAW24" s="62"/>
      <c r="AAX24" s="62"/>
      <c r="AAY24" s="62"/>
      <c r="AAZ24" s="62"/>
      <c r="ABA24" s="62"/>
      <c r="ABB24" s="62"/>
      <c r="ABC24" s="62"/>
      <c r="ABD24" s="62"/>
      <c r="ABE24" s="62"/>
      <c r="ABF24" s="62"/>
      <c r="ABG24" s="62"/>
      <c r="ABH24" s="62"/>
      <c r="ABI24" s="62"/>
      <c r="ABJ24" s="62"/>
      <c r="ABK24" s="62"/>
      <c r="ABL24" s="62"/>
      <c r="ABM24" s="62"/>
      <c r="ABN24" s="62"/>
      <c r="ABO24" s="62"/>
      <c r="ABP24" s="62"/>
      <c r="ABQ24" s="62"/>
      <c r="ABR24" s="62"/>
      <c r="ABS24" s="62"/>
      <c r="ABT24" s="62"/>
      <c r="ABU24" s="62"/>
      <c r="ABV24" s="62"/>
      <c r="ABW24" s="62"/>
      <c r="ABX24" s="62"/>
      <c r="ABY24" s="62"/>
      <c r="ABZ24" s="62"/>
      <c r="ACA24" s="62"/>
      <c r="ACB24" s="62"/>
      <c r="ACC24" s="62"/>
      <c r="ACD24" s="62"/>
      <c r="ACE24" s="62"/>
      <c r="ACF24" s="62"/>
      <c r="ACG24" s="62"/>
      <c r="ACH24" s="62"/>
      <c r="ACI24" s="62"/>
      <c r="ACJ24" s="62"/>
      <c r="ACK24" s="62"/>
      <c r="ACL24" s="62"/>
      <c r="ACM24" s="62"/>
      <c r="ACN24" s="62"/>
      <c r="ACO24" s="62"/>
      <c r="ACP24" s="62"/>
      <c r="ACQ24" s="62"/>
      <c r="ACR24" s="62"/>
      <c r="ACS24" s="62"/>
      <c r="ACT24" s="62"/>
      <c r="ACU24" s="62"/>
      <c r="ACV24" s="62"/>
      <c r="ACW24" s="62"/>
      <c r="ACX24" s="62"/>
      <c r="ACY24" s="62"/>
      <c r="ACZ24" s="62"/>
      <c r="ADA24" s="62"/>
      <c r="ADB24" s="62"/>
      <c r="ADC24" s="62"/>
      <c r="ADD24" s="62"/>
      <c r="ADE24" s="62"/>
      <c r="ADF24" s="62"/>
      <c r="ADG24" s="62"/>
      <c r="ADH24" s="62"/>
      <c r="ADI24" s="62"/>
      <c r="ADJ24" s="62"/>
      <c r="ADK24" s="62"/>
      <c r="ADL24" s="62"/>
      <c r="ADM24" s="62"/>
      <c r="ADN24" s="62"/>
      <c r="ADO24" s="62"/>
      <c r="ADP24" s="62"/>
      <c r="ADQ24" s="62"/>
      <c r="ADR24" s="62"/>
      <c r="ADS24" s="62"/>
      <c r="ADT24" s="62"/>
      <c r="ADU24" s="62"/>
      <c r="ADV24" s="62"/>
      <c r="ADW24" s="62"/>
      <c r="ADX24" s="62"/>
      <c r="ADY24" s="62"/>
      <c r="ADZ24" s="62"/>
      <c r="AEA24" s="62"/>
      <c r="AEB24" s="62"/>
      <c r="AEC24" s="62"/>
      <c r="AED24" s="62"/>
      <c r="AEE24" s="62"/>
      <c r="AEF24" s="62"/>
      <c r="AEG24" s="62"/>
      <c r="AEH24" s="62"/>
      <c r="AEI24" s="62"/>
      <c r="AEJ24" s="62"/>
      <c r="AEK24" s="62"/>
      <c r="AEL24" s="62"/>
      <c r="AEM24" s="62"/>
      <c r="AEN24" s="62"/>
      <c r="AEO24" s="62"/>
      <c r="AEP24" s="62"/>
      <c r="AEQ24" s="62"/>
      <c r="AER24" s="62"/>
      <c r="AES24" s="62"/>
      <c r="AET24" s="62"/>
      <c r="AEU24" s="62"/>
      <c r="AEV24" s="62"/>
      <c r="AEW24" s="62"/>
      <c r="AEX24" s="62"/>
      <c r="AEY24" s="62"/>
      <c r="AEZ24" s="62"/>
      <c r="AFA24" s="62"/>
      <c r="AFB24" s="62"/>
      <c r="AFC24" s="62"/>
      <c r="AFD24" s="62"/>
      <c r="AFE24" s="62"/>
      <c r="AFF24" s="62"/>
      <c r="AFG24" s="62"/>
      <c r="AFH24" s="62"/>
      <c r="AFI24" s="62"/>
      <c r="AFJ24" s="62"/>
      <c r="AFK24" s="62"/>
      <c r="AFL24" s="62"/>
      <c r="AFM24" s="62"/>
      <c r="AFN24" s="62"/>
      <c r="AFO24" s="62"/>
      <c r="AFP24" s="62"/>
      <c r="AFQ24" s="62"/>
      <c r="AFR24" s="62"/>
      <c r="AFS24" s="62"/>
      <c r="AFT24" s="62"/>
      <c r="AFU24" s="62"/>
      <c r="AFV24" s="62"/>
      <c r="AFW24" s="62"/>
      <c r="AFX24" s="62"/>
      <c r="AFY24" s="62"/>
      <c r="AFZ24" s="62"/>
      <c r="AGA24" s="62"/>
      <c r="AGB24" s="62"/>
      <c r="AGC24" s="62"/>
      <c r="AGD24" s="62"/>
      <c r="AGE24" s="62"/>
      <c r="AGF24" s="62"/>
      <c r="AGG24" s="62"/>
      <c r="AGH24" s="62"/>
      <c r="AGI24" s="62"/>
      <c r="AGJ24" s="62"/>
      <c r="AGK24" s="62"/>
      <c r="AGL24" s="62"/>
      <c r="AGM24" s="62"/>
      <c r="AGN24" s="62"/>
      <c r="AGO24" s="62"/>
      <c r="AGP24" s="62"/>
      <c r="AGQ24" s="62"/>
      <c r="AGR24" s="62"/>
      <c r="AGS24" s="62"/>
      <c r="AGT24" s="62"/>
      <c r="AGU24" s="62"/>
      <c r="AGV24" s="62"/>
      <c r="AGW24" s="62"/>
      <c r="AGX24" s="62"/>
      <c r="AGY24" s="62"/>
      <c r="AGZ24" s="62"/>
      <c r="AHA24" s="62"/>
      <c r="AHB24" s="62"/>
      <c r="AHC24" s="62"/>
      <c r="AHD24" s="62"/>
      <c r="AHE24" s="62"/>
      <c r="AHF24" s="62"/>
      <c r="AHG24" s="62"/>
      <c r="AHH24" s="62"/>
      <c r="AHI24" s="62"/>
      <c r="AHJ24" s="62"/>
      <c r="AHK24" s="62"/>
      <c r="AHL24" s="62"/>
      <c r="AHM24" s="62"/>
      <c r="AHN24" s="62"/>
      <c r="AHO24" s="62"/>
      <c r="AHP24" s="62"/>
      <c r="AHQ24" s="62"/>
      <c r="AHR24" s="62"/>
      <c r="AHS24" s="62"/>
      <c r="AHT24" s="62"/>
      <c r="AHU24" s="62"/>
      <c r="AHV24" s="62"/>
      <c r="AHW24" s="62"/>
      <c r="AHX24" s="62"/>
      <c r="AHY24" s="62"/>
      <c r="AHZ24" s="62"/>
      <c r="AIA24" s="62"/>
      <c r="AIB24" s="62"/>
      <c r="AIC24" s="62"/>
      <c r="AID24" s="62"/>
      <c r="AIE24" s="62"/>
      <c r="AIF24" s="62"/>
      <c r="AIG24" s="62"/>
      <c r="AIH24" s="62"/>
      <c r="AII24" s="62"/>
      <c r="AIJ24" s="62"/>
      <c r="AIK24" s="62"/>
      <c r="AIL24" s="62"/>
      <c r="AIM24" s="62"/>
      <c r="AIN24" s="62"/>
      <c r="AIO24" s="62"/>
      <c r="AIP24" s="62"/>
      <c r="AIQ24" s="62"/>
      <c r="AIR24" s="62"/>
      <c r="AIS24" s="62"/>
      <c r="AIT24" s="62"/>
      <c r="AIU24" s="62"/>
      <c r="AIV24" s="62"/>
      <c r="AIW24" s="62"/>
      <c r="AIX24" s="62"/>
      <c r="AIY24" s="62"/>
      <c r="AIZ24" s="62"/>
      <c r="AJA24" s="62"/>
      <c r="AJB24" s="62"/>
      <c r="AJC24" s="62"/>
      <c r="AJD24" s="62"/>
      <c r="AJE24" s="62"/>
      <c r="AJF24" s="62"/>
      <c r="AJG24" s="62"/>
      <c r="AJH24" s="62"/>
      <c r="AJI24" s="62"/>
      <c r="AJJ24" s="62"/>
      <c r="AJK24" s="62"/>
      <c r="AJL24" s="62"/>
      <c r="AJM24" s="62"/>
      <c r="AJN24" s="62"/>
      <c r="AJO24" s="62"/>
      <c r="AJP24" s="62"/>
      <c r="AJQ24" s="62"/>
      <c r="AJR24" s="62"/>
      <c r="AJS24" s="62"/>
      <c r="AJT24" s="62"/>
      <c r="AJU24" s="62"/>
      <c r="AJV24" s="62"/>
      <c r="AJW24" s="62"/>
      <c r="AJX24" s="62"/>
      <c r="AJY24" s="62"/>
      <c r="AJZ24" s="62"/>
      <c r="AKA24" s="62"/>
      <c r="AKB24" s="62"/>
      <c r="AKC24" s="62"/>
      <c r="AKD24" s="62"/>
      <c r="AKE24" s="62"/>
      <c r="AKF24" s="62"/>
      <c r="AKG24" s="62"/>
      <c r="AKH24" s="62"/>
      <c r="AKI24" s="62"/>
      <c r="AKJ24" s="62"/>
      <c r="AKK24" s="62"/>
      <c r="AKL24" s="62"/>
      <c r="AKM24" s="62"/>
      <c r="AKN24" s="62"/>
      <c r="AKO24" s="62"/>
      <c r="AKP24" s="62"/>
      <c r="AKQ24" s="62"/>
      <c r="AKR24" s="62"/>
      <c r="AKS24" s="62"/>
      <c r="AKT24" s="62"/>
      <c r="AKU24" s="62"/>
      <c r="AKV24" s="62"/>
      <c r="AKW24" s="62"/>
      <c r="AKX24" s="62"/>
      <c r="AKY24" s="62"/>
      <c r="AKZ24" s="62"/>
      <c r="ALA24" s="62"/>
      <c r="ALB24" s="62"/>
      <c r="ALC24" s="62"/>
      <c r="ALD24" s="62"/>
      <c r="ALE24" s="62"/>
      <c r="ALF24" s="62"/>
      <c r="ALG24" s="62"/>
      <c r="ALH24" s="62"/>
      <c r="ALI24" s="62"/>
      <c r="ALJ24" s="62"/>
      <c r="ALK24" s="62"/>
      <c r="ALL24" s="62"/>
      <c r="ALM24" s="62"/>
      <c r="ALN24" s="62"/>
      <c r="ALO24" s="62"/>
      <c r="ALP24" s="62"/>
      <c r="ALQ24" s="62"/>
      <c r="ALR24" s="62"/>
      <c r="ALS24" s="62"/>
      <c r="ALT24" s="62"/>
      <c r="ALU24" s="62"/>
      <c r="ALV24" s="62"/>
      <c r="ALW24" s="62"/>
      <c r="ALX24" s="62"/>
      <c r="ALY24" s="62"/>
      <c r="ALZ24" s="62"/>
      <c r="AMA24" s="62"/>
      <c r="AMB24" s="62"/>
      <c r="AMC24" s="62"/>
      <c r="AMD24" s="62"/>
      <c r="AME24" s="62"/>
      <c r="AMF24" s="62"/>
      <c r="AMG24" s="62"/>
      <c r="AMH24" s="62"/>
      <c r="AMI24" s="62"/>
      <c r="AMJ24" s="62"/>
    </row>
    <row r="25" customFormat="false" ht="24" hidden="false" customHeight="true" outlineLevel="0" collapsed="false">
      <c r="A25" s="650" t="s">
        <v>46</v>
      </c>
      <c r="B25" s="650"/>
      <c r="C25" s="650"/>
      <c r="D25" s="650"/>
      <c r="E25" s="650"/>
      <c r="F25" s="650"/>
      <c r="G25" s="650"/>
      <c r="H25" s="650"/>
      <c r="I25" s="650"/>
      <c r="J25" s="650"/>
      <c r="K25" s="650"/>
      <c r="L25" s="650"/>
      <c r="M25" s="650"/>
      <c r="N25" s="650"/>
      <c r="O25" s="650"/>
      <c r="P25" s="650"/>
      <c r="Q25" s="650"/>
      <c r="R25" s="650"/>
      <c r="S25" s="650"/>
      <c r="T25" s="650"/>
      <c r="U25" s="650"/>
      <c r="V25" s="650"/>
      <c r="W25" s="650"/>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45"/>
      <c r="BA25" s="645"/>
      <c r="BB25" s="645"/>
      <c r="BC25" s="645"/>
      <c r="BD25" s="645"/>
      <c r="BE25" s="645"/>
      <c r="BF25" s="645"/>
      <c r="BG25" s="645"/>
      <c r="BH25" s="645"/>
      <c r="BI25" s="645"/>
      <c r="BJ25" s="645"/>
      <c r="BK25" s="645"/>
      <c r="BL25" s="645"/>
      <c r="BM25" s="645"/>
      <c r="BN25" s="645"/>
      <c r="BO25" s="645"/>
      <c r="BP25" s="645"/>
      <c r="BQ25" s="645"/>
      <c r="BR25" s="645"/>
      <c r="BS25" s="645"/>
      <c r="BT25" s="645"/>
      <c r="BU25" s="645"/>
      <c r="BV25" s="645"/>
      <c r="BW25" s="645"/>
      <c r="BX25" s="645"/>
      <c r="BY25" s="645"/>
      <c r="BZ25" s="645"/>
      <c r="CA25" s="645"/>
      <c r="CB25" s="645"/>
      <c r="CC25" s="645"/>
      <c r="CD25" s="645"/>
      <c r="CE25" s="645"/>
      <c r="CF25" s="645"/>
      <c r="CG25" s="645"/>
      <c r="CH25" s="645"/>
      <c r="CI25" s="645"/>
      <c r="CJ25" s="645"/>
      <c r="CK25" s="645"/>
      <c r="CL25" s="645"/>
      <c r="CM25" s="645"/>
      <c r="CN25" s="645"/>
      <c r="CO25" s="645"/>
      <c r="CP25" s="645"/>
      <c r="CQ25" s="645"/>
      <c r="CR25" s="645"/>
      <c r="CS25" s="645"/>
      <c r="CT25" s="645"/>
      <c r="CU25" s="645"/>
      <c r="CV25" s="645"/>
      <c r="CW25" s="645"/>
      <c r="CX25" s="645"/>
      <c r="CY25" s="645"/>
      <c r="CZ25" s="645"/>
      <c r="DA25" s="645"/>
      <c r="DB25" s="645"/>
      <c r="DC25" s="645"/>
      <c r="DD25" s="645"/>
      <c r="DE25" s="645"/>
      <c r="DF25" s="645"/>
      <c r="DG25" s="645"/>
      <c r="DH25" s="645"/>
      <c r="DI25" s="645"/>
      <c r="DJ25" s="645"/>
      <c r="DK25" s="645"/>
      <c r="DL25" s="645"/>
      <c r="DM25" s="645"/>
      <c r="DN25" s="645"/>
      <c r="DO25" s="645"/>
      <c r="DP25" s="645"/>
      <c r="DQ25" s="645"/>
      <c r="DR25" s="645"/>
      <c r="DS25" s="645"/>
      <c r="DT25" s="645"/>
      <c r="DU25" s="645"/>
      <c r="DV25" s="645"/>
      <c r="DW25" s="645"/>
      <c r="DX25" s="645"/>
      <c r="DY25" s="645"/>
      <c r="DZ25" s="645"/>
      <c r="EA25" s="645"/>
      <c r="EB25" s="645"/>
      <c r="EC25" s="645"/>
      <c r="ED25" s="645"/>
      <c r="EE25" s="645"/>
      <c r="EF25" s="645"/>
      <c r="EG25" s="645"/>
      <c r="EH25" s="645"/>
      <c r="EI25" s="645"/>
      <c r="EJ25" s="645"/>
      <c r="EK25" s="645"/>
      <c r="EL25" s="645"/>
      <c r="EM25" s="645"/>
      <c r="EN25" s="645"/>
      <c r="EO25" s="645"/>
      <c r="EP25" s="645"/>
      <c r="EQ25" s="645"/>
      <c r="ER25" s="645"/>
      <c r="ES25" s="645"/>
      <c r="ET25" s="645"/>
      <c r="EU25" s="645"/>
      <c r="EV25" s="645"/>
      <c r="EW25" s="645"/>
      <c r="EX25" s="645"/>
      <c r="EY25" s="645"/>
      <c r="EZ25" s="645"/>
      <c r="FA25" s="645"/>
      <c r="FB25" s="645"/>
      <c r="FC25" s="645"/>
      <c r="FD25" s="645"/>
      <c r="FE25" s="645"/>
      <c r="FF25" s="645"/>
      <c r="FG25" s="645"/>
      <c r="FH25" s="645"/>
      <c r="FI25" s="645"/>
      <c r="FJ25" s="645"/>
      <c r="FK25" s="645"/>
      <c r="FL25" s="645"/>
      <c r="FM25" s="645"/>
      <c r="FN25" s="645"/>
      <c r="FO25" s="645"/>
      <c r="FP25" s="645"/>
      <c r="FQ25" s="645"/>
      <c r="FR25" s="645"/>
      <c r="FS25" s="645"/>
      <c r="FT25" s="645"/>
      <c r="FU25" s="645"/>
      <c r="FV25" s="645"/>
      <c r="FW25" s="645"/>
      <c r="FX25" s="645"/>
      <c r="FY25" s="645"/>
      <c r="FZ25" s="645"/>
      <c r="GA25" s="645"/>
      <c r="GB25" s="645"/>
      <c r="GC25" s="645"/>
      <c r="GD25" s="645"/>
      <c r="GE25" s="645"/>
      <c r="GF25" s="645"/>
      <c r="GG25" s="645"/>
      <c r="GH25" s="645"/>
      <c r="GI25" s="645"/>
      <c r="GJ25" s="645"/>
      <c r="GK25" s="645"/>
      <c r="GL25" s="645"/>
      <c r="GM25" s="645"/>
      <c r="GN25" s="645"/>
      <c r="GO25" s="645"/>
      <c r="GP25" s="645"/>
      <c r="GQ25" s="645"/>
      <c r="GR25" s="645"/>
      <c r="GS25" s="645"/>
      <c r="GT25" s="645"/>
      <c r="GU25" s="645"/>
      <c r="GV25" s="645"/>
      <c r="GW25" s="645"/>
      <c r="GX25" s="645"/>
      <c r="GY25" s="645"/>
      <c r="GZ25" s="645"/>
      <c r="HA25" s="645"/>
      <c r="HB25" s="645"/>
      <c r="HC25" s="645"/>
      <c r="HD25" s="645"/>
      <c r="HE25" s="645"/>
      <c r="HF25" s="645"/>
      <c r="HG25" s="645"/>
      <c r="HH25" s="645"/>
      <c r="HI25" s="645"/>
      <c r="HJ25" s="645"/>
      <c r="HK25" s="645"/>
      <c r="HL25" s="645"/>
      <c r="HM25" s="645"/>
      <c r="HN25" s="645"/>
      <c r="HO25" s="645"/>
      <c r="HP25" s="645"/>
      <c r="HQ25" s="645"/>
      <c r="HR25" s="645"/>
      <c r="HS25" s="645"/>
      <c r="HT25" s="645"/>
      <c r="HU25" s="645"/>
      <c r="HV25" s="645"/>
      <c r="HW25" s="645"/>
      <c r="HX25" s="645"/>
      <c r="HY25" s="645"/>
      <c r="HZ25" s="645"/>
      <c r="IA25" s="645"/>
      <c r="IB25" s="645"/>
      <c r="IC25" s="645"/>
      <c r="ID25" s="645"/>
      <c r="IE25" s="645"/>
      <c r="IF25" s="645"/>
      <c r="IG25" s="645"/>
      <c r="IH25" s="645"/>
      <c r="II25" s="645"/>
      <c r="IJ25" s="645"/>
      <c r="IK25" s="645"/>
      <c r="IL25" s="645"/>
      <c r="IM25" s="645"/>
      <c r="IN25" s="645"/>
      <c r="IO25" s="645"/>
      <c r="IP25" s="645"/>
      <c r="IQ25" s="645"/>
      <c r="IR25" s="645"/>
      <c r="IS25" s="645"/>
      <c r="IT25" s="645"/>
      <c r="IU25" s="645"/>
      <c r="IV25" s="645"/>
      <c r="IW25" s="645"/>
      <c r="IX25" s="645"/>
      <c r="IY25" s="645"/>
      <c r="IZ25" s="645"/>
      <c r="JA25" s="645"/>
      <c r="JB25" s="645"/>
      <c r="JC25" s="645"/>
      <c r="JD25" s="645"/>
      <c r="JE25" s="645"/>
      <c r="JF25" s="645"/>
      <c r="JG25" s="645"/>
      <c r="JH25" s="645"/>
      <c r="JI25" s="645"/>
      <c r="JJ25" s="645"/>
      <c r="JK25" s="645"/>
      <c r="JL25" s="645"/>
      <c r="JM25" s="645"/>
      <c r="JN25" s="645"/>
      <c r="JO25" s="645"/>
      <c r="JP25" s="645"/>
      <c r="JQ25" s="645"/>
      <c r="JR25" s="645"/>
      <c r="JS25" s="645"/>
      <c r="JT25" s="645"/>
      <c r="JU25" s="645"/>
      <c r="JV25" s="645"/>
      <c r="JW25" s="645"/>
      <c r="JX25" s="645"/>
      <c r="JY25" s="645"/>
      <c r="JZ25" s="645"/>
      <c r="KA25" s="645"/>
      <c r="KB25" s="645"/>
      <c r="KC25" s="645"/>
      <c r="KD25" s="645"/>
      <c r="KE25" s="645"/>
      <c r="KF25" s="645"/>
      <c r="KG25" s="645"/>
      <c r="KH25" s="645"/>
      <c r="KI25" s="645"/>
      <c r="KJ25" s="645"/>
      <c r="KK25" s="645"/>
      <c r="KL25" s="645"/>
      <c r="KM25" s="645"/>
      <c r="KN25" s="645"/>
      <c r="KO25" s="645"/>
      <c r="KP25" s="645"/>
      <c r="KQ25" s="645"/>
      <c r="KR25" s="645"/>
      <c r="KS25" s="645"/>
      <c r="KT25" s="645"/>
      <c r="KU25" s="645"/>
      <c r="KV25" s="645"/>
      <c r="KW25" s="645"/>
      <c r="KX25" s="645"/>
      <c r="KY25" s="645"/>
      <c r="KZ25" s="645"/>
      <c r="LA25" s="645"/>
      <c r="LB25" s="645"/>
      <c r="LC25" s="645"/>
      <c r="LD25" s="645"/>
      <c r="LE25" s="645"/>
      <c r="LF25" s="645"/>
      <c r="LG25" s="645"/>
      <c r="LH25" s="645"/>
      <c r="LI25" s="645"/>
      <c r="LJ25" s="645"/>
      <c r="LK25" s="645"/>
      <c r="LL25" s="645"/>
      <c r="LM25" s="645"/>
      <c r="LN25" s="645"/>
      <c r="LO25" s="645"/>
      <c r="LP25" s="645"/>
      <c r="LQ25" s="645"/>
      <c r="LR25" s="645"/>
      <c r="LS25" s="645"/>
      <c r="LT25" s="645"/>
      <c r="LU25" s="645"/>
      <c r="LV25" s="645"/>
      <c r="LW25" s="645"/>
      <c r="LX25" s="645"/>
      <c r="LY25" s="645"/>
      <c r="LZ25" s="645"/>
      <c r="MA25" s="645"/>
      <c r="MB25" s="645"/>
      <c r="MC25" s="645"/>
      <c r="MD25" s="645"/>
      <c r="ME25" s="645"/>
      <c r="MF25" s="645"/>
      <c r="MG25" s="645"/>
      <c r="MH25" s="645"/>
      <c r="MI25" s="645"/>
      <c r="MJ25" s="645"/>
      <c r="MK25" s="645"/>
      <c r="ML25" s="645"/>
      <c r="MM25" s="645"/>
      <c r="MN25" s="645"/>
      <c r="MO25" s="645"/>
      <c r="MP25" s="645"/>
      <c r="MQ25" s="645"/>
      <c r="MR25" s="645"/>
      <c r="MS25" s="645"/>
      <c r="MT25" s="645"/>
      <c r="MU25" s="645"/>
      <c r="MV25" s="645"/>
      <c r="MW25" s="645"/>
      <c r="MX25" s="645"/>
      <c r="MY25" s="645"/>
      <c r="MZ25" s="645"/>
      <c r="NA25" s="645"/>
      <c r="NB25" s="645"/>
      <c r="NC25" s="645"/>
      <c r="ND25" s="645"/>
      <c r="NE25" s="645"/>
      <c r="NF25" s="645"/>
      <c r="NG25" s="645"/>
      <c r="NH25" s="645"/>
      <c r="NI25" s="645"/>
      <c r="NJ25" s="645"/>
      <c r="NK25" s="645"/>
      <c r="NL25" s="645"/>
      <c r="NM25" s="645"/>
      <c r="NN25" s="645"/>
      <c r="NO25" s="645"/>
      <c r="NP25" s="645"/>
      <c r="NQ25" s="645"/>
      <c r="NR25" s="645"/>
      <c r="NS25" s="645"/>
      <c r="NT25" s="645"/>
      <c r="NU25" s="645"/>
      <c r="NV25" s="645"/>
      <c r="NW25" s="645"/>
      <c r="NX25" s="645"/>
      <c r="NY25" s="645"/>
      <c r="NZ25" s="645"/>
      <c r="OA25" s="645"/>
      <c r="OB25" s="645"/>
      <c r="OC25" s="645"/>
      <c r="OD25" s="645"/>
      <c r="OE25" s="645"/>
      <c r="OF25" s="645"/>
      <c r="OG25" s="645"/>
      <c r="OH25" s="645"/>
      <c r="OI25" s="645"/>
      <c r="OJ25" s="645"/>
      <c r="OK25" s="645"/>
      <c r="OL25" s="645"/>
      <c r="OM25" s="645"/>
      <c r="ON25" s="645"/>
      <c r="OO25" s="645"/>
      <c r="OP25" s="645"/>
      <c r="OQ25" s="645"/>
      <c r="OR25" s="645"/>
      <c r="OS25" s="645"/>
      <c r="OT25" s="645"/>
      <c r="OU25" s="645"/>
      <c r="OV25" s="645"/>
      <c r="OW25" s="645"/>
      <c r="OX25" s="645"/>
      <c r="OY25" s="645"/>
      <c r="OZ25" s="645"/>
      <c r="PA25" s="645"/>
      <c r="PB25" s="645"/>
      <c r="PC25" s="645"/>
      <c r="PD25" s="645"/>
      <c r="PE25" s="645"/>
      <c r="PF25" s="645"/>
      <c r="PG25" s="645"/>
      <c r="PH25" s="645"/>
      <c r="PI25" s="645"/>
      <c r="PJ25" s="645"/>
      <c r="PK25" s="645"/>
      <c r="PL25" s="645"/>
      <c r="PM25" s="645"/>
      <c r="PN25" s="645"/>
      <c r="PO25" s="645"/>
      <c r="PP25" s="645"/>
      <c r="PQ25" s="645"/>
      <c r="PR25" s="645"/>
      <c r="PS25" s="645"/>
      <c r="PT25" s="645"/>
      <c r="PU25" s="645"/>
      <c r="PV25" s="645"/>
      <c r="PW25" s="645"/>
      <c r="PX25" s="645"/>
      <c r="PY25" s="645"/>
      <c r="PZ25" s="645"/>
      <c r="QA25" s="645"/>
      <c r="QB25" s="645"/>
      <c r="QC25" s="645"/>
      <c r="QD25" s="645"/>
      <c r="QE25" s="645"/>
      <c r="QF25" s="645"/>
      <c r="QG25" s="645"/>
      <c r="QH25" s="645"/>
      <c r="QI25" s="645"/>
      <c r="QJ25" s="645"/>
      <c r="QK25" s="645"/>
      <c r="QL25" s="645"/>
      <c r="QM25" s="645"/>
      <c r="QN25" s="645"/>
      <c r="QO25" s="645"/>
      <c r="QP25" s="645"/>
      <c r="QQ25" s="645"/>
      <c r="QR25" s="645"/>
      <c r="QS25" s="645"/>
      <c r="QT25" s="645"/>
      <c r="QU25" s="645"/>
      <c r="QV25" s="645"/>
      <c r="QW25" s="645"/>
      <c r="QX25" s="645"/>
      <c r="QY25" s="645"/>
      <c r="QZ25" s="645"/>
      <c r="RA25" s="645"/>
      <c r="RB25" s="645"/>
      <c r="RC25" s="645"/>
      <c r="RD25" s="645"/>
      <c r="RE25" s="645"/>
      <c r="RF25" s="645"/>
      <c r="RG25" s="645"/>
      <c r="RH25" s="645"/>
      <c r="RI25" s="645"/>
      <c r="RJ25" s="645"/>
      <c r="RK25" s="645"/>
      <c r="RL25" s="645"/>
      <c r="RM25" s="645"/>
      <c r="RN25" s="645"/>
      <c r="RO25" s="645"/>
      <c r="RP25" s="645"/>
      <c r="RQ25" s="645"/>
      <c r="RR25" s="645"/>
      <c r="RS25" s="645"/>
      <c r="RT25" s="645"/>
      <c r="RU25" s="645"/>
      <c r="RV25" s="645"/>
      <c r="RW25" s="645"/>
      <c r="RX25" s="645"/>
      <c r="RY25" s="645"/>
      <c r="RZ25" s="645"/>
      <c r="SA25" s="645"/>
      <c r="SB25" s="645"/>
      <c r="SC25" s="645"/>
      <c r="SD25" s="645"/>
      <c r="SE25" s="645"/>
      <c r="SF25" s="645"/>
      <c r="SG25" s="645"/>
      <c r="SH25" s="645"/>
      <c r="SI25" s="645"/>
      <c r="SJ25" s="645"/>
      <c r="SK25" s="645"/>
      <c r="SL25" s="645"/>
      <c r="SM25" s="645"/>
      <c r="SN25" s="645"/>
      <c r="SO25" s="645"/>
      <c r="SP25" s="645"/>
      <c r="SQ25" s="645"/>
      <c r="SR25" s="645"/>
      <c r="SS25" s="645"/>
      <c r="ST25" s="645"/>
      <c r="SU25" s="645"/>
      <c r="SV25" s="645"/>
      <c r="SW25" s="645"/>
      <c r="SX25" s="645"/>
      <c r="SY25" s="645"/>
      <c r="SZ25" s="645"/>
      <c r="TA25" s="645"/>
      <c r="TB25" s="645"/>
      <c r="TC25" s="645"/>
      <c r="TD25" s="645"/>
      <c r="TE25" s="645"/>
      <c r="TF25" s="645"/>
      <c r="TG25" s="645"/>
      <c r="TH25" s="645"/>
      <c r="TI25" s="645"/>
      <c r="TJ25" s="645"/>
      <c r="TK25" s="645"/>
      <c r="TL25" s="645"/>
      <c r="TM25" s="645"/>
      <c r="TN25" s="645"/>
      <c r="TO25" s="645"/>
      <c r="TP25" s="645"/>
      <c r="TQ25" s="645"/>
      <c r="TR25" s="645"/>
      <c r="TS25" s="645"/>
      <c r="TT25" s="645"/>
      <c r="TU25" s="645"/>
      <c r="TV25" s="645"/>
      <c r="TW25" s="645"/>
      <c r="TX25" s="645"/>
      <c r="TY25" s="645"/>
      <c r="TZ25" s="645"/>
      <c r="UA25" s="645"/>
      <c r="UB25" s="645"/>
      <c r="UC25" s="645"/>
      <c r="UD25" s="645"/>
      <c r="UE25" s="645"/>
      <c r="UF25" s="645"/>
      <c r="UG25" s="645"/>
      <c r="UH25" s="645"/>
      <c r="UI25" s="645"/>
      <c r="UJ25" s="645"/>
      <c r="UK25" s="645"/>
      <c r="UL25" s="645"/>
      <c r="UM25" s="645"/>
      <c r="UN25" s="645"/>
      <c r="UO25" s="645"/>
      <c r="UP25" s="645"/>
      <c r="UQ25" s="645"/>
      <c r="UR25" s="645"/>
      <c r="US25" s="645"/>
      <c r="UT25" s="645"/>
      <c r="UU25" s="645"/>
      <c r="UV25" s="645"/>
      <c r="UW25" s="645"/>
      <c r="UX25" s="645"/>
      <c r="UY25" s="645"/>
      <c r="UZ25" s="645"/>
      <c r="VA25" s="645"/>
      <c r="VB25" s="645"/>
      <c r="VC25" s="645"/>
      <c r="VD25" s="645"/>
      <c r="VE25" s="645"/>
      <c r="VF25" s="645"/>
      <c r="VG25" s="645"/>
      <c r="VH25" s="645"/>
      <c r="VI25" s="645"/>
      <c r="VJ25" s="645"/>
      <c r="VK25" s="645"/>
      <c r="VL25" s="645"/>
      <c r="VM25" s="645"/>
      <c r="VN25" s="645"/>
      <c r="VO25" s="645"/>
      <c r="VP25" s="645"/>
      <c r="VQ25" s="645"/>
      <c r="VR25" s="645"/>
      <c r="VS25" s="645"/>
      <c r="VT25" s="645"/>
      <c r="VU25" s="645"/>
      <c r="VV25" s="645"/>
      <c r="VW25" s="645"/>
      <c r="VX25" s="645"/>
      <c r="VY25" s="645"/>
      <c r="VZ25" s="645"/>
      <c r="WA25" s="645"/>
      <c r="WB25" s="645"/>
      <c r="WC25" s="645"/>
      <c r="WD25" s="645"/>
      <c r="WE25" s="645"/>
      <c r="WF25" s="645"/>
      <c r="WG25" s="645"/>
      <c r="WH25" s="645"/>
      <c r="WI25" s="645"/>
      <c r="WJ25" s="645"/>
      <c r="WK25" s="645"/>
      <c r="WL25" s="645"/>
      <c r="WM25" s="645"/>
      <c r="WN25" s="645"/>
      <c r="WO25" s="645"/>
      <c r="WP25" s="645"/>
      <c r="WQ25" s="645"/>
      <c r="WR25" s="645"/>
      <c r="WS25" s="645"/>
      <c r="WT25" s="645"/>
      <c r="WU25" s="645"/>
      <c r="WV25" s="645"/>
      <c r="WW25" s="645"/>
      <c r="WX25" s="645"/>
      <c r="WY25" s="645"/>
      <c r="WZ25" s="645"/>
      <c r="XA25" s="645"/>
      <c r="XB25" s="645"/>
      <c r="XC25" s="645"/>
      <c r="XD25" s="645"/>
      <c r="XE25" s="645"/>
      <c r="XF25" s="645"/>
      <c r="XG25" s="645"/>
      <c r="XH25" s="645"/>
      <c r="XI25" s="645"/>
      <c r="XJ25" s="645"/>
      <c r="XK25" s="645"/>
      <c r="XL25" s="645"/>
      <c r="XM25" s="645"/>
      <c r="XN25" s="645"/>
      <c r="XO25" s="645"/>
      <c r="XP25" s="645"/>
      <c r="XQ25" s="645"/>
      <c r="XR25" s="645"/>
      <c r="XS25" s="645"/>
      <c r="XT25" s="645"/>
      <c r="XU25" s="645"/>
      <c r="XV25" s="645"/>
      <c r="XW25" s="645"/>
      <c r="XX25" s="645"/>
      <c r="XY25" s="645"/>
      <c r="XZ25" s="645"/>
      <c r="YA25" s="645"/>
      <c r="YB25" s="645"/>
      <c r="YC25" s="645"/>
      <c r="YD25" s="645"/>
      <c r="YE25" s="645"/>
      <c r="YF25" s="645"/>
      <c r="YG25" s="645"/>
      <c r="YH25" s="645"/>
      <c r="YI25" s="645"/>
      <c r="YJ25" s="645"/>
      <c r="YK25" s="645"/>
      <c r="YL25" s="645"/>
      <c r="YM25" s="645"/>
      <c r="YN25" s="645"/>
      <c r="YO25" s="645"/>
      <c r="YP25" s="645"/>
      <c r="YQ25" s="645"/>
      <c r="YR25" s="645"/>
      <c r="YS25" s="645"/>
      <c r="YT25" s="645"/>
      <c r="YU25" s="645"/>
      <c r="YV25" s="645"/>
      <c r="YW25" s="645"/>
      <c r="YX25" s="645"/>
      <c r="YY25" s="645"/>
      <c r="YZ25" s="645"/>
      <c r="ZA25" s="645"/>
      <c r="ZB25" s="645"/>
      <c r="ZC25" s="645"/>
      <c r="ZD25" s="645"/>
      <c r="ZE25" s="645"/>
      <c r="ZF25" s="645"/>
      <c r="ZG25" s="645"/>
      <c r="ZH25" s="645"/>
      <c r="ZI25" s="645"/>
      <c r="ZJ25" s="645"/>
      <c r="ZK25" s="645"/>
      <c r="ZL25" s="645"/>
      <c r="ZM25" s="645"/>
      <c r="ZN25" s="645"/>
      <c r="ZO25" s="645"/>
      <c r="ZP25" s="645"/>
      <c r="ZQ25" s="645"/>
      <c r="ZR25" s="645"/>
      <c r="ZS25" s="645"/>
      <c r="ZT25" s="645"/>
      <c r="ZU25" s="645"/>
      <c r="ZV25" s="645"/>
      <c r="ZW25" s="645"/>
      <c r="ZX25" s="645"/>
      <c r="ZY25" s="645"/>
      <c r="ZZ25" s="645"/>
      <c r="AAA25" s="645"/>
      <c r="AAB25" s="645"/>
      <c r="AAC25" s="645"/>
      <c r="AAD25" s="645"/>
      <c r="AAE25" s="645"/>
      <c r="AAF25" s="645"/>
      <c r="AAG25" s="645"/>
      <c r="AAH25" s="645"/>
      <c r="AAI25" s="645"/>
      <c r="AAJ25" s="645"/>
      <c r="AAK25" s="645"/>
      <c r="AAL25" s="645"/>
      <c r="AAM25" s="645"/>
      <c r="AAN25" s="645"/>
      <c r="AAO25" s="645"/>
      <c r="AAP25" s="645"/>
      <c r="AAQ25" s="645"/>
      <c r="AAR25" s="645"/>
      <c r="AAS25" s="645"/>
      <c r="AAT25" s="645"/>
      <c r="AAU25" s="645"/>
      <c r="AAV25" s="645"/>
      <c r="AAW25" s="645"/>
      <c r="AAX25" s="645"/>
      <c r="AAY25" s="645"/>
      <c r="AAZ25" s="645"/>
      <c r="ABA25" s="645"/>
      <c r="ABB25" s="645"/>
      <c r="ABC25" s="645"/>
      <c r="ABD25" s="645"/>
      <c r="ABE25" s="645"/>
      <c r="ABF25" s="645"/>
      <c r="ABG25" s="645"/>
      <c r="ABH25" s="645"/>
      <c r="ABI25" s="645"/>
      <c r="ABJ25" s="645"/>
      <c r="ABK25" s="645"/>
      <c r="ABL25" s="645"/>
      <c r="ABM25" s="645"/>
      <c r="ABN25" s="645"/>
      <c r="ABO25" s="645"/>
      <c r="ABP25" s="645"/>
      <c r="ABQ25" s="645"/>
      <c r="ABR25" s="645"/>
      <c r="ABS25" s="645"/>
      <c r="ABT25" s="645"/>
      <c r="ABU25" s="645"/>
      <c r="ABV25" s="645"/>
      <c r="ABW25" s="645"/>
      <c r="ABX25" s="645"/>
      <c r="ABY25" s="645"/>
      <c r="ABZ25" s="645"/>
      <c r="ACA25" s="645"/>
      <c r="ACB25" s="645"/>
      <c r="ACC25" s="645"/>
      <c r="ACD25" s="645"/>
      <c r="ACE25" s="645"/>
      <c r="ACF25" s="645"/>
      <c r="ACG25" s="645"/>
      <c r="ACH25" s="645"/>
      <c r="ACI25" s="645"/>
      <c r="ACJ25" s="645"/>
      <c r="ACK25" s="645"/>
      <c r="ACL25" s="645"/>
      <c r="ACM25" s="645"/>
      <c r="ACN25" s="645"/>
      <c r="ACO25" s="645"/>
      <c r="ACP25" s="645"/>
      <c r="ACQ25" s="645"/>
      <c r="ACR25" s="645"/>
      <c r="ACS25" s="645"/>
      <c r="ACT25" s="645"/>
      <c r="ACU25" s="645"/>
      <c r="ACV25" s="645"/>
      <c r="ACW25" s="645"/>
      <c r="ACX25" s="645"/>
      <c r="ACY25" s="645"/>
      <c r="ACZ25" s="645"/>
      <c r="ADA25" s="645"/>
      <c r="ADB25" s="645"/>
      <c r="ADC25" s="645"/>
      <c r="ADD25" s="645"/>
      <c r="ADE25" s="645"/>
      <c r="ADF25" s="645"/>
      <c r="ADG25" s="645"/>
      <c r="ADH25" s="645"/>
      <c r="ADI25" s="645"/>
      <c r="ADJ25" s="645"/>
      <c r="ADK25" s="645"/>
      <c r="ADL25" s="645"/>
      <c r="ADM25" s="645"/>
      <c r="ADN25" s="645"/>
      <c r="ADO25" s="645"/>
      <c r="ADP25" s="645"/>
      <c r="ADQ25" s="645"/>
      <c r="ADR25" s="645"/>
      <c r="ADS25" s="645"/>
      <c r="ADT25" s="645"/>
      <c r="ADU25" s="645"/>
      <c r="ADV25" s="645"/>
      <c r="ADW25" s="645"/>
      <c r="ADX25" s="645"/>
      <c r="ADY25" s="645"/>
      <c r="ADZ25" s="645"/>
      <c r="AEA25" s="645"/>
      <c r="AEB25" s="645"/>
      <c r="AEC25" s="645"/>
      <c r="AED25" s="645"/>
      <c r="AEE25" s="645"/>
      <c r="AEF25" s="645"/>
      <c r="AEG25" s="645"/>
      <c r="AEH25" s="645"/>
      <c r="AEI25" s="645"/>
      <c r="AEJ25" s="645"/>
      <c r="AEK25" s="645"/>
      <c r="AEL25" s="645"/>
      <c r="AEM25" s="645"/>
      <c r="AEN25" s="645"/>
      <c r="AEO25" s="645"/>
      <c r="AEP25" s="645"/>
      <c r="AEQ25" s="645"/>
      <c r="AER25" s="645"/>
      <c r="AES25" s="645"/>
      <c r="AET25" s="645"/>
      <c r="AEU25" s="645"/>
      <c r="AEV25" s="645"/>
      <c r="AEW25" s="645"/>
      <c r="AEX25" s="645"/>
      <c r="AEY25" s="645"/>
      <c r="AEZ25" s="645"/>
      <c r="AFA25" s="645"/>
      <c r="AFB25" s="645"/>
      <c r="AFC25" s="645"/>
      <c r="AFD25" s="645"/>
      <c r="AFE25" s="645"/>
      <c r="AFF25" s="645"/>
      <c r="AFG25" s="645"/>
      <c r="AFH25" s="645"/>
      <c r="AFI25" s="645"/>
      <c r="AFJ25" s="645"/>
      <c r="AFK25" s="645"/>
      <c r="AFL25" s="645"/>
      <c r="AFM25" s="645"/>
      <c r="AFN25" s="645"/>
      <c r="AFO25" s="645"/>
      <c r="AFP25" s="645"/>
      <c r="AFQ25" s="645"/>
      <c r="AFR25" s="645"/>
      <c r="AFS25" s="645"/>
      <c r="AFT25" s="645"/>
      <c r="AFU25" s="645"/>
      <c r="AFV25" s="645"/>
      <c r="AFW25" s="645"/>
      <c r="AFX25" s="645"/>
      <c r="AFY25" s="645"/>
      <c r="AFZ25" s="645"/>
      <c r="AGA25" s="645"/>
      <c r="AGB25" s="645"/>
      <c r="AGC25" s="645"/>
      <c r="AGD25" s="645"/>
      <c r="AGE25" s="645"/>
      <c r="AGF25" s="645"/>
      <c r="AGG25" s="645"/>
      <c r="AGH25" s="645"/>
      <c r="AGI25" s="645"/>
      <c r="AGJ25" s="645"/>
      <c r="AGK25" s="645"/>
      <c r="AGL25" s="645"/>
      <c r="AGM25" s="645"/>
      <c r="AGN25" s="645"/>
      <c r="AGO25" s="645"/>
      <c r="AGP25" s="645"/>
      <c r="AGQ25" s="645"/>
      <c r="AGR25" s="645"/>
      <c r="AGS25" s="645"/>
      <c r="AGT25" s="645"/>
      <c r="AGU25" s="645"/>
      <c r="AGV25" s="645"/>
      <c r="AGW25" s="645"/>
      <c r="AGX25" s="645"/>
      <c r="AGY25" s="645"/>
      <c r="AGZ25" s="645"/>
      <c r="AHA25" s="645"/>
      <c r="AHB25" s="645"/>
      <c r="AHC25" s="645"/>
      <c r="AHD25" s="645"/>
      <c r="AHE25" s="645"/>
      <c r="AHF25" s="645"/>
      <c r="AHG25" s="645"/>
      <c r="AHH25" s="645"/>
      <c r="AHI25" s="645"/>
      <c r="AHJ25" s="645"/>
      <c r="AHK25" s="645"/>
      <c r="AHL25" s="645"/>
      <c r="AHM25" s="645"/>
      <c r="AHN25" s="645"/>
      <c r="AHO25" s="645"/>
      <c r="AHP25" s="645"/>
      <c r="AHQ25" s="645"/>
      <c r="AHR25" s="645"/>
      <c r="AHS25" s="645"/>
      <c r="AHT25" s="645"/>
      <c r="AHU25" s="645"/>
      <c r="AHV25" s="645"/>
      <c r="AHW25" s="645"/>
      <c r="AHX25" s="645"/>
      <c r="AHY25" s="645"/>
      <c r="AHZ25" s="645"/>
      <c r="AIA25" s="645"/>
      <c r="AIB25" s="645"/>
      <c r="AIC25" s="645"/>
      <c r="AID25" s="645"/>
      <c r="AIE25" s="645"/>
      <c r="AIF25" s="645"/>
      <c r="AIG25" s="645"/>
      <c r="AIH25" s="645"/>
      <c r="AII25" s="645"/>
      <c r="AIJ25" s="645"/>
      <c r="AIK25" s="645"/>
      <c r="AIL25" s="645"/>
      <c r="AIM25" s="645"/>
      <c r="AIN25" s="645"/>
      <c r="AIO25" s="645"/>
      <c r="AIP25" s="645"/>
      <c r="AIQ25" s="645"/>
      <c r="AIR25" s="645"/>
      <c r="AIS25" s="645"/>
      <c r="AIT25" s="645"/>
      <c r="AIU25" s="645"/>
      <c r="AIV25" s="645"/>
      <c r="AIW25" s="645"/>
      <c r="AIX25" s="645"/>
      <c r="AIY25" s="645"/>
      <c r="AIZ25" s="645"/>
      <c r="AJA25" s="645"/>
      <c r="AJB25" s="645"/>
      <c r="AJC25" s="645"/>
      <c r="AJD25" s="645"/>
      <c r="AJE25" s="645"/>
      <c r="AJF25" s="645"/>
      <c r="AJG25" s="645"/>
      <c r="AJH25" s="645"/>
      <c r="AJI25" s="645"/>
      <c r="AJJ25" s="645"/>
      <c r="AJK25" s="645"/>
      <c r="AJL25" s="645"/>
      <c r="AJM25" s="645"/>
      <c r="AJN25" s="645"/>
      <c r="AJO25" s="645"/>
      <c r="AJP25" s="645"/>
      <c r="AJQ25" s="645"/>
      <c r="AJR25" s="645"/>
      <c r="AJS25" s="645"/>
      <c r="AJT25" s="645"/>
      <c r="AJU25" s="645"/>
      <c r="AJV25" s="645"/>
      <c r="AJW25" s="645"/>
      <c r="AJX25" s="645"/>
      <c r="AJY25" s="645"/>
      <c r="AJZ25" s="645"/>
      <c r="AKA25" s="645"/>
      <c r="AKB25" s="645"/>
      <c r="AKC25" s="645"/>
      <c r="AKD25" s="645"/>
      <c r="AKE25" s="645"/>
      <c r="AKF25" s="645"/>
      <c r="AKG25" s="645"/>
      <c r="AKH25" s="645"/>
      <c r="AKI25" s="645"/>
      <c r="AKJ25" s="645"/>
      <c r="AKK25" s="645"/>
      <c r="AKL25" s="645"/>
      <c r="AKM25" s="645"/>
      <c r="AKN25" s="645"/>
      <c r="AKO25" s="645"/>
      <c r="AKP25" s="645"/>
      <c r="AKQ25" s="645"/>
      <c r="AKR25" s="645"/>
      <c r="AKS25" s="645"/>
      <c r="AKT25" s="645"/>
      <c r="AKU25" s="645"/>
      <c r="AKV25" s="645"/>
      <c r="AKW25" s="645"/>
      <c r="AKX25" s="645"/>
      <c r="AKY25" s="645"/>
      <c r="AKZ25" s="645"/>
      <c r="ALA25" s="645"/>
      <c r="ALB25" s="645"/>
      <c r="ALC25" s="645"/>
      <c r="ALD25" s="645"/>
      <c r="ALE25" s="645"/>
      <c r="ALF25" s="645"/>
      <c r="ALG25" s="645"/>
      <c r="ALH25" s="645"/>
      <c r="ALI25" s="645"/>
      <c r="ALJ25" s="645"/>
      <c r="ALK25" s="645"/>
      <c r="ALL25" s="645"/>
      <c r="ALM25" s="645"/>
      <c r="ALN25" s="645"/>
      <c r="ALO25" s="645"/>
      <c r="ALP25" s="645"/>
      <c r="ALQ25" s="645"/>
      <c r="ALR25" s="645"/>
      <c r="ALS25" s="645"/>
      <c r="ALT25" s="645"/>
      <c r="ALU25" s="645"/>
      <c r="ALV25" s="645"/>
      <c r="ALW25" s="645"/>
      <c r="ALX25" s="645"/>
      <c r="ALY25" s="645"/>
      <c r="ALZ25" s="645"/>
      <c r="AMA25" s="645"/>
      <c r="AMB25" s="645"/>
      <c r="AMC25" s="645"/>
      <c r="AMD25" s="645"/>
      <c r="AME25" s="645"/>
      <c r="AMF25" s="645"/>
      <c r="AMG25" s="645"/>
      <c r="AMH25" s="645"/>
      <c r="AMI25" s="645"/>
      <c r="AMJ25" s="645"/>
    </row>
    <row r="26" customFormat="false" ht="26.25" hidden="false" customHeight="true" outlineLevel="0" collapsed="false">
      <c r="A26" s="651" t="str">
        <f aca="false">CONCATENATE("1. Nas FÉRIAS SEM SUBSTITUIÇÃO DA SERVENTE INSALUBRE, quando o trabalho de limpeza de banheiros públicos ou de grande circulação for efetuado por outra servente do quadro, deverá ser acrescentado o valor de R$",T17," por dia em que este fato ocorrer.")</f>
        <v>1. Nas FÉRIAS SEM SUBSTITUIÇÃO DA SERVENTE INSALUBRE, quando o trabalho de limpeza de banheiros públicos ou de grande circulação for efetuado por outra servente do quadro, deverá ser acrescentado o valor de R$45,14 por dia em que este fato ocorrer.</v>
      </c>
      <c r="B26" s="651"/>
      <c r="C26" s="651"/>
      <c r="D26" s="651"/>
      <c r="E26" s="651"/>
      <c r="F26" s="651"/>
      <c r="G26" s="651"/>
      <c r="H26" s="651"/>
      <c r="I26" s="651"/>
      <c r="J26" s="651"/>
      <c r="K26" s="651"/>
      <c r="L26" s="651"/>
      <c r="M26" s="651"/>
      <c r="N26" s="651"/>
      <c r="O26" s="651"/>
      <c r="P26" s="651"/>
      <c r="Q26" s="651"/>
      <c r="R26" s="651"/>
      <c r="S26" s="651"/>
      <c r="T26" s="651"/>
      <c r="U26" s="651"/>
      <c r="V26" s="651"/>
      <c r="W26" s="651"/>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62"/>
      <c r="ON26" s="62"/>
      <c r="OO26" s="62"/>
      <c r="OP26" s="62"/>
      <c r="OQ26" s="62"/>
      <c r="OR26" s="62"/>
      <c r="OS26" s="62"/>
      <c r="OT26" s="62"/>
      <c r="OU26" s="62"/>
      <c r="OV26" s="62"/>
      <c r="OW26" s="62"/>
      <c r="OX26" s="62"/>
      <c r="OY26" s="62"/>
      <c r="OZ26" s="62"/>
      <c r="PA26" s="62"/>
      <c r="PB26" s="62"/>
      <c r="PC26" s="62"/>
      <c r="PD26" s="62"/>
      <c r="PE26" s="62"/>
      <c r="PF26" s="62"/>
      <c r="PG26" s="62"/>
      <c r="PH26" s="62"/>
      <c r="PI26" s="62"/>
      <c r="PJ26" s="62"/>
      <c r="PK26" s="62"/>
      <c r="PL26" s="62"/>
      <c r="PM26" s="62"/>
      <c r="PN26" s="62"/>
      <c r="PO26" s="62"/>
      <c r="PP26" s="62"/>
      <c r="PQ26" s="62"/>
      <c r="PR26" s="62"/>
      <c r="PS26" s="62"/>
      <c r="PT26" s="62"/>
      <c r="PU26" s="62"/>
      <c r="PV26" s="62"/>
      <c r="PW26" s="62"/>
      <c r="PX26" s="62"/>
      <c r="PY26" s="62"/>
      <c r="PZ26" s="62"/>
      <c r="QA26" s="62"/>
      <c r="QB26" s="62"/>
      <c r="QC26" s="62"/>
      <c r="QD26" s="62"/>
      <c r="QE26" s="62"/>
      <c r="QF26" s="62"/>
      <c r="QG26" s="62"/>
      <c r="QH26" s="62"/>
      <c r="QI26" s="62"/>
      <c r="QJ26" s="62"/>
      <c r="QK26" s="62"/>
      <c r="QL26" s="62"/>
      <c r="QM26" s="62"/>
      <c r="QN26" s="62"/>
      <c r="QO26" s="62"/>
      <c r="QP26" s="62"/>
      <c r="QQ26" s="62"/>
      <c r="QR26" s="62"/>
      <c r="QS26" s="62"/>
      <c r="QT26" s="62"/>
      <c r="QU26" s="62"/>
      <c r="QV26" s="62"/>
      <c r="QW26" s="62"/>
      <c r="QX26" s="62"/>
      <c r="QY26" s="62"/>
      <c r="QZ26" s="62"/>
      <c r="RA26" s="62"/>
      <c r="RB26" s="62"/>
      <c r="RC26" s="62"/>
      <c r="RD26" s="62"/>
      <c r="RE26" s="62"/>
      <c r="RF26" s="62"/>
      <c r="RG26" s="62"/>
      <c r="RH26" s="62"/>
      <c r="RI26" s="62"/>
      <c r="RJ26" s="62"/>
      <c r="RK26" s="62"/>
      <c r="RL26" s="62"/>
      <c r="RM26" s="62"/>
      <c r="RN26" s="62"/>
      <c r="RO26" s="62"/>
      <c r="RP26" s="62"/>
      <c r="RQ26" s="62"/>
      <c r="RR26" s="62"/>
      <c r="RS26" s="62"/>
      <c r="RT26" s="62"/>
      <c r="RU26" s="62"/>
      <c r="RV26" s="62"/>
      <c r="RW26" s="62"/>
      <c r="RX26" s="62"/>
      <c r="RY26" s="62"/>
      <c r="RZ26" s="62"/>
      <c r="SA26" s="62"/>
      <c r="SB26" s="62"/>
      <c r="SC26" s="62"/>
      <c r="SD26" s="62"/>
      <c r="SE26" s="62"/>
      <c r="SF26" s="62"/>
      <c r="SG26" s="62"/>
      <c r="SH26" s="62"/>
      <c r="SI26" s="62"/>
      <c r="SJ26" s="62"/>
      <c r="SK26" s="62"/>
      <c r="SL26" s="62"/>
      <c r="SM26" s="62"/>
      <c r="SN26" s="62"/>
      <c r="SO26" s="62"/>
      <c r="SP26" s="62"/>
      <c r="SQ26" s="62"/>
      <c r="SR26" s="62"/>
      <c r="SS26" s="62"/>
      <c r="ST26" s="62"/>
      <c r="SU26" s="62"/>
      <c r="SV26" s="62"/>
      <c r="SW26" s="62"/>
      <c r="SX26" s="62"/>
      <c r="SY26" s="62"/>
      <c r="SZ26" s="62"/>
      <c r="TA26" s="62"/>
      <c r="TB26" s="62"/>
      <c r="TC26" s="62"/>
      <c r="TD26" s="62"/>
      <c r="TE26" s="62"/>
      <c r="TF26" s="62"/>
      <c r="TG26" s="62"/>
      <c r="TH26" s="62"/>
      <c r="TI26" s="62"/>
      <c r="TJ26" s="62"/>
      <c r="TK26" s="62"/>
      <c r="TL26" s="62"/>
      <c r="TM26" s="62"/>
      <c r="TN26" s="62"/>
      <c r="TO26" s="62"/>
      <c r="TP26" s="62"/>
      <c r="TQ26" s="62"/>
      <c r="TR26" s="62"/>
      <c r="TS26" s="62"/>
      <c r="TT26" s="62"/>
      <c r="TU26" s="62"/>
      <c r="TV26" s="62"/>
      <c r="TW26" s="62"/>
      <c r="TX26" s="62"/>
      <c r="TY26" s="62"/>
      <c r="TZ26" s="62"/>
      <c r="UA26" s="62"/>
      <c r="UB26" s="62"/>
      <c r="UC26" s="62"/>
      <c r="UD26" s="62"/>
      <c r="UE26" s="62"/>
      <c r="UF26" s="62"/>
      <c r="UG26" s="62"/>
      <c r="UH26" s="62"/>
      <c r="UI26" s="62"/>
      <c r="UJ26" s="62"/>
      <c r="UK26" s="62"/>
      <c r="UL26" s="62"/>
      <c r="UM26" s="62"/>
      <c r="UN26" s="62"/>
      <c r="UO26" s="62"/>
      <c r="UP26" s="62"/>
      <c r="UQ26" s="62"/>
      <c r="UR26" s="62"/>
      <c r="US26" s="62"/>
      <c r="UT26" s="62"/>
      <c r="UU26" s="62"/>
      <c r="UV26" s="62"/>
      <c r="UW26" s="62"/>
      <c r="UX26" s="62"/>
      <c r="UY26" s="62"/>
      <c r="UZ26" s="62"/>
      <c r="VA26" s="62"/>
      <c r="VB26" s="62"/>
      <c r="VC26" s="62"/>
      <c r="VD26" s="62"/>
      <c r="VE26" s="62"/>
      <c r="VF26" s="62"/>
      <c r="VG26" s="62"/>
      <c r="VH26" s="62"/>
      <c r="VI26" s="62"/>
      <c r="VJ26" s="62"/>
      <c r="VK26" s="62"/>
      <c r="VL26" s="62"/>
      <c r="VM26" s="62"/>
      <c r="VN26" s="62"/>
      <c r="VO26" s="62"/>
      <c r="VP26" s="62"/>
      <c r="VQ26" s="62"/>
      <c r="VR26" s="62"/>
      <c r="VS26" s="62"/>
      <c r="VT26" s="62"/>
      <c r="VU26" s="62"/>
      <c r="VV26" s="62"/>
      <c r="VW26" s="62"/>
      <c r="VX26" s="62"/>
      <c r="VY26" s="62"/>
      <c r="VZ26" s="62"/>
      <c r="WA26" s="62"/>
      <c r="WB26" s="62"/>
      <c r="WC26" s="62"/>
      <c r="WD26" s="62"/>
      <c r="WE26" s="62"/>
      <c r="WF26" s="62"/>
      <c r="WG26" s="62"/>
      <c r="WH26" s="62"/>
      <c r="WI26" s="62"/>
      <c r="WJ26" s="62"/>
      <c r="WK26" s="62"/>
      <c r="WL26" s="62"/>
      <c r="WM26" s="62"/>
      <c r="WN26" s="62"/>
      <c r="WO26" s="62"/>
      <c r="WP26" s="62"/>
      <c r="WQ26" s="62"/>
      <c r="WR26" s="62"/>
      <c r="WS26" s="62"/>
      <c r="WT26" s="62"/>
      <c r="WU26" s="62"/>
      <c r="WV26" s="62"/>
      <c r="WW26" s="62"/>
      <c r="WX26" s="62"/>
      <c r="WY26" s="62"/>
      <c r="WZ26" s="62"/>
      <c r="XA26" s="62"/>
      <c r="XB26" s="62"/>
      <c r="XC26" s="62"/>
      <c r="XD26" s="62"/>
      <c r="XE26" s="62"/>
      <c r="XF26" s="62"/>
      <c r="XG26" s="62"/>
      <c r="XH26" s="62"/>
      <c r="XI26" s="62"/>
      <c r="XJ26" s="62"/>
      <c r="XK26" s="62"/>
      <c r="XL26" s="62"/>
      <c r="XM26" s="62"/>
      <c r="XN26" s="62"/>
      <c r="XO26" s="62"/>
      <c r="XP26" s="62"/>
      <c r="XQ26" s="62"/>
      <c r="XR26" s="62"/>
      <c r="XS26" s="62"/>
      <c r="XT26" s="62"/>
      <c r="XU26" s="62"/>
      <c r="XV26" s="62"/>
      <c r="XW26" s="62"/>
      <c r="XX26" s="62"/>
      <c r="XY26" s="62"/>
      <c r="XZ26" s="62"/>
      <c r="YA26" s="62"/>
      <c r="YB26" s="62"/>
      <c r="YC26" s="62"/>
      <c r="YD26" s="62"/>
      <c r="YE26" s="62"/>
      <c r="YF26" s="62"/>
      <c r="YG26" s="62"/>
      <c r="YH26" s="62"/>
      <c r="YI26" s="62"/>
      <c r="YJ26" s="62"/>
      <c r="YK26" s="62"/>
      <c r="YL26" s="62"/>
      <c r="YM26" s="62"/>
      <c r="YN26" s="62"/>
      <c r="YO26" s="62"/>
      <c r="YP26" s="62"/>
      <c r="YQ26" s="62"/>
      <c r="YR26" s="62"/>
      <c r="YS26" s="62"/>
      <c r="YT26" s="62"/>
      <c r="YU26" s="62"/>
      <c r="YV26" s="62"/>
      <c r="YW26" s="62"/>
      <c r="YX26" s="62"/>
      <c r="YY26" s="62"/>
      <c r="YZ26" s="62"/>
      <c r="ZA26" s="62"/>
      <c r="ZB26" s="62"/>
      <c r="ZC26" s="62"/>
      <c r="ZD26" s="62"/>
      <c r="ZE26" s="62"/>
      <c r="ZF26" s="62"/>
      <c r="ZG26" s="62"/>
      <c r="ZH26" s="62"/>
      <c r="ZI26" s="62"/>
      <c r="ZJ26" s="62"/>
      <c r="ZK26" s="62"/>
      <c r="ZL26" s="62"/>
      <c r="ZM26" s="62"/>
      <c r="ZN26" s="62"/>
      <c r="ZO26" s="62"/>
      <c r="ZP26" s="62"/>
      <c r="ZQ26" s="62"/>
      <c r="ZR26" s="62"/>
      <c r="ZS26" s="62"/>
      <c r="ZT26" s="62"/>
      <c r="ZU26" s="62"/>
      <c r="ZV26" s="62"/>
      <c r="ZW26" s="62"/>
      <c r="ZX26" s="62"/>
      <c r="ZY26" s="62"/>
      <c r="ZZ26" s="62"/>
      <c r="AAA26" s="62"/>
      <c r="AAB26" s="62"/>
      <c r="AAC26" s="62"/>
      <c r="AAD26" s="62"/>
      <c r="AAE26" s="62"/>
      <c r="AAF26" s="62"/>
      <c r="AAG26" s="62"/>
      <c r="AAH26" s="62"/>
      <c r="AAI26" s="62"/>
      <c r="AAJ26" s="62"/>
      <c r="AAK26" s="62"/>
      <c r="AAL26" s="62"/>
      <c r="AAM26" s="62"/>
      <c r="AAN26" s="62"/>
      <c r="AAO26" s="62"/>
      <c r="AAP26" s="62"/>
      <c r="AAQ26" s="62"/>
      <c r="AAR26" s="62"/>
      <c r="AAS26" s="62"/>
      <c r="AAT26" s="62"/>
      <c r="AAU26" s="62"/>
      <c r="AAV26" s="62"/>
      <c r="AAW26" s="62"/>
      <c r="AAX26" s="62"/>
      <c r="AAY26" s="62"/>
      <c r="AAZ26" s="62"/>
      <c r="ABA26" s="62"/>
      <c r="ABB26" s="62"/>
      <c r="ABC26" s="62"/>
      <c r="ABD26" s="62"/>
      <c r="ABE26" s="62"/>
      <c r="ABF26" s="62"/>
      <c r="ABG26" s="62"/>
      <c r="ABH26" s="62"/>
      <c r="ABI26" s="62"/>
      <c r="ABJ26" s="62"/>
      <c r="ABK26" s="62"/>
      <c r="ABL26" s="62"/>
      <c r="ABM26" s="62"/>
      <c r="ABN26" s="62"/>
      <c r="ABO26" s="62"/>
      <c r="ABP26" s="62"/>
      <c r="ABQ26" s="62"/>
      <c r="ABR26" s="62"/>
      <c r="ABS26" s="62"/>
      <c r="ABT26" s="62"/>
      <c r="ABU26" s="62"/>
      <c r="ABV26" s="62"/>
      <c r="ABW26" s="62"/>
      <c r="ABX26" s="62"/>
      <c r="ABY26" s="62"/>
      <c r="ABZ26" s="62"/>
      <c r="ACA26" s="62"/>
      <c r="ACB26" s="62"/>
      <c r="ACC26" s="62"/>
      <c r="ACD26" s="62"/>
      <c r="ACE26" s="62"/>
      <c r="ACF26" s="62"/>
      <c r="ACG26" s="62"/>
      <c r="ACH26" s="62"/>
      <c r="ACI26" s="62"/>
      <c r="ACJ26" s="62"/>
      <c r="ACK26" s="62"/>
      <c r="ACL26" s="62"/>
      <c r="ACM26" s="62"/>
      <c r="ACN26" s="62"/>
      <c r="ACO26" s="62"/>
      <c r="ACP26" s="62"/>
      <c r="ACQ26" s="62"/>
      <c r="ACR26" s="62"/>
      <c r="ACS26" s="62"/>
      <c r="ACT26" s="62"/>
      <c r="ACU26" s="62"/>
      <c r="ACV26" s="62"/>
      <c r="ACW26" s="62"/>
      <c r="ACX26" s="62"/>
      <c r="ACY26" s="62"/>
      <c r="ACZ26" s="62"/>
      <c r="ADA26" s="62"/>
      <c r="ADB26" s="62"/>
      <c r="ADC26" s="62"/>
      <c r="ADD26" s="62"/>
      <c r="ADE26" s="62"/>
      <c r="ADF26" s="62"/>
      <c r="ADG26" s="62"/>
      <c r="ADH26" s="62"/>
      <c r="ADI26" s="62"/>
      <c r="ADJ26" s="62"/>
      <c r="ADK26" s="62"/>
      <c r="ADL26" s="62"/>
      <c r="ADM26" s="62"/>
      <c r="ADN26" s="62"/>
      <c r="ADO26" s="62"/>
      <c r="ADP26" s="62"/>
      <c r="ADQ26" s="62"/>
      <c r="ADR26" s="62"/>
      <c r="ADS26" s="62"/>
      <c r="ADT26" s="62"/>
      <c r="ADU26" s="62"/>
      <c r="ADV26" s="62"/>
      <c r="ADW26" s="62"/>
      <c r="ADX26" s="62"/>
      <c r="ADY26" s="62"/>
      <c r="ADZ26" s="62"/>
      <c r="AEA26" s="62"/>
      <c r="AEB26" s="62"/>
      <c r="AEC26" s="62"/>
      <c r="AED26" s="62"/>
      <c r="AEE26" s="62"/>
      <c r="AEF26" s="62"/>
      <c r="AEG26" s="62"/>
      <c r="AEH26" s="62"/>
      <c r="AEI26" s="62"/>
      <c r="AEJ26" s="62"/>
      <c r="AEK26" s="62"/>
      <c r="AEL26" s="62"/>
      <c r="AEM26" s="62"/>
      <c r="AEN26" s="62"/>
      <c r="AEO26" s="62"/>
      <c r="AEP26" s="62"/>
      <c r="AEQ26" s="62"/>
      <c r="AER26" s="62"/>
      <c r="AES26" s="62"/>
      <c r="AET26" s="62"/>
      <c r="AEU26" s="62"/>
      <c r="AEV26" s="62"/>
      <c r="AEW26" s="62"/>
      <c r="AEX26" s="62"/>
      <c r="AEY26" s="62"/>
      <c r="AEZ26" s="62"/>
      <c r="AFA26" s="62"/>
      <c r="AFB26" s="62"/>
      <c r="AFC26" s="62"/>
      <c r="AFD26" s="62"/>
      <c r="AFE26" s="62"/>
      <c r="AFF26" s="62"/>
      <c r="AFG26" s="62"/>
      <c r="AFH26" s="62"/>
      <c r="AFI26" s="62"/>
      <c r="AFJ26" s="62"/>
      <c r="AFK26" s="62"/>
      <c r="AFL26" s="62"/>
      <c r="AFM26" s="62"/>
      <c r="AFN26" s="62"/>
      <c r="AFO26" s="62"/>
      <c r="AFP26" s="62"/>
      <c r="AFQ26" s="62"/>
      <c r="AFR26" s="62"/>
      <c r="AFS26" s="62"/>
      <c r="AFT26" s="62"/>
      <c r="AFU26" s="62"/>
      <c r="AFV26" s="62"/>
      <c r="AFW26" s="62"/>
      <c r="AFX26" s="62"/>
      <c r="AFY26" s="62"/>
      <c r="AFZ26" s="62"/>
      <c r="AGA26" s="62"/>
      <c r="AGB26" s="62"/>
      <c r="AGC26" s="62"/>
      <c r="AGD26" s="62"/>
      <c r="AGE26" s="62"/>
      <c r="AGF26" s="62"/>
      <c r="AGG26" s="62"/>
      <c r="AGH26" s="62"/>
      <c r="AGI26" s="62"/>
      <c r="AGJ26" s="62"/>
      <c r="AGK26" s="62"/>
      <c r="AGL26" s="62"/>
      <c r="AGM26" s="62"/>
      <c r="AGN26" s="62"/>
      <c r="AGO26" s="62"/>
      <c r="AGP26" s="62"/>
      <c r="AGQ26" s="62"/>
      <c r="AGR26" s="62"/>
      <c r="AGS26" s="62"/>
      <c r="AGT26" s="62"/>
      <c r="AGU26" s="62"/>
      <c r="AGV26" s="62"/>
      <c r="AGW26" s="62"/>
      <c r="AGX26" s="62"/>
      <c r="AGY26" s="62"/>
      <c r="AGZ26" s="62"/>
      <c r="AHA26" s="62"/>
      <c r="AHB26" s="62"/>
      <c r="AHC26" s="62"/>
      <c r="AHD26" s="62"/>
      <c r="AHE26" s="62"/>
      <c r="AHF26" s="62"/>
      <c r="AHG26" s="62"/>
      <c r="AHH26" s="62"/>
      <c r="AHI26" s="62"/>
      <c r="AHJ26" s="62"/>
      <c r="AHK26" s="62"/>
      <c r="AHL26" s="62"/>
      <c r="AHM26" s="62"/>
      <c r="AHN26" s="62"/>
      <c r="AHO26" s="62"/>
      <c r="AHP26" s="62"/>
      <c r="AHQ26" s="62"/>
      <c r="AHR26" s="62"/>
      <c r="AHS26" s="62"/>
      <c r="AHT26" s="62"/>
      <c r="AHU26" s="62"/>
      <c r="AHV26" s="62"/>
      <c r="AHW26" s="62"/>
      <c r="AHX26" s="62"/>
      <c r="AHY26" s="62"/>
      <c r="AHZ26" s="62"/>
      <c r="AIA26" s="62"/>
      <c r="AIB26" s="62"/>
      <c r="AIC26" s="62"/>
      <c r="AID26" s="62"/>
      <c r="AIE26" s="62"/>
      <c r="AIF26" s="62"/>
      <c r="AIG26" s="62"/>
      <c r="AIH26" s="62"/>
      <c r="AII26" s="62"/>
      <c r="AIJ26" s="62"/>
      <c r="AIK26" s="62"/>
      <c r="AIL26" s="62"/>
      <c r="AIM26" s="62"/>
      <c r="AIN26" s="62"/>
      <c r="AIO26" s="62"/>
      <c r="AIP26" s="62"/>
      <c r="AIQ26" s="62"/>
      <c r="AIR26" s="62"/>
      <c r="AIS26" s="62"/>
      <c r="AIT26" s="62"/>
      <c r="AIU26" s="62"/>
      <c r="AIV26" s="62"/>
      <c r="AIW26" s="62"/>
      <c r="AIX26" s="62"/>
      <c r="AIY26" s="62"/>
      <c r="AIZ26" s="62"/>
      <c r="AJA26" s="62"/>
      <c r="AJB26" s="62"/>
      <c r="AJC26" s="62"/>
      <c r="AJD26" s="62"/>
      <c r="AJE26" s="62"/>
      <c r="AJF26" s="62"/>
      <c r="AJG26" s="62"/>
      <c r="AJH26" s="62"/>
      <c r="AJI26" s="62"/>
      <c r="AJJ26" s="62"/>
      <c r="AJK26" s="62"/>
      <c r="AJL26" s="62"/>
      <c r="AJM26" s="62"/>
      <c r="AJN26" s="62"/>
      <c r="AJO26" s="62"/>
      <c r="AJP26" s="62"/>
      <c r="AJQ26" s="62"/>
      <c r="AJR26" s="62"/>
      <c r="AJS26" s="62"/>
      <c r="AJT26" s="62"/>
      <c r="AJU26" s="62"/>
      <c r="AJV26" s="62"/>
      <c r="AJW26" s="62"/>
      <c r="AJX26" s="62"/>
      <c r="AJY26" s="62"/>
      <c r="AJZ26" s="62"/>
      <c r="AKA26" s="62"/>
      <c r="AKB26" s="62"/>
      <c r="AKC26" s="62"/>
      <c r="AKD26" s="62"/>
      <c r="AKE26" s="62"/>
      <c r="AKF26" s="62"/>
      <c r="AKG26" s="62"/>
      <c r="AKH26" s="62"/>
      <c r="AKI26" s="62"/>
      <c r="AKJ26" s="62"/>
      <c r="AKK26" s="62"/>
      <c r="AKL26" s="62"/>
      <c r="AKM26" s="62"/>
      <c r="AKN26" s="62"/>
      <c r="AKO26" s="62"/>
      <c r="AKP26" s="62"/>
      <c r="AKQ26" s="62"/>
      <c r="AKR26" s="62"/>
      <c r="AKS26" s="62"/>
      <c r="AKT26" s="62"/>
      <c r="AKU26" s="62"/>
      <c r="AKV26" s="62"/>
      <c r="AKW26" s="62"/>
      <c r="AKX26" s="62"/>
      <c r="AKY26" s="62"/>
      <c r="AKZ26" s="62"/>
      <c r="ALA26" s="62"/>
      <c r="ALB26" s="62"/>
      <c r="ALC26" s="62"/>
      <c r="ALD26" s="62"/>
      <c r="ALE26" s="62"/>
      <c r="ALF26" s="62"/>
      <c r="ALG26" s="62"/>
      <c r="ALH26" s="62"/>
      <c r="ALI26" s="62"/>
      <c r="ALJ26" s="62"/>
      <c r="ALK26" s="62"/>
      <c r="ALL26" s="62"/>
      <c r="ALM26" s="62"/>
      <c r="ALN26" s="62"/>
      <c r="ALO26" s="62"/>
      <c r="ALP26" s="62"/>
      <c r="ALQ26" s="62"/>
      <c r="ALR26" s="62"/>
      <c r="ALS26" s="62"/>
      <c r="ALT26" s="62"/>
      <c r="ALU26" s="62"/>
      <c r="ALV26" s="62"/>
      <c r="ALW26" s="62"/>
      <c r="ALX26" s="62"/>
      <c r="ALY26" s="62"/>
      <c r="ALZ26" s="62"/>
      <c r="AMA26" s="62"/>
      <c r="AMB26" s="62"/>
      <c r="AMC26" s="62"/>
      <c r="AMD26" s="62"/>
      <c r="AME26" s="62"/>
      <c r="AMF26" s="62"/>
      <c r="AMG26" s="62"/>
      <c r="AMH26" s="62"/>
      <c r="AMI26" s="62"/>
      <c r="AMJ26" s="62"/>
    </row>
    <row r="27" customFormat="false" ht="18.75" hidden="false" customHeight="true" outlineLevel="0" collapsed="false">
      <c r="A27" s="652"/>
      <c r="B27" s="652"/>
      <c r="C27" s="652"/>
      <c r="D27" s="652"/>
      <c r="E27" s="652"/>
      <c r="F27" s="652"/>
      <c r="G27" s="652"/>
      <c r="H27" s="652"/>
      <c r="I27" s="652"/>
      <c r="J27" s="652"/>
      <c r="K27" s="652"/>
      <c r="L27" s="652"/>
      <c r="M27" s="652"/>
      <c r="N27" s="652"/>
      <c r="O27" s="652"/>
      <c r="P27" s="652"/>
      <c r="Q27" s="652"/>
      <c r="R27" s="652"/>
      <c r="S27" s="652"/>
      <c r="T27" s="652"/>
      <c r="U27" s="652"/>
      <c r="V27" s="652"/>
      <c r="W27" s="652"/>
      <c r="X27" s="649"/>
      <c r="Y27" s="649"/>
      <c r="Z27" s="649"/>
      <c r="AA27" s="649"/>
      <c r="AB27" s="649"/>
      <c r="AC27" s="649"/>
      <c r="AD27" s="649"/>
      <c r="AE27" s="649"/>
      <c r="AF27" s="649"/>
      <c r="AG27" s="649"/>
      <c r="AH27" s="649"/>
      <c r="AI27" s="649"/>
      <c r="AJ27" s="649"/>
      <c r="AK27" s="649"/>
      <c r="AL27" s="649"/>
      <c r="AM27" s="649"/>
      <c r="AN27" s="649"/>
      <c r="AO27" s="649"/>
      <c r="AP27" s="649"/>
      <c r="AQ27" s="649"/>
      <c r="AR27" s="649"/>
      <c r="AS27" s="649"/>
      <c r="AT27" s="649"/>
      <c r="AU27" s="649"/>
      <c r="AV27" s="649"/>
      <c r="AW27" s="649"/>
      <c r="AX27" s="649"/>
      <c r="AY27" s="649"/>
      <c r="AZ27" s="649"/>
      <c r="BA27" s="649"/>
      <c r="BB27" s="649"/>
      <c r="BC27" s="649"/>
      <c r="BD27" s="649"/>
      <c r="BE27" s="649"/>
      <c r="BF27" s="649"/>
      <c r="BG27" s="649"/>
      <c r="BH27" s="649"/>
      <c r="BI27" s="649"/>
      <c r="BJ27" s="649"/>
      <c r="BK27" s="649"/>
      <c r="BL27" s="649"/>
      <c r="BM27" s="649"/>
      <c r="BN27" s="649"/>
      <c r="BO27" s="649"/>
      <c r="BP27" s="649"/>
      <c r="BQ27" s="649"/>
      <c r="BR27" s="649"/>
      <c r="BS27" s="649"/>
      <c r="BT27" s="649"/>
      <c r="BU27" s="649"/>
      <c r="BV27" s="649"/>
      <c r="BW27" s="649"/>
      <c r="BX27" s="649"/>
      <c r="BY27" s="649"/>
      <c r="BZ27" s="649"/>
      <c r="CA27" s="649"/>
      <c r="CB27" s="649"/>
      <c r="CC27" s="649"/>
      <c r="CD27" s="649"/>
      <c r="CE27" s="649"/>
      <c r="CF27" s="649"/>
      <c r="CG27" s="649"/>
      <c r="CH27" s="649"/>
      <c r="CI27" s="649"/>
      <c r="CJ27" s="649"/>
      <c r="CK27" s="649"/>
      <c r="CL27" s="649"/>
      <c r="CM27" s="649"/>
      <c r="CN27" s="649"/>
      <c r="CO27" s="649"/>
      <c r="CP27" s="649"/>
      <c r="CQ27" s="649"/>
      <c r="CR27" s="649"/>
      <c r="CS27" s="649"/>
      <c r="CT27" s="649"/>
      <c r="CU27" s="649"/>
      <c r="CV27" s="649"/>
      <c r="CW27" s="649"/>
      <c r="CX27" s="649"/>
      <c r="CY27" s="649"/>
      <c r="CZ27" s="649"/>
      <c r="DA27" s="649"/>
      <c r="DB27" s="649"/>
      <c r="DC27" s="649"/>
      <c r="DD27" s="649"/>
      <c r="DE27" s="649"/>
      <c r="DF27" s="649"/>
      <c r="DG27" s="649"/>
      <c r="DH27" s="649"/>
      <c r="DI27" s="649"/>
      <c r="DJ27" s="649"/>
      <c r="DK27" s="649"/>
      <c r="DL27" s="649"/>
      <c r="DM27" s="649"/>
      <c r="DN27" s="649"/>
      <c r="DO27" s="649"/>
      <c r="DP27" s="649"/>
      <c r="DQ27" s="649"/>
      <c r="DR27" s="649"/>
      <c r="DS27" s="649"/>
      <c r="DT27" s="649"/>
      <c r="DU27" s="649"/>
      <c r="DV27" s="649"/>
      <c r="DW27" s="649"/>
      <c r="DX27" s="649"/>
      <c r="DY27" s="649"/>
      <c r="DZ27" s="649"/>
      <c r="EA27" s="649"/>
      <c r="EB27" s="649"/>
      <c r="EC27" s="649"/>
      <c r="ED27" s="649"/>
      <c r="EE27" s="649"/>
      <c r="EF27" s="649"/>
      <c r="EG27" s="649"/>
      <c r="EH27" s="649"/>
      <c r="EI27" s="649"/>
      <c r="EJ27" s="649"/>
      <c r="EK27" s="649"/>
      <c r="EL27" s="649"/>
      <c r="EM27" s="649"/>
      <c r="EN27" s="649"/>
      <c r="EO27" s="649"/>
      <c r="EP27" s="649"/>
      <c r="EQ27" s="649"/>
      <c r="ER27" s="649"/>
      <c r="ES27" s="649"/>
      <c r="ET27" s="649"/>
      <c r="EU27" s="649"/>
      <c r="EV27" s="649"/>
      <c r="EW27" s="649"/>
      <c r="EX27" s="649"/>
      <c r="EY27" s="649"/>
      <c r="EZ27" s="649"/>
      <c r="FA27" s="649"/>
      <c r="FB27" s="649"/>
      <c r="FC27" s="649"/>
      <c r="FD27" s="649"/>
      <c r="FE27" s="649"/>
      <c r="FF27" s="649"/>
      <c r="FG27" s="649"/>
      <c r="FH27" s="649"/>
      <c r="FI27" s="649"/>
      <c r="FJ27" s="649"/>
      <c r="FK27" s="649"/>
      <c r="FL27" s="649"/>
      <c r="FM27" s="649"/>
      <c r="FN27" s="649"/>
      <c r="FO27" s="649"/>
      <c r="FP27" s="649"/>
      <c r="FQ27" s="649"/>
      <c r="FR27" s="649"/>
      <c r="FS27" s="649"/>
      <c r="FT27" s="649"/>
      <c r="FU27" s="649"/>
      <c r="FV27" s="649"/>
      <c r="FW27" s="649"/>
      <c r="FX27" s="649"/>
      <c r="FY27" s="649"/>
      <c r="FZ27" s="649"/>
      <c r="GA27" s="649"/>
      <c r="GB27" s="649"/>
      <c r="GC27" s="649"/>
      <c r="GD27" s="649"/>
      <c r="GE27" s="649"/>
      <c r="GF27" s="649"/>
      <c r="GG27" s="649"/>
      <c r="GH27" s="649"/>
      <c r="GI27" s="649"/>
      <c r="GJ27" s="649"/>
      <c r="GK27" s="649"/>
      <c r="GL27" s="649"/>
      <c r="GM27" s="649"/>
      <c r="GN27" s="649"/>
      <c r="GO27" s="649"/>
      <c r="GP27" s="649"/>
      <c r="GQ27" s="649"/>
      <c r="GR27" s="649"/>
      <c r="GS27" s="649"/>
      <c r="GT27" s="649"/>
      <c r="GU27" s="649"/>
      <c r="GV27" s="649"/>
      <c r="GW27" s="649"/>
      <c r="GX27" s="649"/>
      <c r="GY27" s="649"/>
      <c r="GZ27" s="649"/>
      <c r="HA27" s="649"/>
      <c r="HB27" s="649"/>
      <c r="HC27" s="649"/>
      <c r="HD27" s="649"/>
      <c r="HE27" s="649"/>
      <c r="HF27" s="649"/>
      <c r="HG27" s="649"/>
      <c r="HH27" s="649"/>
      <c r="HI27" s="649"/>
      <c r="HJ27" s="649"/>
      <c r="HK27" s="649"/>
      <c r="HL27" s="649"/>
      <c r="HM27" s="649"/>
      <c r="HN27" s="649"/>
      <c r="HO27" s="649"/>
      <c r="HP27" s="649"/>
      <c r="HQ27" s="649"/>
      <c r="HR27" s="649"/>
      <c r="HS27" s="649"/>
      <c r="HT27" s="649"/>
      <c r="HU27" s="649"/>
      <c r="HV27" s="649"/>
      <c r="HW27" s="649"/>
      <c r="HX27" s="649"/>
      <c r="HY27" s="649"/>
      <c r="HZ27" s="649"/>
      <c r="IA27" s="649"/>
      <c r="IB27" s="649"/>
      <c r="IC27" s="649"/>
      <c r="ID27" s="649"/>
      <c r="IE27" s="649"/>
      <c r="IF27" s="649"/>
      <c r="IG27" s="649"/>
      <c r="IH27" s="649"/>
      <c r="II27" s="649"/>
      <c r="IJ27" s="649"/>
      <c r="IK27" s="649"/>
      <c r="IL27" s="649"/>
      <c r="IM27" s="649"/>
      <c r="IN27" s="649"/>
      <c r="IO27" s="649"/>
      <c r="IP27" s="649"/>
      <c r="IQ27" s="649"/>
      <c r="IR27" s="649"/>
      <c r="IS27" s="649"/>
      <c r="IT27" s="649"/>
      <c r="IU27" s="649"/>
      <c r="IV27" s="649"/>
      <c r="IW27" s="649"/>
      <c r="IX27" s="649"/>
      <c r="IY27" s="649"/>
      <c r="IZ27" s="649"/>
      <c r="JA27" s="649"/>
      <c r="JB27" s="649"/>
      <c r="JC27" s="649"/>
      <c r="JD27" s="649"/>
      <c r="JE27" s="649"/>
      <c r="JF27" s="649"/>
      <c r="JG27" s="649"/>
      <c r="JH27" s="649"/>
      <c r="JI27" s="649"/>
      <c r="JJ27" s="649"/>
      <c r="JK27" s="649"/>
      <c r="JL27" s="649"/>
      <c r="JM27" s="649"/>
      <c r="JN27" s="649"/>
      <c r="JO27" s="649"/>
      <c r="JP27" s="649"/>
      <c r="JQ27" s="649"/>
      <c r="JR27" s="649"/>
      <c r="JS27" s="649"/>
      <c r="JT27" s="649"/>
      <c r="JU27" s="649"/>
      <c r="JV27" s="649"/>
      <c r="JW27" s="649"/>
      <c r="JX27" s="649"/>
      <c r="JY27" s="649"/>
      <c r="JZ27" s="649"/>
      <c r="KA27" s="649"/>
      <c r="KB27" s="649"/>
      <c r="KC27" s="649"/>
      <c r="KD27" s="649"/>
      <c r="KE27" s="649"/>
      <c r="KF27" s="649"/>
      <c r="KG27" s="649"/>
      <c r="KH27" s="649"/>
      <c r="KI27" s="649"/>
      <c r="KJ27" s="649"/>
      <c r="KK27" s="649"/>
      <c r="KL27" s="649"/>
      <c r="KM27" s="649"/>
      <c r="KN27" s="649"/>
      <c r="KO27" s="649"/>
      <c r="KP27" s="649"/>
      <c r="KQ27" s="649"/>
      <c r="KR27" s="649"/>
      <c r="KS27" s="649"/>
      <c r="KT27" s="649"/>
      <c r="KU27" s="649"/>
      <c r="KV27" s="649"/>
      <c r="KW27" s="649"/>
      <c r="KX27" s="649"/>
      <c r="KY27" s="649"/>
      <c r="KZ27" s="649"/>
      <c r="LA27" s="649"/>
      <c r="LB27" s="649"/>
      <c r="LC27" s="649"/>
      <c r="LD27" s="649"/>
      <c r="LE27" s="649"/>
      <c r="LF27" s="649"/>
      <c r="LG27" s="649"/>
      <c r="LH27" s="649"/>
      <c r="LI27" s="649"/>
      <c r="LJ27" s="649"/>
      <c r="LK27" s="649"/>
      <c r="LL27" s="649"/>
      <c r="LM27" s="649"/>
      <c r="LN27" s="649"/>
      <c r="LO27" s="649"/>
      <c r="LP27" s="649"/>
      <c r="LQ27" s="649"/>
      <c r="LR27" s="649"/>
      <c r="LS27" s="649"/>
      <c r="LT27" s="649"/>
      <c r="LU27" s="649"/>
      <c r="LV27" s="649"/>
      <c r="LW27" s="649"/>
      <c r="LX27" s="649"/>
      <c r="LY27" s="649"/>
      <c r="LZ27" s="649"/>
      <c r="MA27" s="649"/>
      <c r="MB27" s="649"/>
      <c r="MC27" s="649"/>
      <c r="MD27" s="649"/>
      <c r="ME27" s="649"/>
      <c r="MF27" s="649"/>
      <c r="MG27" s="649"/>
      <c r="MH27" s="649"/>
      <c r="MI27" s="649"/>
      <c r="MJ27" s="649"/>
      <c r="MK27" s="649"/>
      <c r="ML27" s="649"/>
      <c r="MM27" s="649"/>
      <c r="MN27" s="649"/>
      <c r="MO27" s="649"/>
      <c r="MP27" s="649"/>
      <c r="MQ27" s="649"/>
      <c r="MR27" s="649"/>
      <c r="MS27" s="649"/>
      <c r="MT27" s="649"/>
      <c r="MU27" s="649"/>
      <c r="MV27" s="649"/>
      <c r="MW27" s="649"/>
      <c r="MX27" s="649"/>
      <c r="MY27" s="649"/>
      <c r="MZ27" s="649"/>
      <c r="NA27" s="649"/>
      <c r="NB27" s="649"/>
      <c r="NC27" s="649"/>
      <c r="ND27" s="649"/>
      <c r="NE27" s="649"/>
      <c r="NF27" s="649"/>
      <c r="NG27" s="649"/>
      <c r="NH27" s="649"/>
      <c r="NI27" s="649"/>
      <c r="NJ27" s="649"/>
      <c r="NK27" s="649"/>
      <c r="NL27" s="649"/>
      <c r="NM27" s="649"/>
      <c r="NN27" s="649"/>
      <c r="NO27" s="649"/>
      <c r="NP27" s="649"/>
      <c r="NQ27" s="649"/>
      <c r="NR27" s="649"/>
      <c r="NS27" s="649"/>
      <c r="NT27" s="649"/>
      <c r="NU27" s="649"/>
      <c r="NV27" s="649"/>
      <c r="NW27" s="649"/>
      <c r="NX27" s="649"/>
      <c r="NY27" s="649"/>
      <c r="NZ27" s="649"/>
      <c r="OA27" s="649"/>
      <c r="OB27" s="649"/>
      <c r="OC27" s="649"/>
      <c r="OD27" s="649"/>
      <c r="OE27" s="649"/>
      <c r="OF27" s="649"/>
      <c r="OG27" s="649"/>
      <c r="OH27" s="649"/>
      <c r="OI27" s="649"/>
      <c r="OJ27" s="649"/>
      <c r="OK27" s="649"/>
      <c r="OL27" s="649"/>
      <c r="OM27" s="649"/>
      <c r="ON27" s="649"/>
      <c r="OO27" s="649"/>
      <c r="OP27" s="649"/>
      <c r="OQ27" s="649"/>
      <c r="OR27" s="649"/>
      <c r="OS27" s="649"/>
      <c r="OT27" s="649"/>
      <c r="OU27" s="649"/>
      <c r="OV27" s="649"/>
      <c r="OW27" s="649"/>
      <c r="OX27" s="649"/>
      <c r="OY27" s="649"/>
      <c r="OZ27" s="649"/>
      <c r="PA27" s="649"/>
      <c r="PB27" s="649"/>
      <c r="PC27" s="649"/>
      <c r="PD27" s="649"/>
      <c r="PE27" s="649"/>
      <c r="PF27" s="649"/>
      <c r="PG27" s="649"/>
      <c r="PH27" s="649"/>
      <c r="PI27" s="649"/>
      <c r="PJ27" s="649"/>
      <c r="PK27" s="649"/>
      <c r="PL27" s="649"/>
      <c r="PM27" s="649"/>
      <c r="PN27" s="649"/>
      <c r="PO27" s="649"/>
      <c r="PP27" s="649"/>
      <c r="PQ27" s="649"/>
      <c r="PR27" s="649"/>
      <c r="PS27" s="649"/>
      <c r="PT27" s="649"/>
      <c r="PU27" s="649"/>
      <c r="PV27" s="649"/>
      <c r="PW27" s="649"/>
      <c r="PX27" s="649"/>
      <c r="PY27" s="649"/>
      <c r="PZ27" s="649"/>
      <c r="QA27" s="649"/>
      <c r="QB27" s="649"/>
      <c r="QC27" s="649"/>
      <c r="QD27" s="649"/>
      <c r="QE27" s="649"/>
      <c r="QF27" s="649"/>
      <c r="QG27" s="649"/>
      <c r="QH27" s="649"/>
      <c r="QI27" s="649"/>
      <c r="QJ27" s="649"/>
      <c r="QK27" s="649"/>
      <c r="QL27" s="649"/>
      <c r="QM27" s="649"/>
      <c r="QN27" s="649"/>
      <c r="QO27" s="649"/>
      <c r="QP27" s="649"/>
      <c r="QQ27" s="649"/>
      <c r="QR27" s="649"/>
      <c r="QS27" s="649"/>
      <c r="QT27" s="649"/>
      <c r="QU27" s="649"/>
      <c r="QV27" s="649"/>
      <c r="QW27" s="649"/>
      <c r="QX27" s="649"/>
      <c r="QY27" s="649"/>
      <c r="QZ27" s="649"/>
      <c r="RA27" s="649"/>
      <c r="RB27" s="649"/>
      <c r="RC27" s="649"/>
      <c r="RD27" s="649"/>
      <c r="RE27" s="649"/>
      <c r="RF27" s="649"/>
      <c r="RG27" s="649"/>
      <c r="RH27" s="649"/>
      <c r="RI27" s="649"/>
      <c r="RJ27" s="649"/>
      <c r="RK27" s="649"/>
      <c r="RL27" s="649"/>
      <c r="RM27" s="649"/>
      <c r="RN27" s="649"/>
      <c r="RO27" s="649"/>
      <c r="RP27" s="649"/>
      <c r="RQ27" s="649"/>
      <c r="RR27" s="649"/>
      <c r="RS27" s="649"/>
      <c r="RT27" s="649"/>
      <c r="RU27" s="649"/>
      <c r="RV27" s="649"/>
      <c r="RW27" s="649"/>
      <c r="RX27" s="649"/>
      <c r="RY27" s="649"/>
      <c r="RZ27" s="649"/>
      <c r="SA27" s="649"/>
      <c r="SB27" s="649"/>
      <c r="SC27" s="649"/>
      <c r="SD27" s="649"/>
      <c r="SE27" s="649"/>
      <c r="SF27" s="649"/>
      <c r="SG27" s="649"/>
      <c r="SH27" s="649"/>
      <c r="SI27" s="649"/>
      <c r="SJ27" s="649"/>
      <c r="SK27" s="649"/>
      <c r="SL27" s="649"/>
      <c r="SM27" s="649"/>
      <c r="SN27" s="649"/>
      <c r="SO27" s="649"/>
      <c r="SP27" s="649"/>
      <c r="SQ27" s="649"/>
      <c r="SR27" s="649"/>
      <c r="SS27" s="649"/>
      <c r="ST27" s="649"/>
      <c r="SU27" s="649"/>
      <c r="SV27" s="649"/>
      <c r="SW27" s="649"/>
      <c r="SX27" s="649"/>
      <c r="SY27" s="649"/>
      <c r="SZ27" s="649"/>
      <c r="TA27" s="649"/>
      <c r="TB27" s="649"/>
      <c r="TC27" s="649"/>
      <c r="TD27" s="649"/>
      <c r="TE27" s="649"/>
      <c r="TF27" s="649"/>
      <c r="TG27" s="649"/>
      <c r="TH27" s="649"/>
      <c r="TI27" s="649"/>
      <c r="TJ27" s="649"/>
      <c r="TK27" s="649"/>
      <c r="TL27" s="649"/>
      <c r="TM27" s="649"/>
      <c r="TN27" s="649"/>
      <c r="TO27" s="649"/>
      <c r="TP27" s="649"/>
      <c r="TQ27" s="649"/>
      <c r="TR27" s="649"/>
      <c r="TS27" s="649"/>
      <c r="TT27" s="649"/>
      <c r="TU27" s="649"/>
      <c r="TV27" s="649"/>
      <c r="TW27" s="649"/>
      <c r="TX27" s="649"/>
      <c r="TY27" s="649"/>
      <c r="TZ27" s="649"/>
      <c r="UA27" s="649"/>
      <c r="UB27" s="649"/>
      <c r="UC27" s="649"/>
      <c r="UD27" s="649"/>
      <c r="UE27" s="649"/>
      <c r="UF27" s="649"/>
      <c r="UG27" s="649"/>
      <c r="UH27" s="649"/>
      <c r="UI27" s="649"/>
      <c r="UJ27" s="649"/>
      <c r="UK27" s="649"/>
      <c r="UL27" s="649"/>
      <c r="UM27" s="649"/>
      <c r="UN27" s="649"/>
      <c r="UO27" s="649"/>
      <c r="UP27" s="649"/>
      <c r="UQ27" s="649"/>
      <c r="UR27" s="649"/>
      <c r="US27" s="649"/>
      <c r="UT27" s="649"/>
      <c r="UU27" s="649"/>
      <c r="UV27" s="649"/>
      <c r="UW27" s="649"/>
      <c r="UX27" s="649"/>
      <c r="UY27" s="649"/>
      <c r="UZ27" s="649"/>
      <c r="VA27" s="649"/>
      <c r="VB27" s="649"/>
      <c r="VC27" s="649"/>
      <c r="VD27" s="649"/>
      <c r="VE27" s="649"/>
      <c r="VF27" s="649"/>
      <c r="VG27" s="649"/>
      <c r="VH27" s="649"/>
      <c r="VI27" s="649"/>
      <c r="VJ27" s="649"/>
      <c r="VK27" s="649"/>
      <c r="VL27" s="649"/>
      <c r="VM27" s="649"/>
      <c r="VN27" s="649"/>
      <c r="VO27" s="649"/>
      <c r="VP27" s="649"/>
      <c r="VQ27" s="649"/>
      <c r="VR27" s="649"/>
      <c r="VS27" s="649"/>
      <c r="VT27" s="649"/>
      <c r="VU27" s="649"/>
      <c r="VV27" s="649"/>
      <c r="VW27" s="649"/>
      <c r="VX27" s="649"/>
      <c r="VY27" s="649"/>
      <c r="VZ27" s="649"/>
      <c r="WA27" s="649"/>
      <c r="WB27" s="649"/>
      <c r="WC27" s="649"/>
      <c r="WD27" s="649"/>
      <c r="WE27" s="649"/>
      <c r="WF27" s="649"/>
      <c r="WG27" s="649"/>
      <c r="WH27" s="649"/>
      <c r="WI27" s="649"/>
      <c r="WJ27" s="649"/>
      <c r="WK27" s="649"/>
      <c r="WL27" s="649"/>
      <c r="WM27" s="649"/>
      <c r="WN27" s="649"/>
      <c r="WO27" s="649"/>
      <c r="WP27" s="649"/>
      <c r="WQ27" s="649"/>
      <c r="WR27" s="649"/>
      <c r="WS27" s="649"/>
      <c r="WT27" s="649"/>
      <c r="WU27" s="649"/>
      <c r="WV27" s="649"/>
      <c r="WW27" s="649"/>
      <c r="WX27" s="649"/>
      <c r="WY27" s="649"/>
      <c r="WZ27" s="649"/>
      <c r="XA27" s="649"/>
      <c r="XB27" s="649"/>
      <c r="XC27" s="649"/>
      <c r="XD27" s="649"/>
      <c r="XE27" s="649"/>
      <c r="XF27" s="649"/>
      <c r="XG27" s="649"/>
      <c r="XH27" s="649"/>
      <c r="XI27" s="649"/>
      <c r="XJ27" s="649"/>
      <c r="XK27" s="649"/>
      <c r="XL27" s="649"/>
      <c r="XM27" s="649"/>
      <c r="XN27" s="649"/>
      <c r="XO27" s="649"/>
      <c r="XP27" s="649"/>
      <c r="XQ27" s="649"/>
      <c r="XR27" s="649"/>
      <c r="XS27" s="649"/>
      <c r="XT27" s="649"/>
      <c r="XU27" s="649"/>
      <c r="XV27" s="649"/>
      <c r="XW27" s="649"/>
      <c r="XX27" s="649"/>
      <c r="XY27" s="649"/>
      <c r="XZ27" s="649"/>
      <c r="YA27" s="649"/>
      <c r="YB27" s="649"/>
      <c r="YC27" s="649"/>
      <c r="YD27" s="649"/>
      <c r="YE27" s="649"/>
      <c r="YF27" s="649"/>
      <c r="YG27" s="649"/>
      <c r="YH27" s="649"/>
      <c r="YI27" s="649"/>
      <c r="YJ27" s="649"/>
      <c r="YK27" s="649"/>
      <c r="YL27" s="649"/>
      <c r="YM27" s="649"/>
      <c r="YN27" s="649"/>
      <c r="YO27" s="649"/>
      <c r="YP27" s="649"/>
      <c r="YQ27" s="649"/>
      <c r="YR27" s="649"/>
      <c r="YS27" s="649"/>
      <c r="YT27" s="649"/>
      <c r="YU27" s="649"/>
      <c r="YV27" s="649"/>
      <c r="YW27" s="649"/>
      <c r="YX27" s="649"/>
      <c r="YY27" s="649"/>
      <c r="YZ27" s="649"/>
      <c r="ZA27" s="649"/>
      <c r="ZB27" s="649"/>
      <c r="ZC27" s="649"/>
      <c r="ZD27" s="649"/>
      <c r="ZE27" s="649"/>
      <c r="ZF27" s="649"/>
      <c r="ZG27" s="649"/>
      <c r="ZH27" s="649"/>
      <c r="ZI27" s="649"/>
      <c r="ZJ27" s="649"/>
      <c r="ZK27" s="649"/>
      <c r="ZL27" s="649"/>
      <c r="ZM27" s="649"/>
      <c r="ZN27" s="649"/>
      <c r="ZO27" s="649"/>
      <c r="ZP27" s="649"/>
      <c r="ZQ27" s="649"/>
      <c r="ZR27" s="649"/>
      <c r="ZS27" s="649"/>
      <c r="ZT27" s="649"/>
      <c r="ZU27" s="649"/>
      <c r="ZV27" s="649"/>
      <c r="ZW27" s="649"/>
      <c r="ZX27" s="649"/>
      <c r="ZY27" s="649"/>
      <c r="ZZ27" s="649"/>
      <c r="AAA27" s="649"/>
      <c r="AAB27" s="649"/>
      <c r="AAC27" s="649"/>
      <c r="AAD27" s="649"/>
      <c r="AAE27" s="649"/>
      <c r="AAF27" s="649"/>
      <c r="AAG27" s="649"/>
      <c r="AAH27" s="649"/>
      <c r="AAI27" s="649"/>
      <c r="AAJ27" s="649"/>
      <c r="AAK27" s="649"/>
      <c r="AAL27" s="649"/>
      <c r="AAM27" s="649"/>
      <c r="AAN27" s="649"/>
      <c r="AAO27" s="649"/>
      <c r="AAP27" s="649"/>
      <c r="AAQ27" s="649"/>
      <c r="AAR27" s="649"/>
      <c r="AAS27" s="649"/>
      <c r="AAT27" s="649"/>
      <c r="AAU27" s="649"/>
      <c r="AAV27" s="649"/>
      <c r="AAW27" s="649"/>
      <c r="AAX27" s="649"/>
      <c r="AAY27" s="649"/>
      <c r="AAZ27" s="649"/>
      <c r="ABA27" s="649"/>
      <c r="ABB27" s="649"/>
      <c r="ABC27" s="649"/>
      <c r="ABD27" s="649"/>
      <c r="ABE27" s="649"/>
      <c r="ABF27" s="649"/>
      <c r="ABG27" s="649"/>
      <c r="ABH27" s="649"/>
      <c r="ABI27" s="649"/>
      <c r="ABJ27" s="649"/>
      <c r="ABK27" s="649"/>
      <c r="ABL27" s="649"/>
      <c r="ABM27" s="649"/>
      <c r="ABN27" s="649"/>
      <c r="ABO27" s="649"/>
      <c r="ABP27" s="649"/>
      <c r="ABQ27" s="649"/>
      <c r="ABR27" s="649"/>
      <c r="ABS27" s="649"/>
      <c r="ABT27" s="649"/>
      <c r="ABU27" s="649"/>
      <c r="ABV27" s="649"/>
      <c r="ABW27" s="649"/>
      <c r="ABX27" s="649"/>
      <c r="ABY27" s="649"/>
      <c r="ABZ27" s="649"/>
      <c r="ACA27" s="649"/>
      <c r="ACB27" s="649"/>
      <c r="ACC27" s="649"/>
      <c r="ACD27" s="649"/>
      <c r="ACE27" s="649"/>
      <c r="ACF27" s="649"/>
      <c r="ACG27" s="649"/>
      <c r="ACH27" s="649"/>
      <c r="ACI27" s="649"/>
      <c r="ACJ27" s="649"/>
      <c r="ACK27" s="649"/>
      <c r="ACL27" s="649"/>
      <c r="ACM27" s="649"/>
      <c r="ACN27" s="649"/>
      <c r="ACO27" s="649"/>
      <c r="ACP27" s="649"/>
      <c r="ACQ27" s="649"/>
      <c r="ACR27" s="649"/>
      <c r="ACS27" s="649"/>
      <c r="ACT27" s="649"/>
      <c r="ACU27" s="649"/>
      <c r="ACV27" s="649"/>
      <c r="ACW27" s="649"/>
      <c r="ACX27" s="649"/>
      <c r="ACY27" s="649"/>
      <c r="ACZ27" s="649"/>
      <c r="ADA27" s="649"/>
      <c r="ADB27" s="649"/>
      <c r="ADC27" s="649"/>
      <c r="ADD27" s="649"/>
      <c r="ADE27" s="649"/>
      <c r="ADF27" s="649"/>
      <c r="ADG27" s="649"/>
      <c r="ADH27" s="649"/>
      <c r="ADI27" s="649"/>
      <c r="ADJ27" s="649"/>
      <c r="ADK27" s="649"/>
      <c r="ADL27" s="649"/>
      <c r="ADM27" s="649"/>
      <c r="ADN27" s="649"/>
      <c r="ADO27" s="649"/>
      <c r="ADP27" s="649"/>
      <c r="ADQ27" s="649"/>
      <c r="ADR27" s="649"/>
      <c r="ADS27" s="649"/>
      <c r="ADT27" s="649"/>
      <c r="ADU27" s="649"/>
      <c r="ADV27" s="649"/>
      <c r="ADW27" s="649"/>
      <c r="ADX27" s="649"/>
      <c r="ADY27" s="649"/>
      <c r="ADZ27" s="649"/>
      <c r="AEA27" s="649"/>
      <c r="AEB27" s="649"/>
      <c r="AEC27" s="649"/>
      <c r="AED27" s="649"/>
      <c r="AEE27" s="649"/>
      <c r="AEF27" s="649"/>
      <c r="AEG27" s="649"/>
      <c r="AEH27" s="649"/>
      <c r="AEI27" s="649"/>
      <c r="AEJ27" s="649"/>
      <c r="AEK27" s="649"/>
      <c r="AEL27" s="649"/>
      <c r="AEM27" s="649"/>
      <c r="AEN27" s="649"/>
      <c r="AEO27" s="649"/>
      <c r="AEP27" s="649"/>
      <c r="AEQ27" s="649"/>
      <c r="AER27" s="649"/>
      <c r="AES27" s="649"/>
      <c r="AET27" s="649"/>
      <c r="AEU27" s="649"/>
      <c r="AEV27" s="649"/>
      <c r="AEW27" s="649"/>
      <c r="AEX27" s="649"/>
      <c r="AEY27" s="649"/>
      <c r="AEZ27" s="649"/>
      <c r="AFA27" s="649"/>
      <c r="AFB27" s="649"/>
      <c r="AFC27" s="649"/>
      <c r="AFD27" s="649"/>
      <c r="AFE27" s="649"/>
      <c r="AFF27" s="649"/>
      <c r="AFG27" s="649"/>
      <c r="AFH27" s="649"/>
      <c r="AFI27" s="649"/>
      <c r="AFJ27" s="649"/>
      <c r="AFK27" s="649"/>
      <c r="AFL27" s="649"/>
      <c r="AFM27" s="649"/>
      <c r="AFN27" s="649"/>
      <c r="AFO27" s="649"/>
      <c r="AFP27" s="649"/>
      <c r="AFQ27" s="649"/>
      <c r="AFR27" s="649"/>
      <c r="AFS27" s="649"/>
      <c r="AFT27" s="649"/>
      <c r="AFU27" s="649"/>
      <c r="AFV27" s="649"/>
      <c r="AFW27" s="649"/>
      <c r="AFX27" s="649"/>
      <c r="AFY27" s="649"/>
      <c r="AFZ27" s="649"/>
      <c r="AGA27" s="649"/>
      <c r="AGB27" s="649"/>
      <c r="AGC27" s="649"/>
      <c r="AGD27" s="649"/>
      <c r="AGE27" s="649"/>
      <c r="AGF27" s="649"/>
      <c r="AGG27" s="649"/>
      <c r="AGH27" s="649"/>
      <c r="AGI27" s="649"/>
      <c r="AGJ27" s="649"/>
      <c r="AGK27" s="649"/>
      <c r="AGL27" s="649"/>
      <c r="AGM27" s="649"/>
      <c r="AGN27" s="649"/>
      <c r="AGO27" s="649"/>
      <c r="AGP27" s="649"/>
      <c r="AGQ27" s="649"/>
      <c r="AGR27" s="649"/>
      <c r="AGS27" s="649"/>
      <c r="AGT27" s="649"/>
      <c r="AGU27" s="649"/>
      <c r="AGV27" s="649"/>
      <c r="AGW27" s="649"/>
      <c r="AGX27" s="649"/>
      <c r="AGY27" s="649"/>
      <c r="AGZ27" s="649"/>
      <c r="AHA27" s="649"/>
      <c r="AHB27" s="649"/>
      <c r="AHC27" s="649"/>
      <c r="AHD27" s="649"/>
      <c r="AHE27" s="649"/>
      <c r="AHF27" s="649"/>
      <c r="AHG27" s="649"/>
      <c r="AHH27" s="649"/>
      <c r="AHI27" s="649"/>
      <c r="AHJ27" s="649"/>
      <c r="AHK27" s="649"/>
      <c r="AHL27" s="649"/>
      <c r="AHM27" s="649"/>
      <c r="AHN27" s="649"/>
      <c r="AHO27" s="649"/>
      <c r="AHP27" s="649"/>
      <c r="AHQ27" s="649"/>
      <c r="AHR27" s="649"/>
      <c r="AHS27" s="649"/>
      <c r="AHT27" s="649"/>
      <c r="AHU27" s="649"/>
      <c r="AHV27" s="649"/>
      <c r="AHW27" s="649"/>
      <c r="AHX27" s="649"/>
      <c r="AHY27" s="649"/>
      <c r="AHZ27" s="649"/>
      <c r="AIA27" s="649"/>
      <c r="AIB27" s="649"/>
      <c r="AIC27" s="649"/>
      <c r="AID27" s="649"/>
      <c r="AIE27" s="649"/>
      <c r="AIF27" s="649"/>
      <c r="AIG27" s="649"/>
      <c r="AIH27" s="649"/>
      <c r="AII27" s="649"/>
      <c r="AIJ27" s="649"/>
      <c r="AIK27" s="649"/>
      <c r="AIL27" s="649"/>
      <c r="AIM27" s="649"/>
      <c r="AIN27" s="649"/>
      <c r="AIO27" s="649"/>
      <c r="AIP27" s="649"/>
      <c r="AIQ27" s="649"/>
      <c r="AIR27" s="649"/>
      <c r="AIS27" s="649"/>
      <c r="AIT27" s="649"/>
      <c r="AIU27" s="649"/>
      <c r="AIV27" s="649"/>
      <c r="AIW27" s="649"/>
      <c r="AIX27" s="649"/>
      <c r="AIY27" s="649"/>
      <c r="AIZ27" s="649"/>
      <c r="AJA27" s="649"/>
      <c r="AJB27" s="649"/>
      <c r="AJC27" s="649"/>
      <c r="AJD27" s="649"/>
      <c r="AJE27" s="649"/>
      <c r="AJF27" s="649"/>
      <c r="AJG27" s="649"/>
      <c r="AJH27" s="649"/>
      <c r="AJI27" s="649"/>
      <c r="AJJ27" s="649"/>
      <c r="AJK27" s="649"/>
      <c r="AJL27" s="649"/>
      <c r="AJM27" s="649"/>
      <c r="AJN27" s="649"/>
      <c r="AJO27" s="649"/>
      <c r="AJP27" s="649"/>
      <c r="AJQ27" s="649"/>
      <c r="AJR27" s="649"/>
      <c r="AJS27" s="649"/>
      <c r="AJT27" s="649"/>
      <c r="AJU27" s="649"/>
      <c r="AJV27" s="649"/>
      <c r="AJW27" s="649"/>
      <c r="AJX27" s="649"/>
      <c r="AJY27" s="649"/>
      <c r="AJZ27" s="649"/>
      <c r="AKA27" s="649"/>
      <c r="AKB27" s="649"/>
      <c r="AKC27" s="649"/>
      <c r="AKD27" s="649"/>
      <c r="AKE27" s="649"/>
      <c r="AKF27" s="649"/>
      <c r="AKG27" s="649"/>
      <c r="AKH27" s="649"/>
      <c r="AKI27" s="649"/>
      <c r="AKJ27" s="649"/>
      <c r="AKK27" s="649"/>
      <c r="AKL27" s="649"/>
      <c r="AKM27" s="649"/>
      <c r="AKN27" s="649"/>
      <c r="AKO27" s="649"/>
      <c r="AKP27" s="649"/>
      <c r="AKQ27" s="649"/>
      <c r="AKR27" s="649"/>
      <c r="AKS27" s="649"/>
      <c r="AKT27" s="649"/>
      <c r="AKU27" s="649"/>
      <c r="AKV27" s="649"/>
      <c r="AKW27" s="649"/>
      <c r="AKX27" s="649"/>
      <c r="AKY27" s="649"/>
      <c r="AKZ27" s="649"/>
      <c r="ALA27" s="649"/>
      <c r="ALB27" s="649"/>
      <c r="ALC27" s="649"/>
      <c r="ALD27" s="649"/>
      <c r="ALE27" s="649"/>
      <c r="ALF27" s="649"/>
      <c r="ALG27" s="649"/>
      <c r="ALH27" s="649"/>
      <c r="ALI27" s="649"/>
      <c r="ALJ27" s="649"/>
      <c r="ALK27" s="649"/>
      <c r="ALL27" s="649"/>
      <c r="ALM27" s="649"/>
      <c r="ALN27" s="649"/>
      <c r="ALO27" s="649"/>
      <c r="ALP27" s="649"/>
      <c r="ALQ27" s="649"/>
      <c r="ALR27" s="649"/>
      <c r="ALS27" s="649"/>
      <c r="ALT27" s="649"/>
      <c r="ALU27" s="649"/>
      <c r="ALV27" s="649"/>
      <c r="ALW27" s="649"/>
      <c r="ALX27" s="649"/>
      <c r="ALY27" s="649"/>
      <c r="ALZ27" s="649"/>
      <c r="AMA27" s="649"/>
      <c r="AMB27" s="649"/>
      <c r="AMC27" s="649"/>
      <c r="AMD27" s="649"/>
      <c r="AME27" s="649"/>
      <c r="AMF27" s="649"/>
      <c r="AMG27" s="649"/>
      <c r="AMH27" s="649"/>
      <c r="AMI27" s="649"/>
      <c r="AMJ27" s="649"/>
    </row>
    <row r="28" customFormat="false" ht="15" hidden="false" customHeight="false" outlineLevel="0" collapsed="false">
      <c r="A28" s="653"/>
      <c r="B28" s="653"/>
      <c r="C28" s="653"/>
      <c r="D28" s="653"/>
      <c r="E28" s="653"/>
      <c r="F28" s="653"/>
      <c r="G28" s="653"/>
      <c r="H28" s="653"/>
      <c r="I28" s="653"/>
      <c r="J28" s="653"/>
      <c r="K28" s="653"/>
      <c r="L28" s="653"/>
      <c r="M28" s="653"/>
      <c r="N28" s="653"/>
      <c r="O28" s="653"/>
      <c r="P28" s="653"/>
      <c r="Q28" s="653"/>
      <c r="R28" s="653"/>
      <c r="S28" s="653"/>
      <c r="T28" s="653"/>
      <c r="U28" s="653"/>
      <c r="V28" s="653"/>
      <c r="W28" s="653"/>
    </row>
    <row r="29" customFormat="false" ht="15" hidden="false" customHeight="false" outlineLevel="0" collapsed="false">
      <c r="A29" s="653"/>
      <c r="B29" s="653"/>
      <c r="C29" s="653"/>
      <c r="D29" s="653"/>
      <c r="E29" s="653"/>
      <c r="F29" s="653"/>
      <c r="G29" s="653"/>
      <c r="H29" s="653"/>
      <c r="I29" s="653"/>
      <c r="J29" s="653"/>
      <c r="K29" s="653"/>
      <c r="L29" s="653"/>
      <c r="M29" s="653"/>
      <c r="N29" s="653"/>
      <c r="O29" s="653"/>
      <c r="P29" s="653"/>
      <c r="Q29" s="653"/>
      <c r="R29" s="653"/>
      <c r="S29" s="653"/>
      <c r="T29" s="653"/>
      <c r="U29" s="653"/>
      <c r="V29" s="653"/>
      <c r="W29" s="653"/>
    </row>
  </sheetData>
  <sheetProtection algorithmName="SHA-512" hashValue="XouEnY6CxxlBWhcr9MlG25r2ByFUGx2BUepvyf7i+WBbqxeFrZEqrF+Mx6yKHyQnbl2fk4FmJbsSpqwP82J1bg==" saltValue="KS8ZsK36/ieL1rBdU8b4PA==" spinCount="100000" sheet="true" objects="true" scenarios="true"/>
  <mergeCells count="31">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12:A14"/>
    <mergeCell ref="A15:A20"/>
    <mergeCell ref="A22:C22"/>
    <mergeCell ref="A23:V23"/>
    <mergeCell ref="A24:V24"/>
    <mergeCell ref="A25:W25"/>
    <mergeCell ref="A26:W26"/>
    <mergeCell ref="A27:W27"/>
    <mergeCell ref="A28:W28"/>
    <mergeCell ref="A29:W29"/>
  </mergeCells>
  <printOptions headings="false" gridLines="false" gridLinesSet="true" horizontalCentered="false" verticalCentered="false"/>
  <pageMargins left="0.511805555555556" right="0.511805555555556" top="0.7875" bottom="0.7875" header="0.511811023622047" footer="0.511811023622047"/>
  <pageSetup paperSize="9" scale="48"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23"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186</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Fábio Lucas Gouveia dos Santos</dc:creator>
  <dc:description/>
  <dc:language>pt-BR</dc:language>
  <cp:lastModifiedBy/>
  <cp:lastPrinted>2026-02-10T15:34:42Z</cp:lastPrinted>
  <dcterms:modified xsi:type="dcterms:W3CDTF">2026-02-10T15:40:28Z</dcterms:modified>
  <cp:revision>28</cp:revision>
  <dc:subject/>
  <dc:title/>
</cp:coreProperties>
</file>

<file path=docProps/custom.xml><?xml version="1.0" encoding="utf-8"?>
<Properties xmlns="http://schemas.openxmlformats.org/officeDocument/2006/custom-properties" xmlns:vt="http://schemas.openxmlformats.org/officeDocument/2006/docPropsVTypes"/>
</file>