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Users\rafaella.nunes\Desktop\"/>
    </mc:Choice>
  </mc:AlternateContent>
  <xr:revisionPtr revIDLastSave="0" documentId="13_ncr:1_{0B6F573D-F2CC-411A-A927-D78ECA921578}" xr6:coauthVersionLast="47" xr6:coauthVersionMax="47" xr10:uidLastSave="{00000000-0000-0000-0000-000000000000}"/>
  <bookViews>
    <workbookView xWindow="-120" yWindow="-120" windowWidth="29040" windowHeight="15840" tabRatio="500" firstSheet="3" activeTab="9" xr2:uid="{00000000-000D-0000-FFFF-FFFF00000000}"/>
  </bookViews>
  <sheets>
    <sheet name="Ocorrências Mensais - FAT" sheetId="1" state="hidden" r:id="rId1"/>
    <sheet name="INSTRUÇÕES" sheetId="2" r:id="rId2"/>
    <sheet name="Dados" sheetId="3" r:id="rId3"/>
    <sheet name="Encargos" sheetId="4" r:id="rId4"/>
    <sheet name="Insumos" sheetId="5" r:id="rId5"/>
    <sheet name="EPI" sheetId="6" r:id="rId6"/>
    <sheet name="Equipamentos" sheetId="7" r:id="rId7"/>
    <sheet name="Resumo" sheetId="13" r:id="rId8"/>
    <sheet name="Auxiliar Adm - Mensageiro" sheetId="12" r:id="rId9"/>
    <sheet name="Servente - Copeira" sheetId="10" r:id="rId10"/>
    <sheet name="Servente Insalubre" sheetId="9" r:id="rId11"/>
    <sheet name="Zelador" sheetId="11" r:id="rId12"/>
    <sheet name="Custo Estimado Substituto" sheetId="14" r:id="rId13"/>
    <sheet name="IPCA" sheetId="15" state="hidden" r:id="rId14"/>
  </sheets>
  <definedNames>
    <definedName name="_xlnm.Print_Area" localSheetId="8">'Auxiliar Adm - Mensageiro'!$A$1:$J$47</definedName>
    <definedName name="_xlnm.Print_Area" localSheetId="2">Dados!$A$1:$S$55</definedName>
    <definedName name="_xlnm.Print_Area" localSheetId="3">Encargos!$A$1:$H$59</definedName>
    <definedName name="_xlnm.Print_Area" localSheetId="4">Insumos!$A$1:$L$67</definedName>
    <definedName name="_xlnm.Print_Area" localSheetId="9">'Servente - Copeira'!$A$1:$J$47</definedName>
    <definedName name="_xlnm.Print_Area" localSheetId="10">'Servente Insalubre'!$A$1:$J$47</definedName>
    <definedName name="_xlnm.Print_Area" localSheetId="11">Zelador!$A$1:$J$47</definedName>
    <definedName name="BS">NA()</definedName>
    <definedName name="BT">NA()</definedName>
    <definedName name="CIDADE">NA()</definedName>
    <definedName name="CIDADES">NA()</definedName>
    <definedName name="CPMF">NA()</definedName>
    <definedName name="d">NA()</definedName>
    <definedName name="ENCARGOS">NA()</definedName>
    <definedName name="Excel_BuiltIn_Print_Area_1_1">"$#REF!.$A$2:$C$99"</definedName>
    <definedName name="Excel_BuiltIn_Print_Area_6_1">NA()</definedName>
    <definedName name="Excel_BuiltIn_Print_Area_7_1">NA()</definedName>
    <definedName name="Excel_BuiltIn_Print_Area_8_1">NA()</definedName>
    <definedName name="Excel_BuiltIn_Print_Area_9_1">NA()</definedName>
    <definedName name="ISS">NA()</definedName>
    <definedName name="Jornada">NA()</definedName>
    <definedName name="Print_Area_0" localSheetId="8">'Auxiliar Adm - Mensageiro'!$A$1:$J$47</definedName>
    <definedName name="Print_Area_0" localSheetId="2">Dados!$A$1:$S$55</definedName>
    <definedName name="Print_Area_0" localSheetId="3">Encargos!$A$1:$H$59</definedName>
    <definedName name="Print_Area_0" localSheetId="4">Insumos!$A$1:$L$67</definedName>
    <definedName name="Print_Area_0" localSheetId="9">'Servente - Copeira'!$A$1:$J$47</definedName>
    <definedName name="Print_Area_0" localSheetId="10">'Servente Insalubre'!$A$1:$J$47</definedName>
    <definedName name="Print_Area_0" localSheetId="11">Zelador!$A$1:$J$47</definedName>
    <definedName name="TERRIT">NA()</definedName>
    <definedName name="Tipo_de_Joranda_de_Trabalho">NA()</definedName>
    <definedName name="TP_SERV">NA()</definedName>
    <definedName name="TP_SERVPERC">NA()</definedName>
    <definedName name="VRSELEC">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K10" i="3" l="1"/>
  <c r="F27" i="11"/>
  <c r="G27" i="11" s="1"/>
  <c r="F26" i="11"/>
  <c r="F25" i="11"/>
  <c r="F24" i="11"/>
  <c r="F25" i="9"/>
  <c r="G26" i="11"/>
  <c r="D28" i="12"/>
  <c r="F28" i="12" s="1"/>
  <c r="G28" i="12" s="1"/>
  <c r="D29" i="12"/>
  <c r="F29" i="12" s="1"/>
  <c r="G29" i="12" s="1"/>
  <c r="D28" i="11"/>
  <c r="F28" i="11" s="1"/>
  <c r="G28" i="11" s="1"/>
  <c r="D29" i="11"/>
  <c r="F29" i="11" s="1"/>
  <c r="G29" i="11" s="1"/>
  <c r="D28" i="9"/>
  <c r="F28" i="9" s="1"/>
  <c r="G28" i="9" s="1"/>
  <c r="D29" i="9"/>
  <c r="F29" i="9" s="1"/>
  <c r="G29" i="9" s="1"/>
  <c r="D28" i="10"/>
  <c r="F28" i="10" s="1"/>
  <c r="G28" i="10" s="1"/>
  <c r="D29" i="10"/>
  <c r="F29" i="10" s="1"/>
  <c r="G29" i="10" s="1"/>
  <c r="F27" i="12"/>
  <c r="G27" i="12" s="1"/>
  <c r="F26" i="12"/>
  <c r="G26" i="12" s="1"/>
  <c r="F25" i="12"/>
  <c r="F24" i="12"/>
  <c r="A29" i="12"/>
  <c r="A29" i="10"/>
  <c r="A29" i="9"/>
  <c r="A29" i="11"/>
  <c r="A28" i="12"/>
  <c r="A28" i="10"/>
  <c r="A28" i="9"/>
  <c r="A28" i="11"/>
  <c r="G64" i="5"/>
  <c r="AG22" i="15"/>
  <c r="AH22" i="15" s="1"/>
  <c r="AE22" i="15"/>
  <c r="Z22" i="15"/>
  <c r="AA22" i="15" s="1"/>
  <c r="X22" i="15"/>
  <c r="S22" i="15"/>
  <c r="T22" i="15" s="1"/>
  <c r="Q22" i="15"/>
  <c r="L22" i="15"/>
  <c r="M22" i="15" s="1"/>
  <c r="J22" i="15"/>
  <c r="I22" i="15"/>
  <c r="P22" i="15" s="1"/>
  <c r="W22" i="15" s="1"/>
  <c r="AD22" i="15" s="1"/>
  <c r="F22" i="15"/>
  <c r="AH21" i="15"/>
  <c r="AE21" i="15"/>
  <c r="AA21" i="15"/>
  <c r="X21" i="15"/>
  <c r="T21" i="15"/>
  <c r="Q21" i="15"/>
  <c r="M21" i="15"/>
  <c r="J21" i="15"/>
  <c r="I21" i="15"/>
  <c r="P21" i="15" s="1"/>
  <c r="W21" i="15" s="1"/>
  <c r="AD21" i="15" s="1"/>
  <c r="F21" i="15"/>
  <c r="AH20" i="15"/>
  <c r="AE20" i="15"/>
  <c r="AA20" i="15"/>
  <c r="X20" i="15"/>
  <c r="T20" i="15"/>
  <c r="Q20" i="15"/>
  <c r="M20" i="15"/>
  <c r="J20" i="15"/>
  <c r="I20" i="15"/>
  <c r="P20" i="15" s="1"/>
  <c r="W20" i="15" s="1"/>
  <c r="AD20" i="15" s="1"/>
  <c r="F20" i="15"/>
  <c r="AH19" i="15"/>
  <c r="AE19" i="15"/>
  <c r="AA19" i="15"/>
  <c r="X19" i="15"/>
  <c r="T19" i="15"/>
  <c r="Q19" i="15"/>
  <c r="M19" i="15"/>
  <c r="J19" i="15"/>
  <c r="I19" i="15"/>
  <c r="P19" i="15" s="1"/>
  <c r="W19" i="15" s="1"/>
  <c r="AD19" i="15" s="1"/>
  <c r="F19" i="15"/>
  <c r="AH18" i="15"/>
  <c r="AE18" i="15"/>
  <c r="AA18" i="15"/>
  <c r="X18" i="15"/>
  <c r="T18" i="15"/>
  <c r="Q18" i="15"/>
  <c r="M18" i="15"/>
  <c r="J18" i="15"/>
  <c r="I18" i="15"/>
  <c r="P18" i="15" s="1"/>
  <c r="W18" i="15" s="1"/>
  <c r="AD18" i="15" s="1"/>
  <c r="F18" i="15"/>
  <c r="AH17" i="15"/>
  <c r="AE17" i="15"/>
  <c r="AA17" i="15"/>
  <c r="X17" i="15"/>
  <c r="T17" i="15"/>
  <c r="Q17" i="15"/>
  <c r="M17" i="15"/>
  <c r="J17" i="15"/>
  <c r="I17" i="15"/>
  <c r="P17" i="15" s="1"/>
  <c r="W17" i="15" s="1"/>
  <c r="AD17" i="15" s="1"/>
  <c r="F17" i="15"/>
  <c r="AH16" i="15"/>
  <c r="AE16" i="15"/>
  <c r="AA16" i="15"/>
  <c r="X16" i="15"/>
  <c r="T16" i="15"/>
  <c r="Q16" i="15"/>
  <c r="M16" i="15"/>
  <c r="J16" i="15"/>
  <c r="I16" i="15"/>
  <c r="P16" i="15" s="1"/>
  <c r="W16" i="15" s="1"/>
  <c r="AD16" i="15" s="1"/>
  <c r="F16" i="15"/>
  <c r="AH15" i="15"/>
  <c r="AE15" i="15"/>
  <c r="AA15" i="15"/>
  <c r="X15" i="15"/>
  <c r="T15" i="15"/>
  <c r="Q15" i="15"/>
  <c r="M15" i="15"/>
  <c r="J15" i="15"/>
  <c r="I15" i="15"/>
  <c r="P15" i="15" s="1"/>
  <c r="W15" i="15" s="1"/>
  <c r="AD15" i="15" s="1"/>
  <c r="F15" i="15"/>
  <c r="AH14" i="15"/>
  <c r="AE14" i="15"/>
  <c r="AA14" i="15"/>
  <c r="X14" i="15"/>
  <c r="T14" i="15"/>
  <c r="Q14" i="15"/>
  <c r="M14" i="15"/>
  <c r="J14" i="15"/>
  <c r="I14" i="15"/>
  <c r="P14" i="15" s="1"/>
  <c r="W14" i="15" s="1"/>
  <c r="AD14" i="15" s="1"/>
  <c r="F14" i="15"/>
  <c r="AH13" i="15"/>
  <c r="AE13" i="15"/>
  <c r="AA13" i="15"/>
  <c r="X13" i="15"/>
  <c r="T13" i="15"/>
  <c r="Q13" i="15"/>
  <c r="M13" i="15"/>
  <c r="J13" i="15"/>
  <c r="I13" i="15"/>
  <c r="P13" i="15" s="1"/>
  <c r="W13" i="15" s="1"/>
  <c r="AD13" i="15" s="1"/>
  <c r="F13" i="15"/>
  <c r="AH12" i="15"/>
  <c r="AE12" i="15"/>
  <c r="AA12" i="15"/>
  <c r="X12" i="15"/>
  <c r="T12" i="15"/>
  <c r="Q12" i="15"/>
  <c r="M12" i="15"/>
  <c r="J12" i="15"/>
  <c r="I12" i="15"/>
  <c r="P12" i="15" s="1"/>
  <c r="W12" i="15" s="1"/>
  <c r="AD12" i="15" s="1"/>
  <c r="F12" i="15"/>
  <c r="AH11" i="15"/>
  <c r="AE11" i="15"/>
  <c r="AA11" i="15"/>
  <c r="X11" i="15"/>
  <c r="T11" i="15"/>
  <c r="Q11" i="15"/>
  <c r="M11" i="15"/>
  <c r="J11" i="15"/>
  <c r="I11" i="15"/>
  <c r="P11" i="15" s="1"/>
  <c r="W11" i="15" s="1"/>
  <c r="AD11" i="15" s="1"/>
  <c r="F11" i="15"/>
  <c r="AG10" i="15"/>
  <c r="AH10" i="15" s="1"/>
  <c r="AI10" i="15" s="1"/>
  <c r="AI11" i="15" s="1"/>
  <c r="AI12" i="15" s="1"/>
  <c r="AI13" i="15" s="1"/>
  <c r="AI14" i="15" s="1"/>
  <c r="AI15" i="15" s="1"/>
  <c r="AI16" i="15" s="1"/>
  <c r="AI17" i="15" s="1"/>
  <c r="AI18" i="15" s="1"/>
  <c r="AI19" i="15" s="1"/>
  <c r="AI20" i="15" s="1"/>
  <c r="AI21" i="15" s="1"/>
  <c r="AI22" i="15" s="1"/>
  <c r="AI23" i="15" s="1"/>
  <c r="AE10" i="15"/>
  <c r="Z10" i="15"/>
  <c r="AA10" i="15" s="1"/>
  <c r="AB10" i="15" s="1"/>
  <c r="AB11" i="15" s="1"/>
  <c r="AB12" i="15" s="1"/>
  <c r="AB13" i="15" s="1"/>
  <c r="AB14" i="15" s="1"/>
  <c r="AB15" i="15" s="1"/>
  <c r="AB16" i="15" s="1"/>
  <c r="AB17" i="15" s="1"/>
  <c r="AB18" i="15" s="1"/>
  <c r="AB19" i="15" s="1"/>
  <c r="AB20" i="15" s="1"/>
  <c r="AB21" i="15" s="1"/>
  <c r="AB22" i="15" s="1"/>
  <c r="AB23" i="15" s="1"/>
  <c r="X10" i="15"/>
  <c r="S10" i="15"/>
  <c r="T10" i="15" s="1"/>
  <c r="U10" i="15" s="1"/>
  <c r="U11" i="15" s="1"/>
  <c r="U12" i="15" s="1"/>
  <c r="U13" i="15" s="1"/>
  <c r="U14" i="15" s="1"/>
  <c r="U15" i="15" s="1"/>
  <c r="U16" i="15" s="1"/>
  <c r="U17" i="15" s="1"/>
  <c r="U18" i="15" s="1"/>
  <c r="U19" i="15" s="1"/>
  <c r="U20" i="15" s="1"/>
  <c r="U21" i="15" s="1"/>
  <c r="U22" i="15" s="1"/>
  <c r="U23" i="15" s="1"/>
  <c r="Q10" i="15"/>
  <c r="L10" i="15"/>
  <c r="M10" i="15" s="1"/>
  <c r="N10" i="15" s="1"/>
  <c r="N11" i="15" s="1"/>
  <c r="N12" i="15" s="1"/>
  <c r="N13" i="15" s="1"/>
  <c r="N14" i="15" s="1"/>
  <c r="N15" i="15" s="1"/>
  <c r="N16" i="15" s="1"/>
  <c r="N17" i="15" s="1"/>
  <c r="N18" i="15" s="1"/>
  <c r="N19" i="15" s="1"/>
  <c r="N20" i="15" s="1"/>
  <c r="N21" i="15" s="1"/>
  <c r="N22" i="15" s="1"/>
  <c r="N23" i="15" s="1"/>
  <c r="J10" i="15"/>
  <c r="I10" i="15"/>
  <c r="P10" i="15" s="1"/>
  <c r="W10" i="15" s="1"/>
  <c r="AD10" i="15" s="1"/>
  <c r="F10" i="15"/>
  <c r="G10" i="15" s="1"/>
  <c r="G11" i="15" s="1"/>
  <c r="G12" i="15" s="1"/>
  <c r="G13" i="15" s="1"/>
  <c r="G14" i="15" s="1"/>
  <c r="G15" i="15" s="1"/>
  <c r="G16" i="15" s="1"/>
  <c r="G17" i="15" s="1"/>
  <c r="G18" i="15" s="1"/>
  <c r="G19" i="15" s="1"/>
  <c r="G20" i="15" s="1"/>
  <c r="G21" i="15" s="1"/>
  <c r="G22" i="15" s="1"/>
  <c r="G23" i="15" s="1"/>
  <c r="M24" i="14"/>
  <c r="J24" i="14"/>
  <c r="B24" i="14"/>
  <c r="J23" i="14"/>
  <c r="E23" i="14"/>
  <c r="B23" i="14"/>
  <c r="M21" i="14"/>
  <c r="E21" i="14"/>
  <c r="M20" i="14"/>
  <c r="E20" i="14"/>
  <c r="M19" i="14"/>
  <c r="E19" i="14"/>
  <c r="M18" i="14"/>
  <c r="E18" i="14"/>
  <c r="N5" i="14"/>
  <c r="H5" i="14"/>
  <c r="G5" i="14"/>
  <c r="F5" i="14"/>
  <c r="B3" i="14"/>
  <c r="B2" i="14"/>
  <c r="B1" i="14"/>
  <c r="Q15" i="13"/>
  <c r="N15" i="13"/>
  <c r="D15" i="13"/>
  <c r="C15" i="13"/>
  <c r="B15" i="13"/>
  <c r="A15" i="13"/>
  <c r="Q14" i="13"/>
  <c r="N14" i="13"/>
  <c r="D14" i="13"/>
  <c r="C14" i="13"/>
  <c r="B14" i="13"/>
  <c r="U13" i="13"/>
  <c r="U16" i="13" s="1"/>
  <c r="Q13" i="13"/>
  <c r="N13" i="13"/>
  <c r="D13" i="13"/>
  <c r="C13" i="13"/>
  <c r="B13" i="13"/>
  <c r="Q12" i="13"/>
  <c r="N12" i="13"/>
  <c r="N16" i="13" s="1"/>
  <c r="D12" i="13"/>
  <c r="C12" i="13"/>
  <c r="B12" i="13"/>
  <c r="A12" i="13"/>
  <c r="B3" i="13"/>
  <c r="A5" i="13" s="1"/>
  <c r="B2" i="13"/>
  <c r="B1" i="13"/>
  <c r="D43" i="12"/>
  <c r="A43" i="12"/>
  <c r="A42" i="12"/>
  <c r="D41" i="12"/>
  <c r="D40" i="12"/>
  <c r="D44" i="12" s="1"/>
  <c r="D36" i="12"/>
  <c r="D34" i="12"/>
  <c r="D37" i="12" s="1"/>
  <c r="J30" i="12"/>
  <c r="E23" i="12"/>
  <c r="D23" i="12"/>
  <c r="C23" i="12"/>
  <c r="E22" i="12"/>
  <c r="D22" i="12"/>
  <c r="C22" i="12"/>
  <c r="F21" i="12"/>
  <c r="G21" i="12" s="1"/>
  <c r="F20" i="12"/>
  <c r="G20" i="12" s="1"/>
  <c r="I14" i="12"/>
  <c r="I16" i="12" s="1"/>
  <c r="H14" i="12"/>
  <c r="H16" i="12" s="1"/>
  <c r="D13" i="12"/>
  <c r="C13" i="12"/>
  <c r="E12" i="12"/>
  <c r="D12" i="12"/>
  <c r="E11" i="12"/>
  <c r="D11" i="12"/>
  <c r="F23" i="12" s="1"/>
  <c r="A7" i="12"/>
  <c r="B3" i="12"/>
  <c r="B2" i="12"/>
  <c r="B1" i="12"/>
  <c r="A43" i="11"/>
  <c r="D42" i="11"/>
  <c r="A42" i="11"/>
  <c r="D41" i="11"/>
  <c r="D40" i="11"/>
  <c r="D44" i="11" s="1"/>
  <c r="D36" i="11"/>
  <c r="D34" i="11"/>
  <c r="D37" i="11" s="1"/>
  <c r="J30" i="11"/>
  <c r="E23" i="11"/>
  <c r="D23" i="11"/>
  <c r="C23" i="11"/>
  <c r="E22" i="11"/>
  <c r="D22" i="11"/>
  <c r="C22" i="11"/>
  <c r="F21" i="11"/>
  <c r="G21" i="11" s="1"/>
  <c r="F20" i="11"/>
  <c r="G20" i="11" s="1"/>
  <c r="I14" i="11"/>
  <c r="I16" i="11" s="1"/>
  <c r="H14" i="11"/>
  <c r="H16" i="11" s="1"/>
  <c r="E13" i="11"/>
  <c r="D13" i="11"/>
  <c r="C13" i="11"/>
  <c r="E12" i="11"/>
  <c r="D12" i="11"/>
  <c r="E11" i="11"/>
  <c r="D11" i="11"/>
  <c r="F23" i="11" s="1"/>
  <c r="A7" i="11"/>
  <c r="B3" i="11"/>
  <c r="B2" i="11"/>
  <c r="B1" i="11"/>
  <c r="A43" i="10"/>
  <c r="D42" i="10"/>
  <c r="A42" i="10"/>
  <c r="D41" i="10"/>
  <c r="D40" i="10"/>
  <c r="D36" i="10"/>
  <c r="D34" i="10"/>
  <c r="D37" i="10" s="1"/>
  <c r="J30" i="10"/>
  <c r="E23" i="10"/>
  <c r="D23" i="10"/>
  <c r="C23" i="10"/>
  <c r="E22" i="10"/>
  <c r="D22" i="10"/>
  <c r="C22" i="10"/>
  <c r="F21" i="10"/>
  <c r="G21" i="10" s="1"/>
  <c r="F20" i="10"/>
  <c r="G20" i="10" s="1"/>
  <c r="I14" i="10"/>
  <c r="I16" i="10" s="1"/>
  <c r="H14" i="10"/>
  <c r="H16" i="10" s="1"/>
  <c r="D13" i="10"/>
  <c r="C13" i="10"/>
  <c r="E12" i="10"/>
  <c r="D12" i="10"/>
  <c r="E11" i="10"/>
  <c r="D11" i="10"/>
  <c r="A7" i="10"/>
  <c r="B3" i="10"/>
  <c r="B2" i="10"/>
  <c r="B1" i="10"/>
  <c r="A43" i="9"/>
  <c r="D42" i="9"/>
  <c r="A42" i="9"/>
  <c r="D41" i="9"/>
  <c r="D40" i="9"/>
  <c r="D44" i="9" s="1"/>
  <c r="D36" i="9"/>
  <c r="D34" i="9"/>
  <c r="D37" i="9" s="1"/>
  <c r="J30" i="9"/>
  <c r="E23" i="9"/>
  <c r="D23" i="9"/>
  <c r="C23" i="9"/>
  <c r="E22" i="9"/>
  <c r="D22" i="9"/>
  <c r="C22" i="9"/>
  <c r="F21" i="9"/>
  <c r="G21" i="9" s="1"/>
  <c r="F20" i="9"/>
  <c r="G20" i="9" s="1"/>
  <c r="I14" i="9"/>
  <c r="I16" i="9" s="1"/>
  <c r="H14" i="9"/>
  <c r="H16" i="9" s="1"/>
  <c r="E13" i="9"/>
  <c r="D13" i="9"/>
  <c r="C13" i="9"/>
  <c r="E12" i="9"/>
  <c r="D12" i="9"/>
  <c r="E11" i="9"/>
  <c r="D11" i="9"/>
  <c r="F23" i="9" s="1"/>
  <c r="A7" i="9"/>
  <c r="B3" i="9"/>
  <c r="B2" i="9"/>
  <c r="B1" i="9"/>
  <c r="F19" i="12"/>
  <c r="E10" i="7"/>
  <c r="F10" i="7" s="1"/>
  <c r="G10" i="7" s="1"/>
  <c r="E9" i="7"/>
  <c r="F9" i="7" s="1"/>
  <c r="G9" i="7" s="1"/>
  <c r="G11" i="7" s="1"/>
  <c r="B3" i="7"/>
  <c r="B2" i="7"/>
  <c r="B1" i="7"/>
  <c r="E8" i="6"/>
  <c r="F8" i="6" s="1"/>
  <c r="F9" i="6" s="1"/>
  <c r="B3" i="6"/>
  <c r="B2" i="6"/>
  <c r="B1" i="6"/>
  <c r="L65" i="5"/>
  <c r="L64" i="5"/>
  <c r="L63" i="5"/>
  <c r="L62" i="5"/>
  <c r="L61" i="5"/>
  <c r="L60" i="5"/>
  <c r="O59" i="5"/>
  <c r="P59" i="5" s="1"/>
  <c r="Q59" i="5" s="1"/>
  <c r="R59" i="5" s="1"/>
  <c r="S59" i="5" s="1"/>
  <c r="L59" i="5"/>
  <c r="O58" i="5"/>
  <c r="P58" i="5" s="1"/>
  <c r="Q58" i="5" s="1"/>
  <c r="R58" i="5" s="1"/>
  <c r="S58" i="5" s="1"/>
  <c r="L58" i="5"/>
  <c r="O57" i="5"/>
  <c r="P57" i="5" s="1"/>
  <c r="Q57" i="5" s="1"/>
  <c r="R57" i="5" s="1"/>
  <c r="S57" i="5" s="1"/>
  <c r="L57" i="5"/>
  <c r="O56" i="5"/>
  <c r="P56" i="5" s="1"/>
  <c r="Q56" i="5" s="1"/>
  <c r="R56" i="5" s="1"/>
  <c r="S56" i="5" s="1"/>
  <c r="L56" i="5"/>
  <c r="O55" i="5"/>
  <c r="P55" i="5" s="1"/>
  <c r="Q55" i="5" s="1"/>
  <c r="R55" i="5" s="1"/>
  <c r="S55" i="5" s="1"/>
  <c r="L55" i="5"/>
  <c r="O54" i="5"/>
  <c r="P54" i="5" s="1"/>
  <c r="Q54" i="5" s="1"/>
  <c r="R54" i="5" s="1"/>
  <c r="S54" i="5" s="1"/>
  <c r="L54" i="5"/>
  <c r="O53" i="5"/>
  <c r="P53" i="5" s="1"/>
  <c r="Q53" i="5" s="1"/>
  <c r="R53" i="5" s="1"/>
  <c r="S53" i="5" s="1"/>
  <c r="L53" i="5"/>
  <c r="O52" i="5"/>
  <c r="P52" i="5" s="1"/>
  <c r="Q52" i="5" s="1"/>
  <c r="R52" i="5" s="1"/>
  <c r="S52" i="5" s="1"/>
  <c r="L52" i="5"/>
  <c r="O51" i="5"/>
  <c r="P51" i="5" s="1"/>
  <c r="Q51" i="5" s="1"/>
  <c r="R51" i="5" s="1"/>
  <c r="S51" i="5" s="1"/>
  <c r="L51" i="5"/>
  <c r="O50" i="5"/>
  <c r="P50" i="5" s="1"/>
  <c r="Q50" i="5" s="1"/>
  <c r="R50" i="5" s="1"/>
  <c r="S50" i="5" s="1"/>
  <c r="L50" i="5"/>
  <c r="O43" i="5"/>
  <c r="P43" i="5" s="1"/>
  <c r="Q43" i="5" s="1"/>
  <c r="R43" i="5" s="1"/>
  <c r="S43" i="5" s="1"/>
  <c r="L43" i="5"/>
  <c r="O40" i="5"/>
  <c r="P40" i="5" s="1"/>
  <c r="Q40" i="5" s="1"/>
  <c r="R40" i="5" s="1"/>
  <c r="S40" i="5" s="1"/>
  <c r="L40" i="5"/>
  <c r="O39" i="5"/>
  <c r="P39" i="5" s="1"/>
  <c r="Q39" i="5" s="1"/>
  <c r="R39" i="5" s="1"/>
  <c r="S39" i="5" s="1"/>
  <c r="L39" i="5"/>
  <c r="O38" i="5"/>
  <c r="P38" i="5" s="1"/>
  <c r="Q38" i="5" s="1"/>
  <c r="R38" i="5" s="1"/>
  <c r="S38" i="5" s="1"/>
  <c r="L38" i="5"/>
  <c r="O37" i="5"/>
  <c r="P37" i="5" s="1"/>
  <c r="Q37" i="5" s="1"/>
  <c r="R37" i="5" s="1"/>
  <c r="S37" i="5" s="1"/>
  <c r="L37" i="5"/>
  <c r="O36" i="5"/>
  <c r="P36" i="5" s="1"/>
  <c r="Q36" i="5" s="1"/>
  <c r="R36" i="5" s="1"/>
  <c r="S36" i="5" s="1"/>
  <c r="L36" i="5"/>
  <c r="O35" i="5"/>
  <c r="P35" i="5" s="1"/>
  <c r="Q35" i="5" s="1"/>
  <c r="R35" i="5" s="1"/>
  <c r="S35" i="5" s="1"/>
  <c r="L35" i="5"/>
  <c r="O34" i="5"/>
  <c r="P34" i="5" s="1"/>
  <c r="Q34" i="5" s="1"/>
  <c r="R34" i="5" s="1"/>
  <c r="S34" i="5" s="1"/>
  <c r="L34" i="5"/>
  <c r="O33" i="5"/>
  <c r="P33" i="5" s="1"/>
  <c r="Q33" i="5" s="1"/>
  <c r="R33" i="5" s="1"/>
  <c r="S33" i="5" s="1"/>
  <c r="L33" i="5"/>
  <c r="O32" i="5"/>
  <c r="P32" i="5" s="1"/>
  <c r="Q32" i="5" s="1"/>
  <c r="R32" i="5" s="1"/>
  <c r="S32" i="5" s="1"/>
  <c r="L32" i="5"/>
  <c r="O31" i="5"/>
  <c r="P31" i="5" s="1"/>
  <c r="Q31" i="5" s="1"/>
  <c r="R31" i="5" s="1"/>
  <c r="S31" i="5" s="1"/>
  <c r="L31" i="5"/>
  <c r="O30" i="5"/>
  <c r="P30" i="5" s="1"/>
  <c r="Q30" i="5" s="1"/>
  <c r="R30" i="5" s="1"/>
  <c r="S30" i="5" s="1"/>
  <c r="L30" i="5"/>
  <c r="O29" i="5"/>
  <c r="P29" i="5" s="1"/>
  <c r="Q29" i="5" s="1"/>
  <c r="R29" i="5" s="1"/>
  <c r="S29" i="5" s="1"/>
  <c r="L29" i="5"/>
  <c r="O28" i="5"/>
  <c r="P28" i="5" s="1"/>
  <c r="Q28" i="5" s="1"/>
  <c r="R28" i="5" s="1"/>
  <c r="S28" i="5" s="1"/>
  <c r="L28" i="5"/>
  <c r="O27" i="5"/>
  <c r="P27" i="5" s="1"/>
  <c r="Q27" i="5" s="1"/>
  <c r="R27" i="5" s="1"/>
  <c r="S27" i="5" s="1"/>
  <c r="L27" i="5"/>
  <c r="O26" i="5"/>
  <c r="P26" i="5" s="1"/>
  <c r="Q26" i="5" s="1"/>
  <c r="R26" i="5" s="1"/>
  <c r="S26" i="5" s="1"/>
  <c r="L26" i="5"/>
  <c r="O25" i="5"/>
  <c r="P25" i="5" s="1"/>
  <c r="Q25" i="5" s="1"/>
  <c r="R25" i="5" s="1"/>
  <c r="S25" i="5" s="1"/>
  <c r="L25" i="5"/>
  <c r="O24" i="5"/>
  <c r="P24" i="5" s="1"/>
  <c r="Q24" i="5" s="1"/>
  <c r="R24" i="5" s="1"/>
  <c r="S24" i="5" s="1"/>
  <c r="L24" i="5"/>
  <c r="O23" i="5"/>
  <c r="P23" i="5" s="1"/>
  <c r="Q23" i="5" s="1"/>
  <c r="R23" i="5" s="1"/>
  <c r="S23" i="5" s="1"/>
  <c r="L23" i="5"/>
  <c r="O22" i="5"/>
  <c r="P22" i="5" s="1"/>
  <c r="Q22" i="5" s="1"/>
  <c r="R22" i="5" s="1"/>
  <c r="S22" i="5" s="1"/>
  <c r="L22" i="5"/>
  <c r="O21" i="5"/>
  <c r="P21" i="5" s="1"/>
  <c r="Q21" i="5" s="1"/>
  <c r="R21" i="5" s="1"/>
  <c r="S21" i="5" s="1"/>
  <c r="L21" i="5"/>
  <c r="O20" i="5"/>
  <c r="P20" i="5" s="1"/>
  <c r="Q20" i="5" s="1"/>
  <c r="R20" i="5" s="1"/>
  <c r="S20" i="5" s="1"/>
  <c r="L20" i="5"/>
  <c r="O19" i="5"/>
  <c r="P19" i="5" s="1"/>
  <c r="Q19" i="5" s="1"/>
  <c r="R19" i="5" s="1"/>
  <c r="S19" i="5" s="1"/>
  <c r="L19" i="5"/>
  <c r="L18" i="5"/>
  <c r="O17" i="5"/>
  <c r="P17" i="5" s="1"/>
  <c r="Q17" i="5" s="1"/>
  <c r="R17" i="5" s="1"/>
  <c r="S17" i="5" s="1"/>
  <c r="L17" i="5"/>
  <c r="O16" i="5"/>
  <c r="P16" i="5" s="1"/>
  <c r="Q16" i="5" s="1"/>
  <c r="R16" i="5" s="1"/>
  <c r="S16" i="5" s="1"/>
  <c r="L16" i="5"/>
  <c r="O15" i="5"/>
  <c r="P15" i="5" s="1"/>
  <c r="Q15" i="5" s="1"/>
  <c r="R15" i="5" s="1"/>
  <c r="S15" i="5" s="1"/>
  <c r="L15" i="5"/>
  <c r="L14" i="5"/>
  <c r="O13" i="5"/>
  <c r="P13" i="5" s="1"/>
  <c r="Q13" i="5" s="1"/>
  <c r="R13" i="5" s="1"/>
  <c r="S13" i="5" s="1"/>
  <c r="L13" i="5"/>
  <c r="O11" i="5"/>
  <c r="P11" i="5" s="1"/>
  <c r="Q11" i="5" s="1"/>
  <c r="R11" i="5" s="1"/>
  <c r="S11" i="5" s="1"/>
  <c r="L11" i="5"/>
  <c r="O10" i="5"/>
  <c r="P10" i="5" s="1"/>
  <c r="Q10" i="5" s="1"/>
  <c r="R10" i="5" s="1"/>
  <c r="S10" i="5" s="1"/>
  <c r="L10" i="5"/>
  <c r="B3" i="5"/>
  <c r="B2" i="5"/>
  <c r="B1" i="5"/>
  <c r="C48" i="4"/>
  <c r="C49" i="4" s="1"/>
  <c r="C56" i="4" s="1"/>
  <c r="C43" i="4"/>
  <c r="C42" i="4"/>
  <c r="C41" i="4"/>
  <c r="C39" i="4"/>
  <c r="C36" i="4"/>
  <c r="C34" i="4"/>
  <c r="C33" i="4"/>
  <c r="H56" i="4" s="1"/>
  <c r="C31" i="4"/>
  <c r="C27" i="4"/>
  <c r="C21" i="4"/>
  <c r="B3" i="4"/>
  <c r="B2" i="4"/>
  <c r="B1" i="4"/>
  <c r="G55" i="3"/>
  <c r="G63" i="1" s="1"/>
  <c r="B47" i="3"/>
  <c r="G22" i="3"/>
  <c r="C16" i="4" s="1"/>
  <c r="F10" i="3"/>
  <c r="F9" i="3"/>
  <c r="M9" i="3" s="1"/>
  <c r="F8" i="3"/>
  <c r="H7" i="3"/>
  <c r="F7" i="3"/>
  <c r="P6" i="3"/>
  <c r="O6" i="3"/>
  <c r="A4" i="3"/>
  <c r="A6" i="13" s="1"/>
  <c r="B3" i="3"/>
  <c r="B2" i="3"/>
  <c r="B1" i="3"/>
  <c r="G87" i="1"/>
  <c r="G86" i="1"/>
  <c r="G85" i="1"/>
  <c r="N83" i="1"/>
  <c r="O83" i="1" s="1"/>
  <c r="M83" i="1"/>
  <c r="F83" i="1"/>
  <c r="E83" i="1"/>
  <c r="B83" i="1"/>
  <c r="N82" i="1"/>
  <c r="O82" i="1" s="1"/>
  <c r="M82" i="1"/>
  <c r="E82" i="1"/>
  <c r="B82" i="1"/>
  <c r="N81" i="1"/>
  <c r="O81" i="1" s="1"/>
  <c r="M81" i="1"/>
  <c r="F81" i="1"/>
  <c r="E81" i="1"/>
  <c r="B81" i="1"/>
  <c r="N80" i="1"/>
  <c r="O80" i="1" s="1"/>
  <c r="M80" i="1"/>
  <c r="F80" i="1"/>
  <c r="E80" i="1"/>
  <c r="B80" i="1"/>
  <c r="N79" i="1"/>
  <c r="O79" i="1" s="1"/>
  <c r="M79" i="1"/>
  <c r="F79" i="1"/>
  <c r="E79" i="1"/>
  <c r="B79" i="1"/>
  <c r="N78" i="1"/>
  <c r="O78" i="1" s="1"/>
  <c r="M78" i="1"/>
  <c r="F78" i="1"/>
  <c r="E78" i="1"/>
  <c r="B78" i="1"/>
  <c r="N77" i="1"/>
  <c r="O77" i="1" s="1"/>
  <c r="M77" i="1"/>
  <c r="F77" i="1"/>
  <c r="E77" i="1"/>
  <c r="B77" i="1"/>
  <c r="N76" i="1"/>
  <c r="O76" i="1" s="1"/>
  <c r="M76" i="1"/>
  <c r="F76" i="1"/>
  <c r="E76" i="1"/>
  <c r="B76" i="1"/>
  <c r="N75" i="1"/>
  <c r="O75" i="1" s="1"/>
  <c r="M75" i="1"/>
  <c r="F75" i="1"/>
  <c r="E75" i="1"/>
  <c r="B75" i="1"/>
  <c r="N74" i="1"/>
  <c r="O74" i="1" s="1"/>
  <c r="M74" i="1"/>
  <c r="F74" i="1"/>
  <c r="E74" i="1"/>
  <c r="B74" i="1"/>
  <c r="N73" i="1"/>
  <c r="O73" i="1" s="1"/>
  <c r="M73" i="1"/>
  <c r="F73" i="1"/>
  <c r="E73" i="1"/>
  <c r="B73" i="1"/>
  <c r="N72" i="1"/>
  <c r="O72" i="1" s="1"/>
  <c r="M72" i="1"/>
  <c r="F72" i="1"/>
  <c r="E72" i="1"/>
  <c r="B72" i="1"/>
  <c r="N71" i="1"/>
  <c r="O71" i="1" s="1"/>
  <c r="M71" i="1"/>
  <c r="F71" i="1"/>
  <c r="E71" i="1"/>
  <c r="B71" i="1"/>
  <c r="N70" i="1"/>
  <c r="O70" i="1" s="1"/>
  <c r="M70" i="1"/>
  <c r="F70" i="1"/>
  <c r="E70" i="1"/>
  <c r="B70" i="1"/>
  <c r="N69" i="1"/>
  <c r="O69" i="1" s="1"/>
  <c r="M69" i="1"/>
  <c r="F69" i="1"/>
  <c r="E69" i="1"/>
  <c r="B69" i="1"/>
  <c r="N68" i="1"/>
  <c r="O68" i="1" s="1"/>
  <c r="M68" i="1"/>
  <c r="F68" i="1"/>
  <c r="E68" i="1"/>
  <c r="B68" i="1"/>
  <c r="G62" i="1"/>
  <c r="G61" i="1"/>
  <c r="N59" i="1"/>
  <c r="O59" i="1" s="1"/>
  <c r="M59" i="1"/>
  <c r="F59" i="1"/>
  <c r="E59" i="1"/>
  <c r="B59" i="1"/>
  <c r="N58" i="1"/>
  <c r="O58" i="1" s="1"/>
  <c r="M58" i="1"/>
  <c r="F58" i="1"/>
  <c r="E58" i="1"/>
  <c r="B58" i="1"/>
  <c r="N57" i="1"/>
  <c r="O57" i="1" s="1"/>
  <c r="M57" i="1"/>
  <c r="F57" i="1"/>
  <c r="E57" i="1"/>
  <c r="B57" i="1"/>
  <c r="N56" i="1"/>
  <c r="O56" i="1" s="1"/>
  <c r="M56" i="1"/>
  <c r="F56" i="1"/>
  <c r="E56" i="1"/>
  <c r="B56" i="1"/>
  <c r="N55" i="1"/>
  <c r="O55" i="1" s="1"/>
  <c r="M55" i="1"/>
  <c r="L55" i="1" s="1"/>
  <c r="G55" i="1" s="1"/>
  <c r="F55" i="1"/>
  <c r="E55" i="1"/>
  <c r="B55" i="1"/>
  <c r="N54" i="1"/>
  <c r="O54" i="1" s="1"/>
  <c r="M54" i="1"/>
  <c r="F54" i="1"/>
  <c r="E54" i="1"/>
  <c r="B54" i="1"/>
  <c r="N53" i="1"/>
  <c r="O53" i="1" s="1"/>
  <c r="M53" i="1"/>
  <c r="F53" i="1"/>
  <c r="E53" i="1"/>
  <c r="B53" i="1"/>
  <c r="N52" i="1"/>
  <c r="O52" i="1" s="1"/>
  <c r="M52" i="1"/>
  <c r="F52" i="1"/>
  <c r="E52" i="1"/>
  <c r="B52" i="1"/>
  <c r="N51" i="1"/>
  <c r="O51" i="1" s="1"/>
  <c r="M51" i="1"/>
  <c r="F51" i="1"/>
  <c r="E51" i="1"/>
  <c r="B51" i="1"/>
  <c r="N50" i="1"/>
  <c r="O50" i="1" s="1"/>
  <c r="M50" i="1"/>
  <c r="F50" i="1"/>
  <c r="E50" i="1"/>
  <c r="B50" i="1"/>
  <c r="N49" i="1"/>
  <c r="O49" i="1" s="1"/>
  <c r="M49" i="1"/>
  <c r="F49" i="1"/>
  <c r="E49" i="1"/>
  <c r="B49" i="1"/>
  <c r="N48" i="1"/>
  <c r="O48" i="1" s="1"/>
  <c r="M48" i="1"/>
  <c r="F48" i="1"/>
  <c r="E48" i="1"/>
  <c r="B48" i="1"/>
  <c r="N47" i="1"/>
  <c r="O47" i="1" s="1"/>
  <c r="M47" i="1"/>
  <c r="F47" i="1"/>
  <c r="E47" i="1"/>
  <c r="B47" i="1"/>
  <c r="N46" i="1"/>
  <c r="O46" i="1" s="1"/>
  <c r="M46" i="1"/>
  <c r="F46" i="1"/>
  <c r="E46" i="1"/>
  <c r="B46" i="1"/>
  <c r="N45" i="1"/>
  <c r="O45" i="1" s="1"/>
  <c r="M45" i="1"/>
  <c r="F45" i="1"/>
  <c r="E45" i="1"/>
  <c r="B45" i="1"/>
  <c r="N44" i="1"/>
  <c r="O44" i="1" s="1"/>
  <c r="M44" i="1"/>
  <c r="F44" i="1"/>
  <c r="E44" i="1"/>
  <c r="B44" i="1"/>
  <c r="N43" i="1"/>
  <c r="O43" i="1" s="1"/>
  <c r="M43" i="1"/>
  <c r="F43" i="1"/>
  <c r="E43" i="1"/>
  <c r="B43" i="1"/>
  <c r="N42" i="1"/>
  <c r="O42" i="1" s="1"/>
  <c r="M42" i="1"/>
  <c r="F42" i="1"/>
  <c r="E42" i="1"/>
  <c r="B42" i="1"/>
  <c r="N41" i="1"/>
  <c r="O41" i="1" s="1"/>
  <c r="M41" i="1"/>
  <c r="F41" i="1"/>
  <c r="E41" i="1"/>
  <c r="B41" i="1"/>
  <c r="N40" i="1"/>
  <c r="O40" i="1" s="1"/>
  <c r="M40" i="1"/>
  <c r="F40" i="1"/>
  <c r="E40" i="1"/>
  <c r="B40" i="1"/>
  <c r="N39" i="1"/>
  <c r="O39" i="1" s="1"/>
  <c r="M39" i="1"/>
  <c r="F39" i="1"/>
  <c r="E39" i="1"/>
  <c r="B39" i="1"/>
  <c r="N38" i="1"/>
  <c r="O38" i="1" s="1"/>
  <c r="M38" i="1"/>
  <c r="F38" i="1"/>
  <c r="E38" i="1"/>
  <c r="B38" i="1"/>
  <c r="N37" i="1"/>
  <c r="O37" i="1" s="1"/>
  <c r="M37" i="1"/>
  <c r="F37" i="1"/>
  <c r="E37" i="1"/>
  <c r="B37" i="1"/>
  <c r="N36" i="1"/>
  <c r="O36" i="1" s="1"/>
  <c r="M36" i="1"/>
  <c r="F36" i="1"/>
  <c r="E36" i="1"/>
  <c r="B36" i="1"/>
  <c r="N35" i="1"/>
  <c r="O35" i="1" s="1"/>
  <c r="M35" i="1"/>
  <c r="F35" i="1"/>
  <c r="E35" i="1"/>
  <c r="B35" i="1"/>
  <c r="N34" i="1"/>
  <c r="O34" i="1" s="1"/>
  <c r="M34" i="1"/>
  <c r="F34" i="1"/>
  <c r="E34" i="1"/>
  <c r="B34" i="1"/>
  <c r="N33" i="1"/>
  <c r="O33" i="1" s="1"/>
  <c r="M33" i="1"/>
  <c r="F33" i="1"/>
  <c r="E33" i="1"/>
  <c r="B33" i="1"/>
  <c r="N32" i="1"/>
  <c r="O32" i="1" s="1"/>
  <c r="M32" i="1"/>
  <c r="F32" i="1"/>
  <c r="E32" i="1"/>
  <c r="B32" i="1"/>
  <c r="N31" i="1"/>
  <c r="O31" i="1" s="1"/>
  <c r="M31" i="1"/>
  <c r="F31" i="1"/>
  <c r="E31" i="1"/>
  <c r="B31" i="1"/>
  <c r="N30" i="1"/>
  <c r="O30" i="1" s="1"/>
  <c r="M30" i="1"/>
  <c r="F30" i="1"/>
  <c r="E30" i="1"/>
  <c r="B30" i="1"/>
  <c r="N29" i="1"/>
  <c r="O29" i="1" s="1"/>
  <c r="M29" i="1"/>
  <c r="F29" i="1"/>
  <c r="E29" i="1"/>
  <c r="B29" i="1"/>
  <c r="N28" i="1"/>
  <c r="O28" i="1" s="1"/>
  <c r="M28" i="1"/>
  <c r="F28" i="1"/>
  <c r="E28" i="1"/>
  <c r="B28" i="1"/>
  <c r="N27" i="1"/>
  <c r="O27" i="1" s="1"/>
  <c r="M27" i="1"/>
  <c r="F27" i="1"/>
  <c r="E27" i="1"/>
  <c r="B27" i="1"/>
  <c r="N26" i="1"/>
  <c r="O26" i="1" s="1"/>
  <c r="M26" i="1"/>
  <c r="F26" i="1"/>
  <c r="E26" i="1"/>
  <c r="B26" i="1"/>
  <c r="N25" i="1"/>
  <c r="O25" i="1" s="1"/>
  <c r="M25" i="1"/>
  <c r="F25" i="1"/>
  <c r="E25" i="1"/>
  <c r="B25" i="1"/>
  <c r="F18" i="1"/>
  <c r="R13" i="1"/>
  <c r="P13" i="1"/>
  <c r="K13" i="1"/>
  <c r="K15" i="13" s="1"/>
  <c r="F13" i="1"/>
  <c r="H15" i="13" s="1"/>
  <c r="C13" i="1"/>
  <c r="B13" i="1"/>
  <c r="A13" i="1"/>
  <c r="R12" i="1"/>
  <c r="P12" i="1"/>
  <c r="K12" i="1"/>
  <c r="K14" i="13" s="1"/>
  <c r="F12" i="1"/>
  <c r="H14" i="13" s="1"/>
  <c r="C12" i="1"/>
  <c r="B12" i="1"/>
  <c r="A12" i="1"/>
  <c r="R11" i="1"/>
  <c r="K11" i="1"/>
  <c r="K13" i="13" s="1"/>
  <c r="F11" i="1"/>
  <c r="H13" i="13" s="1"/>
  <c r="C11" i="1"/>
  <c r="B11" i="1"/>
  <c r="A11" i="1"/>
  <c r="R10" i="1"/>
  <c r="P10" i="1"/>
  <c r="K10" i="1"/>
  <c r="K12" i="13" s="1"/>
  <c r="F10" i="1"/>
  <c r="H12" i="13" s="1"/>
  <c r="C10" i="1"/>
  <c r="B10" i="1"/>
  <c r="A10" i="1"/>
  <c r="F4" i="1"/>
  <c r="E4" i="1"/>
  <c r="B3" i="1"/>
  <c r="B2" i="1"/>
  <c r="B1" i="1"/>
  <c r="F11" i="11" l="1"/>
  <c r="L83" i="1"/>
  <c r="G83" i="1" s="1"/>
  <c r="L68" i="1"/>
  <c r="G68" i="1" s="1"/>
  <c r="L44" i="1"/>
  <c r="G44" i="1" s="1"/>
  <c r="L40" i="1"/>
  <c r="G40" i="1" s="1"/>
  <c r="L39" i="1"/>
  <c r="G39" i="1" s="1"/>
  <c r="L37" i="1"/>
  <c r="G37" i="1" s="1"/>
  <c r="L36" i="1"/>
  <c r="G36" i="1" s="1"/>
  <c r="L35" i="1"/>
  <c r="G35" i="1" s="1"/>
  <c r="L34" i="1"/>
  <c r="G34" i="1" s="1"/>
  <c r="L33" i="1"/>
  <c r="G33" i="1" s="1"/>
  <c r="L32" i="1"/>
  <c r="G32" i="1" s="1"/>
  <c r="L25" i="1"/>
  <c r="G25" i="1" s="1"/>
  <c r="M8" i="14"/>
  <c r="E8" i="14"/>
  <c r="L56" i="1"/>
  <c r="G56" i="1" s="1"/>
  <c r="L53" i="1"/>
  <c r="G53" i="1" s="1"/>
  <c r="L52" i="1"/>
  <c r="G52" i="1" s="1"/>
  <c r="L81" i="1"/>
  <c r="G81" i="1" s="1"/>
  <c r="L54" i="1"/>
  <c r="G54" i="1" s="1"/>
  <c r="L82" i="1"/>
  <c r="G82" i="1" s="1"/>
  <c r="I82" i="1" s="1"/>
  <c r="L79" i="1"/>
  <c r="G79" i="1" s="1"/>
  <c r="L57" i="1"/>
  <c r="G57" i="1" s="1"/>
  <c r="L51" i="1"/>
  <c r="G51" i="1" s="1"/>
  <c r="L50" i="1"/>
  <c r="G50" i="1" s="1"/>
  <c r="L59" i="1"/>
  <c r="G59" i="1" s="1"/>
  <c r="L48" i="1"/>
  <c r="G48" i="1" s="1"/>
  <c r="L71" i="1"/>
  <c r="G71" i="1" s="1"/>
  <c r="L58" i="1"/>
  <c r="G58" i="1" s="1"/>
  <c r="U13" i="1"/>
  <c r="K16" i="13"/>
  <c r="F13" i="11"/>
  <c r="G13" i="11" s="1"/>
  <c r="H16" i="13"/>
  <c r="D44" i="10"/>
  <c r="F23" i="10"/>
  <c r="F11" i="9"/>
  <c r="B11" i="12"/>
  <c r="A46" i="12"/>
  <c r="A45" i="12"/>
  <c r="F11" i="12"/>
  <c r="F11" i="10"/>
  <c r="F13" i="9"/>
  <c r="B11" i="10"/>
  <c r="A46" i="10"/>
  <c r="A45" i="10"/>
  <c r="Q16" i="13"/>
  <c r="L30" i="1"/>
  <c r="G30" i="1" s="1"/>
  <c r="L26" i="1"/>
  <c r="G26" i="1" s="1"/>
  <c r="L77" i="1"/>
  <c r="G77" i="1" s="1"/>
  <c r="L80" i="1"/>
  <c r="G80" i="1" s="1"/>
  <c r="L74" i="1"/>
  <c r="G74" i="1" s="1"/>
  <c r="L73" i="1"/>
  <c r="G73" i="1" s="1"/>
  <c r="L72" i="1"/>
  <c r="G72" i="1" s="1"/>
  <c r="L70" i="1"/>
  <c r="G70" i="1" s="1"/>
  <c r="J52" i="5" s="1"/>
  <c r="K52" i="5" s="1"/>
  <c r="L75" i="1"/>
  <c r="G75" i="1" s="1"/>
  <c r="L76" i="1"/>
  <c r="G76" i="1" s="1"/>
  <c r="L43" i="1"/>
  <c r="G43" i="1" s="1"/>
  <c r="L78" i="1"/>
  <c r="G78" i="1" s="1"/>
  <c r="L49" i="1"/>
  <c r="G49" i="1" s="1"/>
  <c r="L47" i="1"/>
  <c r="G47" i="1" s="1"/>
  <c r="L46" i="1"/>
  <c r="G46" i="1" s="1"/>
  <c r="L45" i="1"/>
  <c r="G45" i="1" s="1"/>
  <c r="L42" i="1"/>
  <c r="G42" i="1" s="1"/>
  <c r="L41" i="1"/>
  <c r="G41" i="1" s="1"/>
  <c r="L31" i="1"/>
  <c r="G31" i="1" s="1"/>
  <c r="L29" i="1"/>
  <c r="G29" i="1" s="1"/>
  <c r="L28" i="1"/>
  <c r="G28" i="1" s="1"/>
  <c r="L27" i="1"/>
  <c r="G27" i="1" s="1"/>
  <c r="L38" i="1"/>
  <c r="G38" i="1" s="1"/>
  <c r="F12" i="12"/>
  <c r="F12" i="9"/>
  <c r="G12" i="9" s="1"/>
  <c r="F12" i="11"/>
  <c r="F12" i="10"/>
  <c r="M7" i="3"/>
  <c r="F7" i="14" s="1"/>
  <c r="D16" i="13"/>
  <c r="G23" i="12"/>
  <c r="H23" i="12"/>
  <c r="H30" i="12" s="1"/>
  <c r="H31" i="12" s="1"/>
  <c r="N13" i="14"/>
  <c r="G12" i="11"/>
  <c r="J12" i="11"/>
  <c r="J14" i="11" s="1"/>
  <c r="G23" i="11"/>
  <c r="H23" i="11"/>
  <c r="H30" i="11" s="1"/>
  <c r="H31" i="11" s="1"/>
  <c r="H13" i="14"/>
  <c r="A45" i="11"/>
  <c r="B11" i="11"/>
  <c r="A46" i="11"/>
  <c r="J12" i="9"/>
  <c r="J14" i="9" s="1"/>
  <c r="G23" i="9"/>
  <c r="H23" i="9"/>
  <c r="H30" i="9" s="1"/>
  <c r="H31" i="9" s="1"/>
  <c r="F13" i="14"/>
  <c r="B11" i="9"/>
  <c r="A46" i="9"/>
  <c r="A45" i="9"/>
  <c r="G19" i="12"/>
  <c r="R7" i="3"/>
  <c r="F27" i="9" s="1"/>
  <c r="G27" i="9" s="1"/>
  <c r="R8" i="3"/>
  <c r="F27" i="10" s="1"/>
  <c r="G27" i="10" s="1"/>
  <c r="Q7" i="3"/>
  <c r="F26" i="9" s="1"/>
  <c r="G26" i="9" s="1"/>
  <c r="Q8" i="3"/>
  <c r="F26" i="10" s="1"/>
  <c r="G26" i="10" s="1"/>
  <c r="F52" i="4"/>
  <c r="C44" i="4"/>
  <c r="C32" i="4"/>
  <c r="F51" i="4"/>
  <c r="C22" i="4"/>
  <c r="F53" i="4" s="1"/>
  <c r="C23" i="4"/>
  <c r="C18" i="4"/>
  <c r="H50" i="4"/>
  <c r="H7" i="14"/>
  <c r="K8" i="3"/>
  <c r="A6" i="9"/>
  <c r="A6" i="12"/>
  <c r="A6" i="11"/>
  <c r="A6" i="10"/>
  <c r="J39" i="5"/>
  <c r="K39" i="5" s="1"/>
  <c r="I55" i="1"/>
  <c r="H55" i="1"/>
  <c r="U12" i="1"/>
  <c r="F22" i="11"/>
  <c r="F19" i="11"/>
  <c r="L69" i="1"/>
  <c r="G69" i="1" s="1"/>
  <c r="G11" i="11" l="1"/>
  <c r="F14" i="11"/>
  <c r="I83" i="1"/>
  <c r="H83" i="1"/>
  <c r="J65" i="5"/>
  <c r="K65" i="5" s="1"/>
  <c r="H68" i="1"/>
  <c r="I68" i="1"/>
  <c r="J50" i="5"/>
  <c r="K50" i="5" s="1"/>
  <c r="H44" i="1"/>
  <c r="I44" i="1"/>
  <c r="J28" i="5"/>
  <c r="K28" i="5" s="1"/>
  <c r="H40" i="1"/>
  <c r="I40" i="1"/>
  <c r="J24" i="5"/>
  <c r="K24" i="5" s="1"/>
  <c r="H39" i="1"/>
  <c r="I39" i="1"/>
  <c r="J23" i="5"/>
  <c r="K23" i="5" s="1"/>
  <c r="H37" i="1"/>
  <c r="I37" i="1"/>
  <c r="J21" i="5"/>
  <c r="K21" i="5" s="1"/>
  <c r="H36" i="1"/>
  <c r="I36" i="1"/>
  <c r="J20" i="5"/>
  <c r="K20" i="5" s="1"/>
  <c r="H35" i="1"/>
  <c r="I35" i="1"/>
  <c r="J19" i="5"/>
  <c r="K19" i="5" s="1"/>
  <c r="H34" i="1"/>
  <c r="I34" i="1"/>
  <c r="J18" i="5"/>
  <c r="K18" i="5" s="1"/>
  <c r="H33" i="1"/>
  <c r="I33" i="1"/>
  <c r="J17" i="5"/>
  <c r="K17" i="5" s="1"/>
  <c r="H32" i="1"/>
  <c r="I32" i="1"/>
  <c r="J16" i="5"/>
  <c r="K16" i="5" s="1"/>
  <c r="H25" i="1"/>
  <c r="I25" i="1"/>
  <c r="J9" i="5"/>
  <c r="K9" i="5" s="1"/>
  <c r="J12" i="12"/>
  <c r="J14" i="12" s="1"/>
  <c r="G12" i="12"/>
  <c r="J40" i="5"/>
  <c r="K40" i="5" s="1"/>
  <c r="I56" i="1"/>
  <c r="H56" i="1"/>
  <c r="H53" i="1"/>
  <c r="J37" i="5"/>
  <c r="K37" i="5" s="1"/>
  <c r="I53" i="1"/>
  <c r="J36" i="5"/>
  <c r="K36" i="5" s="1"/>
  <c r="I52" i="1"/>
  <c r="H52" i="1"/>
  <c r="I81" i="1"/>
  <c r="H81" i="1"/>
  <c r="J63" i="5"/>
  <c r="K63" i="5" s="1"/>
  <c r="I54" i="1"/>
  <c r="H54" i="1"/>
  <c r="J38" i="5"/>
  <c r="K38" i="5" s="1"/>
  <c r="H82" i="1"/>
  <c r="J64" i="5"/>
  <c r="K64" i="5" s="1"/>
  <c r="J61" i="5"/>
  <c r="K61" i="5" s="1"/>
  <c r="H79" i="1"/>
  <c r="I79" i="1"/>
  <c r="H57" i="1"/>
  <c r="J41" i="5"/>
  <c r="K41" i="5" s="1"/>
  <c r="I57" i="1"/>
  <c r="J15" i="5"/>
  <c r="K15" i="5" s="1"/>
  <c r="I31" i="1"/>
  <c r="H31" i="1"/>
  <c r="J13" i="5"/>
  <c r="K13" i="5" s="1"/>
  <c r="I29" i="1"/>
  <c r="H29" i="1"/>
  <c r="I51" i="1"/>
  <c r="J35" i="5"/>
  <c r="K35" i="5" s="1"/>
  <c r="H51" i="1"/>
  <c r="H50" i="1"/>
  <c r="J34" i="5"/>
  <c r="K34" i="5" s="1"/>
  <c r="I50" i="1"/>
  <c r="H59" i="1"/>
  <c r="I59" i="1"/>
  <c r="J43" i="5"/>
  <c r="K43" i="5" s="1"/>
  <c r="H48" i="1"/>
  <c r="J32" i="5"/>
  <c r="K32" i="5" s="1"/>
  <c r="I48" i="1"/>
  <c r="H71" i="1"/>
  <c r="I71" i="1"/>
  <c r="J53" i="5"/>
  <c r="K53" i="5" s="1"/>
  <c r="I58" i="1"/>
  <c r="J42" i="5"/>
  <c r="K42" i="5" s="1"/>
  <c r="H58" i="1"/>
  <c r="H30" i="1"/>
  <c r="J14" i="5"/>
  <c r="K14" i="5" s="1"/>
  <c r="I30" i="1"/>
  <c r="H26" i="1"/>
  <c r="I26" i="1"/>
  <c r="J10" i="5"/>
  <c r="K10" i="5" s="1"/>
  <c r="H28" i="1"/>
  <c r="I28" i="1"/>
  <c r="J12" i="5"/>
  <c r="K12" i="5" s="1"/>
  <c r="H27" i="1"/>
  <c r="I27" i="1"/>
  <c r="J11" i="5"/>
  <c r="K11" i="5" s="1"/>
  <c r="H38" i="1"/>
  <c r="I38" i="1"/>
  <c r="J22" i="5"/>
  <c r="K22" i="5" s="1"/>
  <c r="F22" i="9"/>
  <c r="G11" i="9"/>
  <c r="G23" i="10"/>
  <c r="H23" i="10"/>
  <c r="H30" i="10" s="1"/>
  <c r="H31" i="10" s="1"/>
  <c r="H34" i="10" s="1"/>
  <c r="H35" i="10" s="1"/>
  <c r="H36" i="10" s="1"/>
  <c r="H37" i="10" s="1"/>
  <c r="H38" i="10" s="1"/>
  <c r="H45" i="10" s="1"/>
  <c r="H46" i="10" s="1"/>
  <c r="G13" i="14"/>
  <c r="J12" i="10"/>
  <c r="J14" i="10" s="1"/>
  <c r="G12" i="10"/>
  <c r="F22" i="12"/>
  <c r="G11" i="12"/>
  <c r="F22" i="10"/>
  <c r="G11" i="10"/>
  <c r="G13" i="9"/>
  <c r="F14" i="9"/>
  <c r="G14" i="11"/>
  <c r="H77" i="1"/>
  <c r="I77" i="1"/>
  <c r="J59" i="5"/>
  <c r="K59" i="5" s="1"/>
  <c r="J62" i="5"/>
  <c r="K62" i="5" s="1"/>
  <c r="I80" i="1"/>
  <c r="H80" i="1"/>
  <c r="J56" i="5"/>
  <c r="K56" i="5" s="1"/>
  <c r="H74" i="1"/>
  <c r="I74" i="1"/>
  <c r="H73" i="1"/>
  <c r="I73" i="1"/>
  <c r="J55" i="5"/>
  <c r="K55" i="5" s="1"/>
  <c r="H72" i="1"/>
  <c r="J54" i="5"/>
  <c r="K54" i="5" s="1"/>
  <c r="I72" i="1"/>
  <c r="I70" i="1"/>
  <c r="H70" i="1"/>
  <c r="I75" i="1"/>
  <c r="J57" i="5"/>
  <c r="K57" i="5" s="1"/>
  <c r="H75" i="1"/>
  <c r="H76" i="1"/>
  <c r="J58" i="5"/>
  <c r="K58" i="5" s="1"/>
  <c r="I76" i="1"/>
  <c r="H43" i="1"/>
  <c r="I43" i="1"/>
  <c r="J27" i="5"/>
  <c r="K27" i="5" s="1"/>
  <c r="H78" i="1"/>
  <c r="I78" i="1"/>
  <c r="J60" i="5"/>
  <c r="K60" i="5" s="1"/>
  <c r="J33" i="5"/>
  <c r="K33" i="5" s="1"/>
  <c r="H49" i="1"/>
  <c r="I49" i="1"/>
  <c r="H47" i="1"/>
  <c r="I47" i="1"/>
  <c r="J31" i="5"/>
  <c r="K31" i="5" s="1"/>
  <c r="J30" i="5"/>
  <c r="K30" i="5" s="1"/>
  <c r="H46" i="1"/>
  <c r="I46" i="1"/>
  <c r="J29" i="5"/>
  <c r="K29" i="5" s="1"/>
  <c r="H45" i="1"/>
  <c r="I45" i="1"/>
  <c r="H42" i="1"/>
  <c r="I42" i="1"/>
  <c r="J26" i="5"/>
  <c r="K26" i="5" s="1"/>
  <c r="H41" i="1"/>
  <c r="I41" i="1"/>
  <c r="J25" i="5"/>
  <c r="K25" i="5" s="1"/>
  <c r="H34" i="12"/>
  <c r="H35" i="12" s="1"/>
  <c r="H36" i="12" s="1"/>
  <c r="H37" i="12" s="1"/>
  <c r="H38" i="12" s="1"/>
  <c r="H45" i="12" s="1"/>
  <c r="H46" i="12" s="1"/>
  <c r="H34" i="11"/>
  <c r="H35" i="11" s="1"/>
  <c r="H36" i="11" s="1"/>
  <c r="H37" i="11" s="1"/>
  <c r="H38" i="11" s="1"/>
  <c r="H45" i="11" s="1"/>
  <c r="H46" i="11" s="1"/>
  <c r="H34" i="9"/>
  <c r="H35" i="9" s="1"/>
  <c r="H36" i="9" s="1"/>
  <c r="H37" i="9" s="1"/>
  <c r="H38" i="9" s="1"/>
  <c r="H45" i="9" s="1"/>
  <c r="H46" i="9" s="1"/>
  <c r="G52" i="4"/>
  <c r="H52" i="4"/>
  <c r="G51" i="4"/>
  <c r="H51" i="4"/>
  <c r="F54" i="4"/>
  <c r="G53" i="4"/>
  <c r="H53" i="4"/>
  <c r="C35" i="4"/>
  <c r="C37" i="4" s="1"/>
  <c r="C54" i="4" s="1"/>
  <c r="C28" i="4"/>
  <c r="C29" i="4" s="1"/>
  <c r="C53" i="4" s="1"/>
  <c r="H49" i="4"/>
  <c r="C51" i="4"/>
  <c r="C45" i="4"/>
  <c r="C46" i="4" s="1"/>
  <c r="C55" i="4" s="1"/>
  <c r="C24" i="4"/>
  <c r="C25" i="4" s="1"/>
  <c r="C52" i="4" s="1"/>
  <c r="L10" i="3"/>
  <c r="M10" i="3" s="1"/>
  <c r="N7" i="14" s="1"/>
  <c r="E13" i="12"/>
  <c r="F13" i="12" s="1"/>
  <c r="H8" i="14"/>
  <c r="L8" i="3"/>
  <c r="M8" i="3" s="1"/>
  <c r="E13" i="10"/>
  <c r="F13" i="10" s="1"/>
  <c r="F8" i="14"/>
  <c r="H14" i="14"/>
  <c r="H16" i="14" s="1"/>
  <c r="H30" i="14" s="1"/>
  <c r="I22" i="11"/>
  <c r="I30" i="11" s="1"/>
  <c r="I31" i="11" s="1"/>
  <c r="G22" i="11"/>
  <c r="F30" i="11"/>
  <c r="G19" i="11"/>
  <c r="H69" i="1"/>
  <c r="J51" i="5"/>
  <c r="K51" i="5" s="1"/>
  <c r="I69" i="1"/>
  <c r="M9" i="14"/>
  <c r="M10" i="14" s="1"/>
  <c r="E9" i="14"/>
  <c r="G14" i="9" l="1"/>
  <c r="H60" i="1"/>
  <c r="H61" i="1" s="1"/>
  <c r="H62" i="1" s="1"/>
  <c r="H64" i="1" s="1"/>
  <c r="H63" i="1" s="1"/>
  <c r="G54" i="4"/>
  <c r="F14" i="14"/>
  <c r="F16" i="14" s="1"/>
  <c r="F30" i="14" s="1"/>
  <c r="I22" i="9"/>
  <c r="I30" i="9" s="1"/>
  <c r="I31" i="9" s="1"/>
  <c r="G22" i="9"/>
  <c r="K44" i="5"/>
  <c r="F30" i="12"/>
  <c r="N14" i="14"/>
  <c r="N16" i="14" s="1"/>
  <c r="N30" i="14" s="1"/>
  <c r="I22" i="12"/>
  <c r="I30" i="12" s="1"/>
  <c r="I31" i="12" s="1"/>
  <c r="I34" i="12" s="1"/>
  <c r="I35" i="12" s="1"/>
  <c r="I36" i="12" s="1"/>
  <c r="I37" i="12" s="1"/>
  <c r="I38" i="12" s="1"/>
  <c r="I45" i="12" s="1"/>
  <c r="I46" i="12" s="1"/>
  <c r="G22" i="12"/>
  <c r="G30" i="12" s="1"/>
  <c r="I22" i="10"/>
  <c r="I30" i="10" s="1"/>
  <c r="I31" i="10" s="1"/>
  <c r="I34" i="10" s="1"/>
  <c r="I35" i="10" s="1"/>
  <c r="I36" i="10" s="1"/>
  <c r="I37" i="10" s="1"/>
  <c r="I38" i="10" s="1"/>
  <c r="I45" i="10" s="1"/>
  <c r="I46" i="10" s="1"/>
  <c r="G22" i="10"/>
  <c r="G14" i="14"/>
  <c r="G16" i="14" s="1"/>
  <c r="G30" i="14" s="1"/>
  <c r="G30" i="11"/>
  <c r="E10" i="14"/>
  <c r="H9" i="14"/>
  <c r="H10" i="14" s="1"/>
  <c r="H11" i="14" s="1"/>
  <c r="H29" i="14" s="1"/>
  <c r="H31" i="14" s="1"/>
  <c r="F9" i="14"/>
  <c r="H84" i="1"/>
  <c r="K66" i="5"/>
  <c r="F10" i="14"/>
  <c r="F11" i="14" s="1"/>
  <c r="F29" i="14" s="1"/>
  <c r="F31" i="14" s="1"/>
  <c r="F18" i="14" s="1"/>
  <c r="P15" i="13"/>
  <c r="R15" i="13" s="1"/>
  <c r="H40" i="12"/>
  <c r="H41" i="12"/>
  <c r="H42" i="12"/>
  <c r="H43" i="12"/>
  <c r="P14" i="13"/>
  <c r="R14" i="13" s="1"/>
  <c r="H40" i="11"/>
  <c r="H41" i="11"/>
  <c r="H42" i="11"/>
  <c r="H43" i="11"/>
  <c r="P13" i="13"/>
  <c r="R13" i="13" s="1"/>
  <c r="H40" i="10"/>
  <c r="H41" i="10"/>
  <c r="H42" i="10"/>
  <c r="H43" i="10"/>
  <c r="P12" i="13"/>
  <c r="R12" i="13" s="1"/>
  <c r="H40" i="9"/>
  <c r="H41" i="9"/>
  <c r="H42" i="9"/>
  <c r="H43" i="9"/>
  <c r="G55" i="4"/>
  <c r="G57" i="4"/>
  <c r="G59" i="4" s="1"/>
  <c r="F55" i="4"/>
  <c r="F57" i="4" s="1"/>
  <c r="F59" i="4" s="1"/>
  <c r="F14" i="12"/>
  <c r="G13" i="12"/>
  <c r="G14" i="12" s="1"/>
  <c r="N8" i="14"/>
  <c r="N9" i="14"/>
  <c r="G7" i="14"/>
  <c r="M11" i="3"/>
  <c r="F14" i="10"/>
  <c r="G13" i="10"/>
  <c r="G14" i="10" s="1"/>
  <c r="I34" i="11"/>
  <c r="I35" i="11" s="1"/>
  <c r="I36" i="11" s="1"/>
  <c r="I37" i="11" s="1"/>
  <c r="I38" i="11" s="1"/>
  <c r="I45" i="11" s="1"/>
  <c r="I46" i="11" s="1"/>
  <c r="I34" i="9"/>
  <c r="I35" i="9" s="1"/>
  <c r="I36" i="9" s="1"/>
  <c r="I37" i="9" s="1"/>
  <c r="I38" i="9" s="1"/>
  <c r="I45" i="9" s="1"/>
  <c r="I46" i="9" s="1"/>
  <c r="F19" i="10"/>
  <c r="F19" i="9"/>
  <c r="H54" i="4"/>
  <c r="C57" i="4"/>
  <c r="O7" i="3" l="1"/>
  <c r="F24" i="9" s="1"/>
  <c r="F30" i="9" s="1"/>
  <c r="O8" i="3"/>
  <c r="F24" i="10" s="1"/>
  <c r="R16" i="13"/>
  <c r="M14" i="1" s="1"/>
  <c r="H85" i="1"/>
  <c r="H86" i="1" s="1"/>
  <c r="H88" i="1" s="1"/>
  <c r="H87" i="1" s="1"/>
  <c r="P8" i="3"/>
  <c r="F25" i="10" s="1"/>
  <c r="F30" i="10" s="1"/>
  <c r="W17" i="13"/>
  <c r="G8" i="14"/>
  <c r="G9" i="14"/>
  <c r="F19" i="14"/>
  <c r="G15" i="13"/>
  <c r="I15" i="13" s="1"/>
  <c r="I40" i="12"/>
  <c r="I41" i="12"/>
  <c r="I42" i="12"/>
  <c r="I43" i="12"/>
  <c r="G14" i="13"/>
  <c r="I14" i="13" s="1"/>
  <c r="I40" i="11"/>
  <c r="I41" i="11"/>
  <c r="I42" i="11"/>
  <c r="I43" i="11"/>
  <c r="G13" i="13"/>
  <c r="I13" i="13" s="1"/>
  <c r="I40" i="10"/>
  <c r="I41" i="10"/>
  <c r="I42" i="10"/>
  <c r="I43" i="10"/>
  <c r="G12" i="13"/>
  <c r="I12" i="13" s="1"/>
  <c r="I40" i="9"/>
  <c r="I41" i="9"/>
  <c r="I42" i="9"/>
  <c r="I43" i="9"/>
  <c r="G19" i="10"/>
  <c r="G30" i="10" s="1"/>
  <c r="G19" i="9"/>
  <c r="G30" i="9" s="1"/>
  <c r="H55" i="4"/>
  <c r="H57" i="4" s="1"/>
  <c r="H59" i="4" s="1"/>
  <c r="G20" i="3"/>
  <c r="E15" i="12"/>
  <c r="E15" i="11"/>
  <c r="E15" i="10"/>
  <c r="E15" i="9"/>
  <c r="H18" i="14"/>
  <c r="H44" i="12"/>
  <c r="H44" i="11"/>
  <c r="H44" i="9"/>
  <c r="N10" i="14"/>
  <c r="N11" i="14" s="1"/>
  <c r="N29" i="14" s="1"/>
  <c r="N31" i="14" s="1"/>
  <c r="H44" i="10"/>
  <c r="I44" i="9" l="1"/>
  <c r="F20" i="14"/>
  <c r="F25" i="14" s="1"/>
  <c r="F32" i="14" s="1"/>
  <c r="F33" i="14" s="1"/>
  <c r="I16" i="13"/>
  <c r="H14" i="1" s="1"/>
  <c r="S11" i="1"/>
  <c r="S13" i="1"/>
  <c r="S12" i="1"/>
  <c r="S10" i="1"/>
  <c r="F15" i="12"/>
  <c r="J15" i="12"/>
  <c r="J16" i="12" s="1"/>
  <c r="J31" i="12" s="1"/>
  <c r="F15" i="11"/>
  <c r="J15" i="11"/>
  <c r="J16" i="11" s="1"/>
  <c r="J31" i="11" s="1"/>
  <c r="F15" i="10"/>
  <c r="J15" i="10"/>
  <c r="J16" i="10" s="1"/>
  <c r="J31" i="10" s="1"/>
  <c r="F15" i="9"/>
  <c r="J15" i="9"/>
  <c r="J16" i="9" s="1"/>
  <c r="J31" i="9" s="1"/>
  <c r="H19" i="14"/>
  <c r="N18" i="14"/>
  <c r="G10" i="14"/>
  <c r="G11" i="14" s="1"/>
  <c r="G29" i="14" s="1"/>
  <c r="G31" i="14" s="1"/>
  <c r="I44" i="11"/>
  <c r="I44" i="10"/>
  <c r="I44" i="12"/>
  <c r="F21" i="14" l="1"/>
  <c r="F23" i="14"/>
  <c r="M12" i="13"/>
  <c r="O12" i="13" s="1"/>
  <c r="F24" i="14"/>
  <c r="F22" i="14"/>
  <c r="H20" i="14"/>
  <c r="H25" i="14" s="1"/>
  <c r="H32" i="14" s="1"/>
  <c r="H33" i="14" s="1"/>
  <c r="S14" i="1"/>
  <c r="F16" i="12"/>
  <c r="F31" i="12" s="1"/>
  <c r="G15" i="12"/>
  <c r="G16" i="12" s="1"/>
  <c r="G31" i="12" s="1"/>
  <c r="J34" i="12"/>
  <c r="J35" i="12" s="1"/>
  <c r="J36" i="12" s="1"/>
  <c r="J37" i="12" s="1"/>
  <c r="J38" i="12" s="1"/>
  <c r="J45" i="12" s="1"/>
  <c r="J46" i="12" s="1"/>
  <c r="F16" i="11"/>
  <c r="F31" i="11" s="1"/>
  <c r="G15" i="11"/>
  <c r="G16" i="11" s="1"/>
  <c r="G31" i="11" s="1"/>
  <c r="J34" i="11"/>
  <c r="J35" i="11" s="1"/>
  <c r="J36" i="11" s="1"/>
  <c r="F16" i="10"/>
  <c r="F31" i="10" s="1"/>
  <c r="G15" i="10"/>
  <c r="G16" i="10" s="1"/>
  <c r="G31" i="10" s="1"/>
  <c r="J34" i="10"/>
  <c r="J35" i="10" s="1"/>
  <c r="J36" i="10" s="1"/>
  <c r="J37" i="10" s="1"/>
  <c r="J38" i="10" s="1"/>
  <c r="J45" i="10" s="1"/>
  <c r="J46" i="10" s="1"/>
  <c r="F16" i="9"/>
  <c r="F31" i="9" s="1"/>
  <c r="G15" i="9"/>
  <c r="G16" i="9" s="1"/>
  <c r="G31" i="9" s="1"/>
  <c r="J34" i="9"/>
  <c r="J35" i="9" s="1"/>
  <c r="J36" i="9" s="1"/>
  <c r="J37" i="9" s="1"/>
  <c r="J38" i="9" s="1"/>
  <c r="J45" i="9" s="1"/>
  <c r="J46" i="9" s="1"/>
  <c r="N19" i="14"/>
  <c r="G18" i="14"/>
  <c r="H24" i="14" l="1"/>
  <c r="H22" i="14"/>
  <c r="M14" i="13"/>
  <c r="O14" i="13" s="1"/>
  <c r="H21" i="14"/>
  <c r="H23" i="14"/>
  <c r="N20" i="14"/>
  <c r="N25" i="14" s="1"/>
  <c r="N32" i="14" s="1"/>
  <c r="N33" i="14" s="1"/>
  <c r="F34" i="12"/>
  <c r="F35" i="12" s="1"/>
  <c r="F36" i="12" s="1"/>
  <c r="G34" i="12"/>
  <c r="G35" i="12" s="1"/>
  <c r="G36" i="12" s="1"/>
  <c r="J40" i="12"/>
  <c r="J41" i="12"/>
  <c r="J42" i="12"/>
  <c r="J43" i="12"/>
  <c r="F34" i="11"/>
  <c r="F35" i="11" s="1"/>
  <c r="F36" i="11" s="1"/>
  <c r="F37" i="11" s="1"/>
  <c r="F38" i="11" s="1"/>
  <c r="F45" i="11" s="1"/>
  <c r="F46" i="11" s="1"/>
  <c r="G34" i="11"/>
  <c r="G35" i="11" s="1"/>
  <c r="G36" i="11" s="1"/>
  <c r="G37" i="11" s="1"/>
  <c r="G38" i="11" s="1"/>
  <c r="G45" i="11" s="1"/>
  <c r="G46" i="11" s="1"/>
  <c r="F34" i="10"/>
  <c r="F35" i="10" s="1"/>
  <c r="F36" i="10" s="1"/>
  <c r="G34" i="10"/>
  <c r="G35" i="10" s="1"/>
  <c r="G36" i="10" s="1"/>
  <c r="J40" i="10"/>
  <c r="J41" i="10"/>
  <c r="J42" i="10"/>
  <c r="J43" i="10"/>
  <c r="F34" i="9"/>
  <c r="F35" i="9" s="1"/>
  <c r="F36" i="9" s="1"/>
  <c r="F37" i="9" s="1"/>
  <c r="F38" i="9" s="1"/>
  <c r="F45" i="9" s="1"/>
  <c r="F46" i="9" s="1"/>
  <c r="G34" i="9"/>
  <c r="G35" i="9" s="1"/>
  <c r="G36" i="9" s="1"/>
  <c r="G37" i="9" s="1"/>
  <c r="G38" i="9" s="1"/>
  <c r="G45" i="9" s="1"/>
  <c r="G46" i="9" s="1"/>
  <c r="J47" i="9"/>
  <c r="T13" i="13" s="1"/>
  <c r="J40" i="9"/>
  <c r="J41" i="9"/>
  <c r="J42" i="9"/>
  <c r="J43" i="9"/>
  <c r="G19" i="14"/>
  <c r="J37" i="11"/>
  <c r="J38" i="11" s="1"/>
  <c r="J45" i="11" s="1"/>
  <c r="J46" i="11" s="1"/>
  <c r="G20" i="14" l="1"/>
  <c r="G25" i="14" s="1"/>
  <c r="G32" i="14" s="1"/>
  <c r="G33" i="14" s="1"/>
  <c r="N23" i="14"/>
  <c r="N22" i="14"/>
  <c r="M15" i="13"/>
  <c r="O15" i="13" s="1"/>
  <c r="N24" i="14"/>
  <c r="N21" i="14"/>
  <c r="J44" i="10"/>
  <c r="F47" i="11"/>
  <c r="E14" i="13"/>
  <c r="F14" i="13" s="1"/>
  <c r="F40" i="11"/>
  <c r="F41" i="11"/>
  <c r="F42" i="11"/>
  <c r="F43" i="11"/>
  <c r="G47" i="11"/>
  <c r="J14" i="13"/>
  <c r="L14" i="13" s="1"/>
  <c r="S14" i="13" s="1"/>
  <c r="O12" i="1" s="1"/>
  <c r="G40" i="11"/>
  <c r="G41" i="11"/>
  <c r="G42" i="11"/>
  <c r="G43" i="11"/>
  <c r="F47" i="9"/>
  <c r="E12" i="13"/>
  <c r="F12" i="13" s="1"/>
  <c r="F40" i="9"/>
  <c r="F41" i="9"/>
  <c r="F42" i="9"/>
  <c r="F43" i="9"/>
  <c r="G47" i="9"/>
  <c r="J12" i="13"/>
  <c r="G40" i="9"/>
  <c r="G41" i="9"/>
  <c r="G42" i="9"/>
  <c r="G43" i="9"/>
  <c r="V13" i="13"/>
  <c r="A20" i="13"/>
  <c r="J43" i="11"/>
  <c r="J42" i="11"/>
  <c r="J41" i="11"/>
  <c r="J40" i="11"/>
  <c r="F37" i="10"/>
  <c r="F38" i="10" s="1"/>
  <c r="F45" i="10" s="1"/>
  <c r="F46" i="10" s="1"/>
  <c r="G37" i="10"/>
  <c r="G38" i="10" s="1"/>
  <c r="G45" i="10" s="1"/>
  <c r="G46" i="10" s="1"/>
  <c r="J44" i="9"/>
  <c r="F37" i="12"/>
  <c r="F38" i="12" s="1"/>
  <c r="F45" i="12" s="1"/>
  <c r="F46" i="12" s="1"/>
  <c r="G37" i="12"/>
  <c r="G38" i="12" s="1"/>
  <c r="G45" i="12" s="1"/>
  <c r="G46" i="12" s="1"/>
  <c r="J44" i="12"/>
  <c r="J44" i="11" l="1"/>
  <c r="G22" i="14"/>
  <c r="G21" i="14"/>
  <c r="G23" i="14"/>
  <c r="M13" i="13"/>
  <c r="G24" i="14"/>
  <c r="W14" i="13"/>
  <c r="Q12" i="1" s="1"/>
  <c r="L12" i="13"/>
  <c r="V16" i="13"/>
  <c r="P11" i="1"/>
  <c r="F43" i="10"/>
  <c r="F42" i="10"/>
  <c r="F41" i="10"/>
  <c r="F40" i="10"/>
  <c r="E13" i="13"/>
  <c r="F13" i="13" s="1"/>
  <c r="F47" i="10"/>
  <c r="G43" i="10"/>
  <c r="G42" i="10"/>
  <c r="G41" i="10"/>
  <c r="G40" i="10"/>
  <c r="J13" i="13"/>
  <c r="G47" i="10"/>
  <c r="F43" i="12"/>
  <c r="F42" i="12"/>
  <c r="F41" i="12"/>
  <c r="F40" i="12"/>
  <c r="E15" i="13"/>
  <c r="F15" i="13" s="1"/>
  <c r="F47" i="12"/>
  <c r="G43" i="12"/>
  <c r="G42" i="12"/>
  <c r="G41" i="12"/>
  <c r="G40" i="12"/>
  <c r="J15" i="13"/>
  <c r="L15" i="13" s="1"/>
  <c r="S15" i="13" s="1"/>
  <c r="O13" i="1" s="1"/>
  <c r="G47" i="12"/>
  <c r="G44" i="11"/>
  <c r="F44" i="9"/>
  <c r="G44" i="9"/>
  <c r="F44" i="11"/>
  <c r="F44" i="12" l="1"/>
  <c r="G44" i="10"/>
  <c r="O13" i="13"/>
  <c r="O16" i="13" s="1"/>
  <c r="L14" i="1" s="1"/>
  <c r="M16" i="13"/>
  <c r="W15" i="13"/>
  <c r="Q13" i="1" s="1"/>
  <c r="U10" i="1" s="1"/>
  <c r="F44" i="10"/>
  <c r="F16" i="13"/>
  <c r="G44" i="12"/>
  <c r="S12" i="13"/>
  <c r="N14" i="1"/>
  <c r="P14" i="1"/>
  <c r="L13" i="13"/>
  <c r="J16" i="13"/>
  <c r="S13" i="13" l="1"/>
  <c r="W13" i="13" s="1"/>
  <c r="Q11" i="1" s="1"/>
  <c r="L16" i="13"/>
  <c r="K14" i="1" s="1"/>
  <c r="O14" i="1" s="1"/>
  <c r="W12" i="13"/>
  <c r="O10" i="1"/>
  <c r="S16" i="13"/>
  <c r="O11" i="1" l="1"/>
  <c r="Q10" i="1"/>
  <c r="W16" i="13"/>
  <c r="W18" i="13" s="1"/>
  <c r="U11" i="1" l="1"/>
  <c r="U14" i="1" s="1"/>
  <c r="Q14" i="1"/>
</calcChain>
</file>

<file path=xl/sharedStrings.xml><?xml version="1.0" encoding="utf-8"?>
<sst xmlns="http://schemas.openxmlformats.org/spreadsheetml/2006/main" count="1072" uniqueCount="599">
  <si>
    <t xml:space="preserve">OCORRÊNCIAS MENSAIS DO FATURAMENTO </t>
  </si>
  <si>
    <t>UTILIZAÇÃO DO GESTOR CONTRATUAL PARA REALIZAÇÃO DO FATURAMENTO MENSAL</t>
  </si>
  <si>
    <t>DEFINIR BASE DE DESCONTOS/GLOSAS:</t>
  </si>
  <si>
    <t>MÊS CONTÁBIL</t>
  </si>
  <si>
    <r>
      <rPr>
        <b/>
        <sz val="10"/>
        <rFont val="Calibri"/>
        <family val="2"/>
        <charset val="1"/>
      </rPr>
      <t xml:space="preserve">INSTRUÇÕES DE PREENCHIMENTO
UTILIZAÇÃO EXCLUSIVA FISCAL/GESTOR
PARA AUXILIAR NO VALOR DE FATURAMENTO
Preencher as células destacadas na cor </t>
    </r>
    <r>
      <rPr>
        <b/>
        <sz val="10"/>
        <color rgb="FFFF0000"/>
        <rFont val="Calibri"/>
        <family val="2"/>
        <charset val="1"/>
      </rPr>
      <t>vermelha</t>
    </r>
    <r>
      <rPr>
        <b/>
        <sz val="10"/>
        <rFont val="Calibri"/>
        <family val="2"/>
        <charset val="1"/>
      </rPr>
      <t xml:space="preserve"> para realização dos cálculos das demais abas.
Não é necessário preenchimento de outras abas.</t>
    </r>
  </si>
  <si>
    <t>Informar número de Postos que não utilizam V.T.
(Coluna "D")</t>
  </si>
  <si>
    <t>Informar se titular do posto é optante pelo recebimento de V.T.
(Coluna "E")</t>
  </si>
  <si>
    <t>Desconto automático de V.T.
(Coluna "F")</t>
  </si>
  <si>
    <t>Preencher o número de dias (corridos) que o terceirizado que não recebe vt ficou afastado por férias ou faltas
(Coluna "G")</t>
  </si>
  <si>
    <t>Preencher nº de dias úteis em que o optante de V.T realizou trabalho em Home Office OU dias de Recesso Forense / Ponto facultativo
(Coluna "H")</t>
  </si>
  <si>
    <t>Conversão das horas de ausência em dias de ausência
(Coluna "I")</t>
  </si>
  <si>
    <t>Nº dias de faltas comuns sem substituição.
(Coluna "K")</t>
  </si>
  <si>
    <t>Informar número de dias por férias no mês (dias)
(Coluna "L")</t>
  </si>
  <si>
    <t>Desconto de V.A. por dias de recesso forense e/ou ponto facultativo.
(Coluna "M")</t>
  </si>
  <si>
    <t>Nº de dias corridos de férias sem substituição quando o adicional de insalubridade é passado para outra servente do quadro.
(Coluna "N")</t>
  </si>
  <si>
    <t>Somatório de glosas.
(Coluna "O")</t>
  </si>
  <si>
    <t>Somatório de acrésimo por substituição do posto insalubre por outro profissional do quadro.
(Coluna "P")</t>
  </si>
  <si>
    <t>Informativo sobre valor faturado por tipo de função.
(Coluna "Q")</t>
  </si>
  <si>
    <t>INFORMATIVO PARA GESTÃO CONTRATUAL</t>
  </si>
  <si>
    <t>Quant</t>
  </si>
  <si>
    <t>Descrição das Categorias</t>
  </si>
  <si>
    <t>Carga Horária (horas)</t>
  </si>
  <si>
    <t>Nº Postos não optantes pelo recebimento de V.T.</t>
  </si>
  <si>
    <t>Realizar glosa por não fornecimento de V.T.?</t>
  </si>
  <si>
    <t>Dias de
Glosa V.T.
Para Não Optantes</t>
  </si>
  <si>
    <t>Ajuste de V.T para fornecimento para
postos Não Optantes</t>
  </si>
  <si>
    <t>Dias de Home Office OU Recesso para os postos Optantes de V.T.</t>
  </si>
  <si>
    <t>Dias de faltas após conversão das horas
(planilha auxiliar)</t>
  </si>
  <si>
    <t>Quant. Atrasos e Faltas</t>
  </si>
  <si>
    <t>Dias de Férias</t>
  </si>
  <si>
    <t>Dias de Glosas de V.A no Mês</t>
  </si>
  <si>
    <t>*1 Dias de Deslocamento de Insalubridade</t>
  </si>
  <si>
    <t>VALOR TOTAL GLOSADO</t>
  </si>
  <si>
    <t>VALOR TOTAL ACRESCIDO</t>
  </si>
  <si>
    <t>Valor Mensal 
Faturado com aplicação de descontos</t>
  </si>
  <si>
    <t xml:space="preserve">Elemento de Despesa </t>
  </si>
  <si>
    <t>VALOR DE RETENÇÃO CONTA VINCULADA</t>
  </si>
  <si>
    <t>CÓDIGOS ELEMENTO DE DESPESA</t>
  </si>
  <si>
    <t>FATURAMENTO MENSAL</t>
  </si>
  <si>
    <t>SIM</t>
  </si>
  <si>
    <t>ELEMENTO 2</t>
  </si>
  <si>
    <t>ELEMENTO 1</t>
  </si>
  <si>
    <t>VALOR TOTAL GLOSADOS</t>
  </si>
  <si>
    <t>OBSERVAÇÕES:</t>
  </si>
  <si>
    <t>1. Para apoio ao lançamento de ausências de horas, sugere-se a utilização da planilha complementar abaixo. O preenchimento das horas convertidas deve ocorrer na Coluna "I".</t>
  </si>
  <si>
    <t>Planilha auxiliar para conversão de horas de ausências em dias de faltas. (preenchimento coluna "I")</t>
  </si>
  <si>
    <t>Jornada</t>
  </si>
  <si>
    <t>Total de Horas</t>
  </si>
  <si>
    <t>Total de Minutos</t>
  </si>
  <si>
    <t>Conversão em Dias</t>
  </si>
  <si>
    <t>Obs: Informar a jornada de trabalho do posto analisado. Em sequência, informar as horas completas faltantes e posteriormente os minutos. Ex: 10:25h faltantes - Lançar 10 na célula "D22" e lançar 25 na célula "E22".
Lançar o resultado convertido na coluna "H".</t>
  </si>
  <si>
    <t>2. Na célula “N15” deverá ser informado a quantidade de dias em que o trabalho insalubre foi realizado por outra servente do quadro, durante as férias da Servente de Limpeza 40% insalubre - titular.</t>
  </si>
  <si>
    <t>ITEM</t>
  </si>
  <si>
    <t>GASTO MENSAL</t>
  </si>
  <si>
    <t>REFERÊNCIA MENSAL PARA FORNECIMENTO</t>
  </si>
  <si>
    <t>Unid.</t>
  </si>
  <si>
    <t>Marcas de Referência</t>
  </si>
  <si>
    <t>QNTDE "REAL" FORNECIDA
NO MÊS</t>
  </si>
  <si>
    <t>Custo Mensal</t>
  </si>
  <si>
    <t>Quantidade Mensal</t>
  </si>
  <si>
    <t>Quantidade Total</t>
  </si>
  <si>
    <t>Periodicidade</t>
  </si>
  <si>
    <t>Divisor</t>
  </si>
  <si>
    <t>DESPESA MENSAL</t>
  </si>
  <si>
    <t>TAXA ADMINISTRATIVA</t>
  </si>
  <si>
    <t>LUCRO</t>
  </si>
  <si>
    <t>TRIBUTOS</t>
  </si>
  <si>
    <t>LISTA PARA OPÇÕES DE GLOSAS</t>
  </si>
  <si>
    <t>DIAS ÚTEIS (CONTRATO)</t>
  </si>
  <si>
    <t>Obs: Desconto por dias definidos em contrato.</t>
  </si>
  <si>
    <t>Obs: Desconto atualmente aplicado (30 dias corridos).</t>
  </si>
  <si>
    <t>DIAS DO MÊS VIGENTE</t>
  </si>
  <si>
    <t>Informar</t>
  </si>
  <si>
    <t>Obs: Desconto por dias úteis mensais, ocorrência variável, devendo ser informado mensalmente.</t>
  </si>
  <si>
    <t>JORNADA DE TRABALHO</t>
  </si>
  <si>
    <t>DIVISOR DE HORAS</t>
  </si>
  <si>
    <t>LISTA PARA TOTAL DE POSTOS</t>
  </si>
  <si>
    <t>Tribunal Regional Federal da 6ª Região</t>
  </si>
  <si>
    <t>Seção Judiciária de Minas Gerais</t>
  </si>
  <si>
    <t>Subseção Judiciária de Lavras</t>
  </si>
  <si>
    <t>1.</t>
  </si>
  <si>
    <t>SOMENTE SERÃO ACEITAS MODIFICAÇÕES NAS CÉLULAS DESTACADAS NA COR AMARELA COMO NO EXEMPLO ABAIXO:</t>
  </si>
  <si>
    <t>Células de livre edição.</t>
  </si>
  <si>
    <t>2.</t>
  </si>
  <si>
    <r>
      <rPr>
        <sz val="10"/>
        <rFont val="Calibri"/>
        <family val="2"/>
        <charset val="1"/>
      </rPr>
      <t xml:space="preserve">As demais células estarão </t>
    </r>
    <r>
      <rPr>
        <b/>
        <sz val="10"/>
        <rFont val="Calibri"/>
        <family val="2"/>
        <charset val="1"/>
      </rPr>
      <t>bloqueadas</t>
    </r>
    <r>
      <rPr>
        <sz val="10"/>
        <rFont val="Calibri"/>
        <family val="2"/>
        <charset val="1"/>
      </rPr>
      <t xml:space="preserve"> para edição das licitantes.</t>
    </r>
  </si>
  <si>
    <t>3.</t>
  </si>
  <si>
    <t>Os nomes das abas estarão abreviados para otimização da planilha.</t>
  </si>
  <si>
    <t>3.1</t>
  </si>
  <si>
    <t>Estas Abas estarão destacadas na Cor Amarela.</t>
  </si>
  <si>
    <t>3.2</t>
  </si>
  <si>
    <t>PREENCHIMENTO ABA "DADOS"</t>
  </si>
  <si>
    <t xml:space="preserve"> - Informar piso salarial de cada categoria, correspondente à jornada de 220h. (Células "E7":"E10").</t>
  </si>
  <si>
    <t xml:space="preserve"> - Informar o percentual de acúmulo de função a ser aplicado. (Célula "I8 e I10").</t>
  </si>
  <si>
    <t xml:space="preserve"> - Informar o percentual correspondente ao tempo de execução da atividade acumulada. (Célula "J8 e J10").</t>
  </si>
  <si>
    <t xml:space="preserve"> - Informar o salário base para cálculo da atividade acumulada. (Célula "K8 e K10").</t>
  </si>
  <si>
    <t xml:space="preserve"> - Informar os Dados da Apresentação da Proposta e relacionados à Convenção Coletiva de Trabalho. Tais informações não interferem na execução de cálculos, servem apenas para instruir o processo da análise da proposta. (Células "E13:E17").</t>
  </si>
  <si>
    <t xml:space="preserve"> - Informar o percentual correspondente ao RAT, conforme atividade principal da licitante. (Célula "G23").</t>
  </si>
  <si>
    <t xml:space="preserve"> - Informar o fator correspondente ao FAP, conforme extraído do relatório FapWeb. (Célula "G24").</t>
  </si>
  <si>
    <t xml:space="preserve"> - Informar o valor do salário mínimo nacional vigente (base de cálculo para a cotação de insalubridade). (Célula "G27").</t>
  </si>
  <si>
    <t xml:space="preserve"> - Informar o valor unitário do Seguro de Vida, nos casos exigidos, conforme legislação vigente. (Célula "G30").</t>
  </si>
  <si>
    <t xml:space="preserve"> - Informar o valor unitário do Programa de Assistência Familiar - PAF, nos casos exigidos, conforme legislação vigente. (Célula "G31").</t>
  </si>
  <si>
    <t xml:space="preserve"> - Informar o valor unitário da tarifa de transporte público vigente à data de apresentação da proposta, conforme legislação vigente. (Célula "G32").</t>
  </si>
  <si>
    <t xml:space="preserve"> - Informar o quantitativo unitário diário de tarifas de transporte público (ex.: 1 tarifa para ida e 1 tarifa para volta = Total de 2 tarifas). (Célula "G33").</t>
  </si>
  <si>
    <t xml:space="preserve"> - Informar o percentual de desconto à título de participação do trabalhador em relação ao fornecimento de vale transporte, nos casos exigidos, conforme legislação vigente. (Célula "G34").</t>
  </si>
  <si>
    <t xml:space="preserve"> - Informar o valor unitário do ticket de Vale Alimentação, nos casos exigidos, conforme legislação vigente. (Célula "G36").</t>
  </si>
  <si>
    <t xml:space="preserve"> - Informar o percentual de desconto à título de participação do trabalhador em relação ao fornecimento de Vale Alimentação, nos casos exigidos, conforme legislação vigente. (Célula "G38").</t>
  </si>
  <si>
    <t xml:space="preserve"> - Incluir outros custos não previstos previamente, bem como descrevê-los, em caso de previsão legal, devendo ser apresentadas justificativas para a inserção. (Células "B39" e "G39").</t>
  </si>
  <si>
    <t xml:space="preserve"> - Incluir outros custos não previstos previamente, bem como descrevê-los, em caso de previsão legal, devendo ser apresentadas justificativas para a inserção. (Células "B40" e "G40").</t>
  </si>
  <si>
    <t xml:space="preserve"> - Informar o percentual relativo às Despesas Administrativas da licitante. (Células "G43").</t>
  </si>
  <si>
    <t xml:space="preserve"> - Informar o percentual relativo ao Lucro da licitante. (Células "G44").</t>
  </si>
  <si>
    <t xml:space="preserve"> - Informar a opção tributária da licitante (Células "F50") conforme legislação vigente, OBSERVANDO as instruções contantes na Célula "B48".</t>
  </si>
  <si>
    <t xml:space="preserve"> - Informar o percentual da alíquota COFINS (Células "G51") conforme legislação vigente, OBSERVANDO as instruções contantes na Célula "B48".</t>
  </si>
  <si>
    <t xml:space="preserve"> - Informar o percentual da alíquota PIS/PASEP (Células "G52") conforme legislação vigente, OBSERVANDO as instruções contantes na Célula "B48".</t>
  </si>
  <si>
    <t xml:space="preserve"> - Informar o percentual da alíquota ISSQN (Células "G54") conforme legislação vigente, OBSERVANDO as instruções contantes na Célula "B48".</t>
  </si>
  <si>
    <t xml:space="preserve"> - Alterar SOMENTE aqueles destacados na COR AMARELA.</t>
  </si>
  <si>
    <t>3.3</t>
  </si>
  <si>
    <t>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</si>
  <si>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</si>
  <si>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 "B59"), com as demais instruções cabíveis aos percentuais dispostos nesta Aba.</t>
  </si>
  <si>
    <t>3.4</t>
  </si>
  <si>
    <t xml:space="preserve"> - Informar os valores unitários de cada item nas células destacadas em amarelo dispostas na "Coluna G", de acordo com sua descrição "Colunas B:E".</t>
  </si>
  <si>
    <t xml:space="preserve"> - Atentar-se para o preenchimento de todos os quadros dispostos nesta Aba, sendo:</t>
  </si>
  <si>
    <t xml:space="preserve"> - O preenchimento das células da Coluna "H" está permitida somente para inserção de Observações, caso necessário.</t>
  </si>
  <si>
    <t>3.5</t>
  </si>
  <si>
    <t>PREENCHIMENTO ABA "EPI"</t>
  </si>
  <si>
    <t xml:space="preserve"> - Informar os valores unitários de cada item nas células destacadas em amarelo dispostas na "Coluna D", de acordo com sua descrição "Colunas B:C".</t>
  </si>
  <si>
    <t>3.6</t>
  </si>
  <si>
    <t>PREENCHIMENTO ABA "EQUIPAMENTOS"</t>
  </si>
  <si>
    <t>4.</t>
  </si>
  <si>
    <r>
      <rPr>
        <sz val="10"/>
        <rFont val="Calibri"/>
        <family val="2"/>
        <charset val="1"/>
      </rPr>
      <t>A Aba "</t>
    </r>
    <r>
      <rPr>
        <b/>
        <sz val="10"/>
        <rFont val="Calibri"/>
        <family val="2"/>
        <charset val="1"/>
      </rPr>
      <t>Especificações</t>
    </r>
    <r>
      <rPr>
        <sz val="10"/>
        <rFont val="Calibri"/>
        <family val="2"/>
        <charset val="1"/>
      </rPr>
      <t xml:space="preserve">", corresponde ao detalhamento dos </t>
    </r>
    <r>
      <rPr>
        <b/>
        <sz val="10"/>
        <rFont val="Calibri"/>
        <family val="2"/>
        <charset val="1"/>
      </rPr>
      <t>Uniformes</t>
    </r>
    <r>
      <rPr>
        <sz val="10"/>
        <rFont val="Calibri"/>
        <family val="2"/>
        <charset val="1"/>
      </rPr>
      <t>, servindo apenas para consulta e entendimento dos tipos de uniforme solicitados para o fornecimento.</t>
    </r>
  </si>
  <si>
    <t>4.1</t>
  </si>
  <si>
    <t>Esta aba está destacada na Cor Laranja.</t>
  </si>
  <si>
    <t>5.</t>
  </si>
  <si>
    <r>
      <rPr>
        <sz val="10"/>
        <rFont val="Calibri"/>
        <family val="2"/>
        <charset val="1"/>
      </rPr>
      <t xml:space="preserve">Destaca-se que após o preenchimento destas Abas (de acordo com as instruções contidas no item 3), os preços individuais das </t>
    </r>
    <r>
      <rPr>
        <b/>
        <sz val="10"/>
        <rFont val="Calibri"/>
        <family val="2"/>
        <charset val="1"/>
      </rPr>
      <t>categorias</t>
    </r>
    <r>
      <rPr>
        <sz val="10"/>
        <rFont val="Calibri"/>
        <family val="2"/>
        <charset val="1"/>
      </rPr>
      <t xml:space="preserve"> profissionais serão refletidos automaticamente para as suas abas correspondentes (Serv Ins, Serv, Copeira, Zel ac. e Aux).</t>
    </r>
  </si>
  <si>
    <t>5.1</t>
  </si>
  <si>
    <r>
      <rPr>
        <b/>
        <sz val="10"/>
        <rFont val="Calibri"/>
        <family val="2"/>
        <charset val="1"/>
      </rPr>
      <t>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</si>
  <si>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5.2</t>
  </si>
  <si>
    <t>Estas abas estão destacadas na Cor Cinza.</t>
  </si>
  <si>
    <t>6.</t>
  </si>
  <si>
    <r>
      <rPr>
        <sz val="10"/>
        <rFont val="Calibri"/>
        <family val="2"/>
        <charset val="1"/>
      </rPr>
      <t>A Aba "</t>
    </r>
    <r>
      <rPr>
        <b/>
        <sz val="10"/>
        <rFont val="Calibri"/>
        <family val="2"/>
        <charset val="1"/>
      </rPr>
      <t>Resumo</t>
    </r>
    <r>
      <rPr>
        <sz val="10"/>
        <rFont val="Calibri"/>
        <family val="2"/>
        <charset val="1"/>
      </rPr>
      <t>" contém o detalhamento dos custos unitários por categoria profissional, além de conter o preço final da proposta.</t>
    </r>
  </si>
  <si>
    <t>6.1</t>
  </si>
  <si>
    <r>
      <rPr>
        <sz val="10"/>
        <rFont val="Calibri"/>
        <family val="2"/>
        <charset val="1"/>
      </rPr>
      <t xml:space="preserve">Para efeitos de lance/oferta, as licitantes devem considerar o valor da célula "T17", da Aba "Resumo", correspondente ao </t>
    </r>
    <r>
      <rPr>
        <b/>
        <sz val="10"/>
        <rFont val="Calibri"/>
        <family val="2"/>
        <charset val="1"/>
      </rPr>
      <t>VALOR MENSAL.</t>
    </r>
  </si>
  <si>
    <t>6.2</t>
  </si>
  <si>
    <t>Esta aba está destacada na Cor Azul.</t>
  </si>
  <si>
    <t>7.</t>
  </si>
  <si>
    <r>
      <rPr>
        <sz val="10"/>
        <rFont val="Calibri"/>
        <family val="2"/>
        <charset val="1"/>
      </rPr>
      <t>A Aba "</t>
    </r>
    <r>
      <rPr>
        <b/>
        <sz val="10"/>
        <rFont val="Calibri"/>
        <family val="2"/>
        <charset val="1"/>
      </rPr>
      <t>Custo Estimado Substituto</t>
    </r>
    <r>
      <rPr>
        <sz val="10"/>
        <rFont val="Calibri"/>
        <family val="2"/>
        <charset val="1"/>
      </rPr>
      <t>" contém valores estimados com os profissionais substitutos do titular em férias.</t>
    </r>
  </si>
  <si>
    <t>7.1</t>
  </si>
  <si>
    <t>Não será necessário realizar nenhuma alteração nesta aba, pois conterá apenas o reflexo dos dados preenchidos nas abas anteriores (conforme explicação nº 3).</t>
  </si>
  <si>
    <t>7.2</t>
  </si>
  <si>
    <t>Elemento de Despesa</t>
  </si>
  <si>
    <t>Quantidade de Postos</t>
  </si>
  <si>
    <t>Carga Horária
(Horas)</t>
  </si>
  <si>
    <t>*OBS 1 -
Salário Base I (Piso Para 220h/m)
(R$)</t>
  </si>
  <si>
    <t>Salário Base II
(Conforme Jornada Contratada)
(R$)</t>
  </si>
  <si>
    <t xml:space="preserve">
Insalubridade
Grau de Risco
(%)</t>
  </si>
  <si>
    <t>Valor Insalubridade
(R$)</t>
  </si>
  <si>
    <t>*OBS 2 -
Acúmulo de Função / Acréscimo Salarial
(%)</t>
  </si>
  <si>
    <t>*OBS 3 -
Tempo de Execução de Atividades em Acúmulo
(%)</t>
  </si>
  <si>
    <t>*OBS 4 -
Base Para Cálculo de Acúmulo de Função
(R$)</t>
  </si>
  <si>
    <t>Valor Acúmulo de Função
(R$)</t>
  </si>
  <si>
    <t>Remuneração Total
(Grupo A)
(R$)</t>
  </si>
  <si>
    <t>Uniforme
(R$)</t>
  </si>
  <si>
    <t>EPI</t>
  </si>
  <si>
    <t>Depreciação Rateada
(R$)</t>
  </si>
  <si>
    <t>CÓDIGO DE ELEMENTO DE DESPESA
(CONTROLE DA CONTRATANTE)</t>
  </si>
  <si>
    <t>RATEIO
INSUMOS</t>
  </si>
  <si>
    <t>Zelador</t>
  </si>
  <si>
    <t>OBS 1: Inserir piso salarial correspondente à jornada de 220h mensais.      OBS 2: Informar % de acúmulo de função.</t>
  </si>
  <si>
    <t>OBS 3: Informar % do tempo de acúmulo de função.   OBS 4: Informar salário base.</t>
  </si>
  <si>
    <t>TOTAL</t>
  </si>
  <si>
    <t>DADOS DA PROPOSTA</t>
  </si>
  <si>
    <t>Data de apresentação da proposta</t>
  </si>
  <si>
    <t>ABERTURA DA PROPOSTA</t>
  </si>
  <si>
    <t>Informar data de abertura do certame / data final para cadastro da proposta comercial.</t>
  </si>
  <si>
    <t>Sindicato utilizado</t>
  </si>
  <si>
    <t>SINTAPPI x SINSERHT</t>
  </si>
  <si>
    <t>Informar o sindicato utilizado pela Licitante.</t>
  </si>
  <si>
    <t>Número de registro da CCT - Código MTE</t>
  </si>
  <si>
    <t>MG001973/2025</t>
  </si>
  <si>
    <t>Informar o número de registro da Convenção Coletiva de Tralbalho utilizada no processo licitatório, junto ao Ministério do Trabalho e Emprego.</t>
  </si>
  <si>
    <t>Vigência da CCT utilizada</t>
  </si>
  <si>
    <t>2025/2026</t>
  </si>
  <si>
    <t>Informar a vigência da Convenção Coletiva de Trabalho utilizada no processo licitatório.</t>
  </si>
  <si>
    <t>Data base da categoria</t>
  </si>
  <si>
    <t>01° de Abril</t>
  </si>
  <si>
    <t>Informar a data base da Convenção Coletiva de Trabalho utilizada no processo licitatório.</t>
  </si>
  <si>
    <t>ENCARGOS SOCIAIS E TRABALHISTAS</t>
  </si>
  <si>
    <t>-</t>
  </si>
  <si>
    <t>Percentual de Encargos (TOTAL)</t>
  </si>
  <si>
    <t>SAT - Seguro Acidentes Trabalho</t>
  </si>
  <si>
    <t>RAT (Atividade Principal)</t>
  </si>
  <si>
    <t>Informar percentual correspondente à atividade preponderante da Licitante.</t>
  </si>
  <si>
    <t>FAP (Conforme FapWeb)</t>
  </si>
  <si>
    <t>Informar Fator extraído do documento FapWeb da Licitante.</t>
  </si>
  <si>
    <t>SALÁRIO BASE PARE CÁLCULO DE INSALUBRIDADE</t>
  </si>
  <si>
    <t xml:space="preserve">SALÁRIO MINÍMO NACIONAL </t>
  </si>
  <si>
    <t>Informar base salarial para fins de cálculo de Insalubridade.</t>
  </si>
  <si>
    <t>BENEFÍCIOS</t>
  </si>
  <si>
    <t>Seguro de Vida em Grupo</t>
  </si>
  <si>
    <t>Inserir valor unitário mensal.</t>
  </si>
  <si>
    <t>Programa de Assistência Familiar - PAF</t>
  </si>
  <si>
    <t>Vale Transporte</t>
  </si>
  <si>
    <t>Valor da tarifa</t>
  </si>
  <si>
    <t>Inserir o valor unitário da tarifa.</t>
  </si>
  <si>
    <t>Número de Tarifas por dia</t>
  </si>
  <si>
    <t>Inserir a quantidade de tarifas diárias.</t>
  </si>
  <si>
    <t>Número de dias para fornecimento</t>
  </si>
  <si>
    <t>Número de dias utilizados para a precificação. Número determinado em edital. Não será permitido alteração.</t>
  </si>
  <si>
    <t>Custeio do trabalhador (participação legal)</t>
  </si>
  <si>
    <t>Inserir percentual de participação do trabalhador.</t>
  </si>
  <si>
    <t>Vale Alimentação</t>
  </si>
  <si>
    <t>Valor Unitário do Ticket</t>
  </si>
  <si>
    <t>Inserir valor unitário do Ticket.</t>
  </si>
  <si>
    <t>Outros (inserir somente com a justificativa legal)</t>
  </si>
  <si>
    <t>Inserir valor unitário mensal, quando preenchido, e apresentar as justificativas legais para inclusão.</t>
  </si>
  <si>
    <t>MONTANTE C</t>
  </si>
  <si>
    <t>Despesas Administrativas</t>
  </si>
  <si>
    <t>Informar percentual da Licitante.</t>
  </si>
  <si>
    <t>Lucro</t>
  </si>
  <si>
    <t>MONTANTE D</t>
  </si>
  <si>
    <t>OBS:</t>
  </si>
  <si>
    <t>Opção Tributária</t>
  </si>
  <si>
    <t>LUCRO REAL</t>
  </si>
  <si>
    <t>Informar opção tributária da Licitante. Atentar-se às observações do "Montante D".</t>
  </si>
  <si>
    <t>COFINS</t>
  </si>
  <si>
    <t>Informar percentual da Licitante. Atentar-se às observações do "Montante D".</t>
  </si>
  <si>
    <t>PIS/PASEP</t>
  </si>
  <si>
    <t>ISSQN - Limpeza e Conservação</t>
  </si>
  <si>
    <t>Informar percentual do código tributário municipal, local da execução das atividades.</t>
  </si>
  <si>
    <t>ISSQN - Serviços Administrativos</t>
  </si>
  <si>
    <t>Informar o tipo de tributo e apresentar as justificativas legais para inclusão. Informar percentual da Licitante. Atentar-se às observações do "Montante D".</t>
  </si>
  <si>
    <t>Soma dos tributos</t>
  </si>
  <si>
    <t>1º REAJUSTE IPCA</t>
  </si>
  <si>
    <t>2º REAJUSTE IPCA</t>
  </si>
  <si>
    <t>3º REAJUSTE IPCA</t>
  </si>
  <si>
    <t>4º REAJUSTE IPCA</t>
  </si>
  <si>
    <t>5º REAJUSTE IPCA</t>
  </si>
  <si>
    <t>1º REAJUSTE POR IPCA</t>
  </si>
  <si>
    <t>2º REAJUSTE POR IPCA</t>
  </si>
  <si>
    <t>3º REAJUSTE POR IPCA</t>
  </si>
  <si>
    <t>4º REAJUSTE POR IPCA</t>
  </si>
  <si>
    <t>5º REAJUSTE POR IPCA</t>
  </si>
  <si>
    <t>Planilha de Encargos Sociais e Trabalhistas</t>
  </si>
  <si>
    <t>INSTRUÇÕES DE PREENCHIMENTO - Informar/Alterar somente as células destacadas na Cor Amarela, de acordo com o percentual da Licitante.</t>
  </si>
  <si>
    <t>QUADRO RESUMO</t>
  </si>
  <si>
    <t>DESCRIÇÃO</t>
  </si>
  <si>
    <t>PERCENTUAL</t>
  </si>
  <si>
    <t>Grupo A</t>
  </si>
  <si>
    <t>Encargos Previdenciários, FGTS e Outras Contribuições</t>
  </si>
  <si>
    <t>PREVIDÊNCIA SOCIAL - INSS</t>
  </si>
  <si>
    <t>SESI ou SESC</t>
  </si>
  <si>
    <t>SENAI ou SENAC</t>
  </si>
  <si>
    <t>INCRA</t>
  </si>
  <si>
    <t>Salário Educação</t>
  </si>
  <si>
    <t>FGTS</t>
  </si>
  <si>
    <t>SAT - Seguro Acidentes Trabalho - (RAT x FAP)</t>
  </si>
  <si>
    <t xml:space="preserve">  Alterar FAP e RAT na aba "DADOS"</t>
  </si>
  <si>
    <t>SEBRAE</t>
  </si>
  <si>
    <t>Total Grupo A - Encargos previdenciários, FGTS e Outras Contribuições</t>
  </si>
  <si>
    <t>Grupo B</t>
  </si>
  <si>
    <t>Grupo B.1</t>
  </si>
  <si>
    <t>13º Salário</t>
  </si>
  <si>
    <t>Adicional de Férias</t>
  </si>
  <si>
    <t>Subtotal</t>
  </si>
  <si>
    <t>Incidência do Grupo A sobre 13º salário e adicional de férias</t>
  </si>
  <si>
    <t>Total Grupo B.1 - 13º salário e adicional de férias</t>
  </si>
  <si>
    <t>Grupo B.2</t>
  </si>
  <si>
    <t>Afastamento Maternidade</t>
  </si>
  <si>
    <t>Licença Maternidade</t>
  </si>
  <si>
    <t>Incidência do Grupo A sobre o afastamento maternidade</t>
  </si>
  <si>
    <t>Total Grupo B.2 - Afastamento maternidade</t>
  </si>
  <si>
    <t>Grupo B.3</t>
  </si>
  <si>
    <t>Provisão para Rescisão</t>
  </si>
  <si>
    <t>Aviso Prévio Indenizado</t>
  </si>
  <si>
    <t>Incidência do FGTS sobre o Aviso Prévio Indenizado</t>
  </si>
  <si>
    <t>Multa do FGTS do Aviso Prévio Indenizado</t>
  </si>
  <si>
    <t>Aviso Prévio Trabalhado</t>
  </si>
  <si>
    <t xml:space="preserve">Incidência do Grupo A sobre o Aviso Prévio Trabalhado </t>
  </si>
  <si>
    <t xml:space="preserve">Multa do FGTS do Aviso Prévio Trabalhado </t>
  </si>
  <si>
    <t>Total Grupo B.3 - Provisão para rescisão</t>
  </si>
  <si>
    <t>Grupo B.4</t>
  </si>
  <si>
    <t>Composição do Custo de Reposição do Profissional Ausente</t>
  </si>
  <si>
    <t>Remuneração do profissional substituto</t>
  </si>
  <si>
    <t>Ausência por doença</t>
  </si>
  <si>
    <t>Licença Paternidade</t>
  </si>
  <si>
    <t>Ausências Legais</t>
  </si>
  <si>
    <t>Ausência por acidente de trabalho</t>
  </si>
  <si>
    <t>PERCENTUAIS PARA CONTINGENCIAMENTO DE ENCARGOS TRABALHISTAS A SEREM APLICADOS SOBRE A NOTA FISCAL (UTILIZAÇÃO DURANTE A VIGÊNCIA CONTRATUAL)</t>
  </si>
  <si>
    <t>Incidência do submódulo 4.1 sobre custo de reposição</t>
  </si>
  <si>
    <t>Total Grupo B.4 - Custo de reposição do profissional ausente</t>
  </si>
  <si>
    <t>Título</t>
  </si>
  <si>
    <t>VARIAÇÃO RAT AJUSTADO 0,50% A 6%</t>
  </si>
  <si>
    <t>Grupo C</t>
  </si>
  <si>
    <t>Outros (especificar)</t>
  </si>
  <si>
    <t>EMPRESAS</t>
  </si>
  <si>
    <t>Indenização Adicional</t>
  </si>
  <si>
    <t xml:space="preserve">Grupo </t>
  </si>
  <si>
    <t>Mínimo</t>
  </si>
  <si>
    <t>Máximo</t>
  </si>
  <si>
    <t>LICITANTE</t>
  </si>
  <si>
    <t>Total Grupo C - Indenização Adicional</t>
  </si>
  <si>
    <t>SUBMÓDULO E.1 - da IN 02/2008 MPOG:</t>
  </si>
  <si>
    <t>Quadro Resumo - Encargos Sociais e Trabalhistas</t>
  </si>
  <si>
    <t>SAT (RATxFAP):</t>
  </si>
  <si>
    <t>13º salário</t>
  </si>
  <si>
    <t>13º Salário + Adicional de Férias</t>
  </si>
  <si>
    <t>Férias</t>
  </si>
  <si>
    <t>1/3 constitucional</t>
  </si>
  <si>
    <t>Custo de Rescisão</t>
  </si>
  <si>
    <t>Custo de Reposição do profissional Ausente</t>
  </si>
  <si>
    <t>Incidência do Grupo A (*)</t>
  </si>
  <si>
    <t>Multa do FGTS</t>
  </si>
  <si>
    <t>Total dos Encargos Sociais Trabalhistas</t>
  </si>
  <si>
    <t>Encargos a contingenciar</t>
  </si>
  <si>
    <t>Taxa da conta-corrente vinculada (inciso II art. 2º IN 001/2013</t>
  </si>
  <si>
    <t>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</si>
  <si>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Total a contingenciar</t>
  </si>
  <si>
    <t>INSTRUÇÕES DE PREENCHIMENTO - Informar/Alterar somente as células destacadas na Cor Amarela, de acordo com o valor unitário da Licitante.</t>
  </si>
  <si>
    <t>VALORES UNITÁRIOS DO CONTRATO, CORRIGIDOS PELO REAJUSTE DE IPCA.</t>
  </si>
  <si>
    <t>OBSERVAÇÕES</t>
  </si>
  <si>
    <t>REFERÊNCIA</t>
  </si>
  <si>
    <t>Quantidade</t>
  </si>
  <si>
    <t>Preço Unitário</t>
  </si>
  <si>
    <t>DIVISOR</t>
  </si>
  <si>
    <t>VALOR INICIAL DO CONTRATO
(Informar após o término da licitação)</t>
  </si>
  <si>
    <t>Água sanitária galão de 5 litros, composição do produto: hipoclorito de sódio 2,5%, hidróxido de sódio e veículo.,teor de cloro ativo entre 2,0 e 2,5% p/p.</t>
  </si>
  <si>
    <t>Galão</t>
  </si>
  <si>
    <t>Santa Clara</t>
  </si>
  <si>
    <t>mensal</t>
  </si>
  <si>
    <t>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t>
  </si>
  <si>
    <t>Asseptgel</t>
  </si>
  <si>
    <t>Balde plástico em polietileno de alta densidade, alta resistência a impacto, com paredes e fundo reforçados, com reforço no encaixe da alça de aço zincado constando no corpo a marcado fabricante, capacidade de 20 litros.</t>
  </si>
  <si>
    <t>unid.</t>
  </si>
  <si>
    <t>Arqplast</t>
  </si>
  <si>
    <t>trimestral</t>
  </si>
  <si>
    <t>Balde Material: Plástico , Material Alça: Arame Galvanizado, Capacidade: 10 L, Cor: Preta, Características Adicionais: Reforço Fundo E Borda</t>
  </si>
  <si>
    <t>Sanremo</t>
  </si>
  <si>
    <t>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t>
  </si>
  <si>
    <t>Azulim</t>
  </si>
  <si>
    <t>Cloro liquido concentrado com teor ativo de no minimo 10 a 12% para limpeza pesada embalagem com 5 litros</t>
  </si>
  <si>
    <t>bimestral</t>
  </si>
  <si>
    <t>Desentupidor Pia: Tipo: Sanfonado, Com Alto Poder De Sucção. Material: Borracha Flexível, Composto Por Polipropileno E Borracha Termoplástica. Plástico Resistente, Cabo Longo, mínimo 20 CM.</t>
  </si>
  <si>
    <t>Oliveira e Azevedo</t>
  </si>
  <si>
    <t>semestral</t>
  </si>
  <si>
    <t>Desentupidor Vaso Sanitário Material: Borracha Flexível, Comprimento Cabo: 50 CM, Altura: 10 CM, Cor: Preta , Diâmetro: 16 CM, MaterialCabo: Madeira</t>
  </si>
  <si>
    <t>Canada</t>
  </si>
  <si>
    <t>Desinfetante concentrado líquido. Aroma floral. Embalagem com 5 litros.</t>
  </si>
  <si>
    <t>Mirax Floral Bouquet</t>
  </si>
  <si>
    <t>Detergente líquido para louça, neutro, embalagem de 500ml, com tampa Push Pool. Deverá conter glicerina e ser testado e aprovado por dermatologistas. Com fórmula biodegradável. Deve possuir registro na Anvisa/Ministério da Saúde, o qual deverá estar impresso no rótulo.</t>
  </si>
  <si>
    <t>Limpol</t>
  </si>
  <si>
    <t>Escova para lavar multiuso, oval, base plástica e cerdas de escova para lavar multiuso, oval, base plástica e cerdas de nylon.</t>
  </si>
  <si>
    <t>Condor</t>
  </si>
  <si>
    <t>Escova Sanitária Redonda em plástico Branco contendo 01 escova para vaso sanitário e 01 suporte redondo: Branco Tamanho: 14 x 42 cm</t>
  </si>
  <si>
    <t>Limpamania</t>
  </si>
  <si>
    <t>Esponja Para Lavagem De Louças E Limpeza Em Geral, Dupla Face Sintética, Um Lado Em Espuma Poliuretano E Outro Em Fibra Sintética Abrasiva, Antibacteriana, Formato Retangular, Medindo Aproximadamente 110mm X 75mm X 20mm De Espessura. Pacote com 4 unidades.</t>
  </si>
  <si>
    <t>pacote</t>
  </si>
  <si>
    <t>Scotch-Brite</t>
  </si>
  <si>
    <t>Esponja de LÃ DE AÇO, composição básica: aço carbono abrasivo, p/ limpeza em geral, acondicionada em embalagem plástica original do fabricante, peso líquido aproximado de 60g, pacote c/ 08 unidades.</t>
  </si>
  <si>
    <t>Bombril</t>
  </si>
  <si>
    <t>Extensão elétrica 20 metros 3 tomada 20a cabo pp2x1,5mm reforçada, 2 cabos de som 10m para ligar as caixas xlr/p10, 2cabos xlr para microfones sem fio (especificações mínima)</t>
  </si>
  <si>
    <t>Daneva</t>
  </si>
  <si>
    <t>anual</t>
  </si>
  <si>
    <t>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t>
  </si>
  <si>
    <t>Intextil</t>
  </si>
  <si>
    <t>Inseticida Aerossol, multiinseticida, frasco com mínimo 300 ml. Registro/ Autorização no ministério da saúde.</t>
  </si>
  <si>
    <t>Raid</t>
  </si>
  <si>
    <t>Kit limpador de vidro: Rodo limpa vidros com cabo telescópico extensor de 06 (seis)metros. Extremidade composta por lavador de acrílico e limpador com lâmina de borracha de aproximadamente 35 cm. Utilizado para limpeza de vidros e vidraças.</t>
  </si>
  <si>
    <t>Bralimpia</t>
  </si>
  <si>
    <t>Limpa vidro 500ml (Veja ou similar)</t>
  </si>
  <si>
    <t>Veja</t>
  </si>
  <si>
    <t>Multiuso limpeza pesada 500ml - composição: alquil benzeno sulfonato de sódio, solvente, coadjuvantes, conservante, sequestrante, corante, fragrância e água. tensoativo biodegradável. frascos de 500 ml de produto (marca de referência: veja).</t>
  </si>
  <si>
    <t>Luva Segurança Com Forro. Material: 100% Látex Nitrílico , Tamanho: M ou G ,Aplicação: Manuseio Reagente Químico E Radioativo , Características Adicionais: Com Forro, Sem Talco, Pulso Com Bainha , Modelo: Palma Antiderrapante, Cor: Verde, Tipo: Ambidestra</t>
  </si>
  <si>
    <t>Par</t>
  </si>
  <si>
    <t>Bettanin</t>
  </si>
  <si>
    <t>Pá p/ lixo em plástico resistente c/ cabo de madeira de 60cm de altura na vertical.</t>
  </si>
  <si>
    <t>Papel higiênico branco, folha dupla, de alta qualidade, com dimensões 10cm X 30m, com a marca do fabricante e indicação na embalagem, absorvente e resistente, fardo com 12 rolos de 30 metros. Tipo Neve ou de melhor qualidade.</t>
  </si>
  <si>
    <t>Fardo com 12 rolos</t>
  </si>
  <si>
    <t>Neve</t>
  </si>
  <si>
    <t>Papel Toalha Interfolhado, 2 dobras, 100% fibras celulósicas, branco extra luxo, sem pintas ou outros tipos de sujidades, boa qualidade , medindo aproximadamente 23cm x 23 cm , acondicionado em caixa c/1000 folhas.</t>
  </si>
  <si>
    <t>Pacote</t>
  </si>
  <si>
    <t>Economy (Jofel) ou similar</t>
  </si>
  <si>
    <t>Pedra sanitária c/ 25g - com suporte para fixar no vaso sanitário. Desinfetante sanitário em pedra 25 g</t>
  </si>
  <si>
    <t>Harpic, Pato</t>
  </si>
  <si>
    <t>Rodo Plástico e borracha dupla expandida de 60cm, resistente e durável, que puxa e seca a água, feita em EVA e cepo em polipropileno com garras pontiagudas nas laterais para melhor fixar panos de chão.</t>
  </si>
  <si>
    <t>Brubalar</t>
  </si>
  <si>
    <t>Sabão em barra glicerinado - cor neutra. Pacote com 5 de 200g cada unidade.</t>
  </si>
  <si>
    <t>Minuano</t>
  </si>
  <si>
    <t>Sabão em Pó – Caixa de 0,8 a 1Kg. Sabão em pó, convencional, de primeira linha. Para lavar roupas e limpeza em geral.</t>
  </si>
  <si>
    <t>cx.</t>
  </si>
  <si>
    <t>Omo ou similar</t>
  </si>
  <si>
    <t>Sapólio em pó 300g</t>
  </si>
  <si>
    <t>unid</t>
  </si>
  <si>
    <t>Sabonete líquido Concentrado, cremoso perolizado, pronto pra uso, aroma erva-doce, lavanda ou similar, galão de 05 litros.</t>
  </si>
  <si>
    <t>Nobre, Start, Ikebana</t>
  </si>
  <si>
    <t>Saco de Algodão Tipo: Alvejado, Tamanho: 60 X 80 CM, Cor: Branco, Características Adicionais: Dupla Face</t>
  </si>
  <si>
    <t>Santa Margarida</t>
  </si>
  <si>
    <t>Saco plástico reforçado para lixo em polietileno, com capacidade de 100 litros, com estanqueidade suficiente para que não haja vazamento de lixo líquido. com espessura mínima de 10 micra, na cor preta. Pacote com 100 unidades.</t>
  </si>
  <si>
    <t>Polisac</t>
  </si>
  <si>
    <t>Saco plástico reforçado para lixo em polietileno, com capacidade de 20 litros, com estanqueidade suficiente para que não haja vazamento de lixo líquido. com espessura mínima de 09 micra, na cor preta. Pacote com 100 unidades.</t>
  </si>
  <si>
    <t>Altaplast</t>
  </si>
  <si>
    <t>Vassoura de nylon, cerdas c/ ponta desfiada, corpo de madeira medindo aproximadamente 25 x 05cm, c/ cabo de no mínimo 1,50m de comprimento</t>
  </si>
  <si>
    <t>Vassoura Material Cerdas: Piaçava, Aplicação: Limpeza, Material Cepa: Madeira, Comprimento Cepa: 40 CM, Comprimento Cerdas: 13 CM, Largura Cepa: 5 CM, Altura Cepa: 4 CM, Material Cabo: Madeira</t>
  </si>
  <si>
    <t>Noviça</t>
  </si>
  <si>
    <t>Marca de Referência</t>
  </si>
  <si>
    <t>Balde Material: Plástico, Material Alça: Arame Galvanizado, Capacidade: 10 L, Cor: Preta, Características Adicionais: Reforço Fundo E Borda</t>
  </si>
  <si>
    <t>Coador de Café. Especificação: Em pano 100% algodão, cor branca, dimensões de 20cm (diâmetro) x 30cm (profundidade), cabo 16 cm de comprimento feito de arame de aço galvanizado revestido com PVC. O rótulo do produto deve estampar o nome do fabricante.</t>
  </si>
  <si>
    <t>Stolf</t>
  </si>
  <si>
    <t>Desentupidor Pia Material: Borracha Flexível, Cor: Preta , Material Cabo: Plástico Resistente , Comprimento Cabo: 20 CM, Tipo: Sanfonado</t>
  </si>
  <si>
    <t>Limpol ou similar</t>
  </si>
  <si>
    <t>Esponja de LÃ DE AÇO, composição básica: aço carbono abrasivo, p/ limpeza em geral, acondicionada em embalagem plástica original do fabricante, peso líquido aproximado de 60g, pacote c/ 08 unidades</t>
  </si>
  <si>
    <t>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t>
  </si>
  <si>
    <t>Guardanapo de limpeza, em papel absorvente, folha simples, na cor branca, não gofrado, 4 dobras, dimensões mínimas 24cm x 22cm, 100% fibras naturais, embalado em pacote com 50 unidades, com dados do fabricante, data de fabricação e prazo de validade. Produto fabricado de acordo com as normas da ABNT/NBR. Do tipo Coquetel, Santepel, Snob ou de melhor qualidade</t>
  </si>
  <si>
    <t>Santepel</t>
  </si>
  <si>
    <t>Luva Segurança Com Forro. Material: 100% Látex Nitrílico , Tamanho: M ou G ,Aplicação: Manuseio Reagente Químico E Radioativo , Características Adicionais: Com Forro, Sem Talco, Pulso Com Bainha , Modelo: Palma Antiderrapante , Cor: Verde ,Tipo: Ambidestra</t>
  </si>
  <si>
    <t>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t>
  </si>
  <si>
    <t>Pá para lixo, material: plástico com cabo, material cabo: madeira, comprimento cabo: 60cm, tamanho:24x16,5x7cm.</t>
  </si>
  <si>
    <t>Pano de copa aberto 100%  dimensões mínimas 40x60cm</t>
  </si>
  <si>
    <t>Karsten</t>
  </si>
  <si>
    <t>Rodo plástico push 60cm com borracha dupla cabo 120cmespecificação: com cepa de polipropileno; propriedades mínimas; cepa medindo 60cm de comprimento; eva; duplo; com espessura 3,5mm(+/- 0,05mm); cepa pesando 230g, cabo de madeira (cedrinho) revestido de polipropileno; 120cm gancho de polietileno de alta densidade; rosca de polietileno de baixa densidade; embalado em embalagem apropriada.</t>
  </si>
  <si>
    <t>Sabão Glicerinado em Barra Neutro 200g</t>
  </si>
  <si>
    <t>Saco De Algodão Tipo: Alvejado , Tamanho: 60 X 80 CM, Cor: Branco, Características Adicionais: Dupla Face</t>
  </si>
  <si>
    <t>Uzzilim</t>
  </si>
  <si>
    <t>Valores em R$</t>
  </si>
  <si>
    <t>Item</t>
  </si>
  <si>
    <t>Especificação</t>
  </si>
  <si>
    <t>Quant.</t>
  </si>
  <si>
    <t>Valor Unitário</t>
  </si>
  <si>
    <t>Valor Total</t>
  </si>
  <si>
    <t>Repasse Mensal</t>
  </si>
  <si>
    <r>
      <rPr>
        <b/>
        <sz val="10"/>
        <color rgb="FF000000"/>
        <rFont val="Calibri"/>
        <family val="2"/>
        <charset val="1"/>
      </rPr>
      <t>Bota Segurança</t>
    </r>
    <r>
      <rPr>
        <sz val="10"/>
        <color rgb="FF000000"/>
        <rFont val="Calibri"/>
        <family val="2"/>
        <charset val="1"/>
      </rPr>
      <t> Material: Pvc - Cloreto De Polivinila , Material Sola: Antiderrapante , Cor: Preta , Tipo Cano: Longo Características Adicionais: Com Forro, Palmilha e Biqueira De Aço.</t>
    </r>
  </si>
  <si>
    <t>Total de EPI de Servente/Copeira</t>
  </si>
  <si>
    <t>Depreciação 10% ao Ano</t>
  </si>
  <si>
    <t xml:space="preserve">RELAÇÃO DE MÁQUINAS E EQUIPAMENTOS </t>
  </si>
  <si>
    <t>Escada doméstica, material alumínio, número degraus 8, características adicionais pés antiderrapantes, trava de segurança, capacidade 120 kg, tipo dobrável.</t>
  </si>
  <si>
    <t>Lavadora de alta pressão Karcher k3 1500W 110v ou Similar. Alta potência de 1450W no mínimo. Pressão máxima no mínimo de 1800psi, sem desperdícios de água e energia. Proteção em caso de superaquecimento. Ajuste de jato regulável. Rodas e alça retrátil para transporte.</t>
  </si>
  <si>
    <t>Total da Depreciação de Máquinas e Equipamentos</t>
  </si>
  <si>
    <t>Planilha de Custo e Formação de Preço Mensal Por Categoria Profissional</t>
  </si>
  <si>
    <t>CUSTO DE VALE ALIMENTAÇÃO</t>
  </si>
  <si>
    <t>CUSTO DE VALE-TRANSPORTE</t>
  </si>
  <si>
    <t>CUSTO INSALUBRIDADE</t>
  </si>
  <si>
    <t>33390.37.02 - Limpeza e Conservação</t>
  </si>
  <si>
    <t>MONTANTE "A" - Mão de Obra</t>
  </si>
  <si>
    <t>Função</t>
  </si>
  <si>
    <t>Carga Horária Mensal</t>
  </si>
  <si>
    <t xml:space="preserve"> Salário Base</t>
  </si>
  <si>
    <t>Adicional de Insalubridade</t>
  </si>
  <si>
    <t>Adicional Acúmulo de Função</t>
  </si>
  <si>
    <t>TOTAL DA REMUNERAÇÃO</t>
  </si>
  <si>
    <t xml:space="preserve">Encargos sociais e trabalhistas                         </t>
  </si>
  <si>
    <t>Total do Montante "A" ( Mão de Obra)</t>
  </si>
  <si>
    <t>MONTANTE "B" - INSUMOS</t>
  </si>
  <si>
    <t>Itens</t>
  </si>
  <si>
    <t>Valores Unitários</t>
  </si>
  <si>
    <t>Uniforme</t>
  </si>
  <si>
    <t xml:space="preserve">Seguro de vida  </t>
  </si>
  <si>
    <t>Depreciação de Equipamentos</t>
  </si>
  <si>
    <t>Total do Montante "B" (Insumos)</t>
  </si>
  <si>
    <t>Montante "A" + Montante "B"</t>
  </si>
  <si>
    <t>MONTANTE "C" - DEMAIS COMPONENTES</t>
  </si>
  <si>
    <t>ITENS</t>
  </si>
  <si>
    <t>Percentual</t>
  </si>
  <si>
    <t>Despesas administrativas/operacionais</t>
  </si>
  <si>
    <t>Base de cálculo do lucro</t>
  </si>
  <si>
    <t>Total do Montante "C" (Demais componentes)</t>
  </si>
  <si>
    <t>Montante "A" + Montante "B" + Montante "C"</t>
  </si>
  <si>
    <t>MONTANTE "D" - TRIBUTOS</t>
  </si>
  <si>
    <t>Total do Montante "D" (Tributos)</t>
  </si>
  <si>
    <t>FATOR K</t>
  </si>
  <si>
    <t>Deslocamento Insalubridade</t>
  </si>
  <si>
    <t>Valores Unitarios</t>
  </si>
  <si>
    <t>33390.37.01 - Serviços Administrativos</t>
  </si>
  <si>
    <t xml:space="preserve">MÊS: </t>
  </si>
  <si>
    <t>VALORES EM R$</t>
  </si>
  <si>
    <t>ELEMENTO DE DESPESA</t>
  </si>
  <si>
    <t>CATEGORIA PROFISSIONAL</t>
  </si>
  <si>
    <t>TOTAL DO FATURAMENTO MENSAL</t>
  </si>
  <si>
    <t>CUSTO MENSAL</t>
  </si>
  <si>
    <t>GLOSA VALE TRANSPORTE</t>
  </si>
  <si>
    <t>GLOSA VALE ALIMENTAÇÃO</t>
  </si>
  <si>
    <t>TOTAL GLOSAS</t>
  </si>
  <si>
    <t>ACRÉSCIMO DE INSALUBRIDADE</t>
  </si>
  <si>
    <t>Homem-Mês</t>
  </si>
  <si>
    <t>Custo Mensal  do vale-transporte da categoria com Encargos</t>
  </si>
  <si>
    <t xml:space="preserve">GLOSA </t>
  </si>
  <si>
    <t>Glosa de Atrasos e Faltas</t>
  </si>
  <si>
    <t>Desconto Mensal do Titular em Férias sem substituição</t>
  </si>
  <si>
    <t>Desconto de Vale Alimentação em recesso forense ou ponto facultativo.</t>
  </si>
  <si>
    <t>Total da Glosa de Atrasos, Faltas, Desconto do Titular em Férias sem substituição e Desconto de V.A para recessos.</t>
  </si>
  <si>
    <t>PAGAMENTO INSALUBRIDADE EM SUBSTITUIÇÃO</t>
  </si>
  <si>
    <t>Custo Unitário da categoria</t>
  </si>
  <si>
    <t>Custo Mensal da categoria</t>
  </si>
  <si>
    <t>Dias de afastamento</t>
  </si>
  <si>
    <t>Valor da Glosa do vale transporte da categoria</t>
  </si>
  <si>
    <t>Valor da Glosa de Atrasos e Faltas</t>
  </si>
  <si>
    <t>Custo Unitário da categoria Planilha de Férias</t>
  </si>
  <si>
    <t xml:space="preserve">Valor do Desconto Mensal </t>
  </si>
  <si>
    <t>Custo Mensal  do vale alimentação da categoria com Encargos</t>
  </si>
  <si>
    <t>Dias de Recesso e/ou ponto facultativo</t>
  </si>
  <si>
    <t>Valor da Glosa do vale alimentação da categoria</t>
  </si>
  <si>
    <t>Valor Insalubridade por dia</t>
  </si>
  <si>
    <t>Quantidade de Dias</t>
  </si>
  <si>
    <t>Valor Devido</t>
  </si>
  <si>
    <t xml:space="preserve">TOTAL DO FATURAMENTO MENSAL </t>
  </si>
  <si>
    <t>Valor para Lance - Registro de oferta</t>
  </si>
  <si>
    <t>TOTAL DO FATURAMENTO ANUAL</t>
  </si>
  <si>
    <t>2. Na célula “R13 ou R14” deverá ser informado a quantidade de dias em que o trabalho insalubre foi realizado por outra servente do quadro, durante as férias da titular.</t>
  </si>
  <si>
    <t xml:space="preserve">DESCRIÇÃO </t>
  </si>
  <si>
    <t>4.5</t>
  </si>
  <si>
    <t>Valor em R$</t>
  </si>
  <si>
    <t>Módulo 1 - Total da Remuneração</t>
  </si>
  <si>
    <t>A</t>
  </si>
  <si>
    <t>G</t>
  </si>
  <si>
    <t>Total do Custo MENSAL de Reposição do Profissional Ausente em Férias</t>
  </si>
  <si>
    <t>Total do Custo ANUAL de Reposição do Profissional Ausente em Férias</t>
  </si>
  <si>
    <t>Módulo 2 - Benefícios Mensais e Diários</t>
  </si>
  <si>
    <t>Vale-Alimentação</t>
  </si>
  <si>
    <t>B</t>
  </si>
  <si>
    <t>Vale-Transporte</t>
  </si>
  <si>
    <t>C</t>
  </si>
  <si>
    <t>Outros (sem concessão do intervalo intrajornada)</t>
  </si>
  <si>
    <t>Total de Benefícios Mensais e Diários</t>
  </si>
  <si>
    <t>Módulo 5 - Custos Indiretos, Lucros e Tributos</t>
  </si>
  <si>
    <t>Custos Indiretos (Despesas Operacionais e Administrativas)</t>
  </si>
  <si>
    <t>Tributos</t>
  </si>
  <si>
    <t>C.1</t>
  </si>
  <si>
    <t>Tributos Federais (PIS E COFINS)</t>
  </si>
  <si>
    <t>C.2</t>
  </si>
  <si>
    <t>Tributos Estaduais (especificar)</t>
  </si>
  <si>
    <t>C.3</t>
  </si>
  <si>
    <t>C.4</t>
  </si>
  <si>
    <t>Total dos Custos Indiretos e Tributos</t>
  </si>
  <si>
    <t>CUSTO TOTAL DO PROFISSIONAL SUBSTITUTO</t>
  </si>
  <si>
    <t>Resumo do Custo Por Empregado Substituto do Titular em Férias</t>
  </si>
  <si>
    <t>Mão de Obra Vinculada à Execução Contratual  (Valor Por Empregado)</t>
  </si>
  <si>
    <t>Módulo 1 - Composição Remuneração * 12 (Anual)</t>
  </si>
  <si>
    <t>Subtotal (A+B)</t>
  </si>
  <si>
    <t>E</t>
  </si>
  <si>
    <t>Módulo 5 - Custos Indiretos, Tributos e Lucro</t>
  </si>
  <si>
    <t xml:space="preserve">Valor Total Mensal Por Empregado Substituto do Titular em Férias </t>
  </si>
  <si>
    <t>Subseção Judiciária de Sete Lagoas</t>
  </si>
  <si>
    <t>Período:</t>
  </si>
  <si>
    <t xml:space="preserve">ÍNDICE </t>
  </si>
  <si>
    <t>IPCA/ IBGE</t>
  </si>
  <si>
    <t>DIAS</t>
  </si>
  <si>
    <t>Pró-rata</t>
  </si>
  <si>
    <t>VALOR ATUAL</t>
  </si>
  <si>
    <t>ANO</t>
  </si>
  <si>
    <t>MÊS</t>
  </si>
  <si>
    <t>ÍNDICE %</t>
  </si>
  <si>
    <t>%</t>
  </si>
  <si>
    <t>AGO</t>
  </si>
  <si>
    <t>SET</t>
  </si>
  <si>
    <t>OUT</t>
  </si>
  <si>
    <t>NOV</t>
  </si>
  <si>
    <t>DEZ</t>
  </si>
  <si>
    <t>JAN</t>
  </si>
  <si>
    <t>FEV</t>
  </si>
  <si>
    <t>MAR</t>
  </si>
  <si>
    <t>ABR</t>
  </si>
  <si>
    <t>MAI</t>
  </si>
  <si>
    <t>JUN</t>
  </si>
  <si>
    <t>JUL</t>
  </si>
  <si>
    <t>INDICE ACUMULADO</t>
  </si>
  <si>
    <t>Informar código de elemento de despesa
(Coluna "R")</t>
  </si>
  <si>
    <t>Dias de ausência
(Coluna "J")</t>
  </si>
  <si>
    <t>DESCRIÇÃO DOS INSUMOS DE IMPEZA
SERVENTES DE LIMPEZA</t>
  </si>
  <si>
    <t>VALOR TOTAL COM INSUMOS DE LIMPEZA</t>
  </si>
  <si>
    <t>VALOR TOTAL COM INSUMOS DE COPA</t>
  </si>
  <si>
    <r>
      <t xml:space="preserve">ANÁLISE CRÍTICA </t>
    </r>
    <r>
      <rPr>
        <b/>
        <sz val="10"/>
        <rFont val="Calibri"/>
        <family val="2"/>
        <charset val="1"/>
      </rPr>
      <t>SOBRE O FORNECIMENTO DOS INSUMOS
ESTIMATIVA MENSAL x FORNECIMENTO EFETIVO
(INFORMAÇÃO COMO PARÂMETRO DE INDICATIVO)</t>
    </r>
  </si>
  <si>
    <t>INSUMOS COPA
COPEIRA</t>
  </si>
  <si>
    <t>INSUMOS</t>
  </si>
  <si>
    <r>
      <t xml:space="preserve">Sugere-se o preenchimento das seguintes abas em sequência: </t>
    </r>
    <r>
      <rPr>
        <sz val="10"/>
        <rFont val="Calibri"/>
        <family val="2"/>
        <charset val="1"/>
      </rPr>
      <t>Dados, Encargos, Insumos, EPI, Equipamentos e Uniforme, para a realização de cálculos completa da planilha de composição de custos.</t>
    </r>
  </si>
  <si>
    <t>PREENCHIMENTO ABA "INSUMOS"</t>
  </si>
  <si>
    <t xml:space="preserve"> - Insumos de Limpeza (Células "G9:G44)</t>
  </si>
  <si>
    <t xml:space="preserve"> - Insumos de Copa (Células "G50:G65)</t>
  </si>
  <si>
    <t>As Abas necessárias para o preenchimento estão organizadas em uma sequência lógica, sendo Dados; Encargos; Insumos (limpeza e copa); EPI; Equipamentos; Uniforme.</t>
  </si>
  <si>
    <t>Insumos de Limpeza Rateado
(R$)</t>
  </si>
  <si>
    <t>Insumos de Copa Rateado
(R$)</t>
  </si>
  <si>
    <t>DESCRIÇÃO DOS INSUMOS</t>
  </si>
  <si>
    <t>GLOSA DE ATRASOS, FALTAS E DESCONTO DO TITULAR EM FÉRIAS (sem insumos)</t>
  </si>
  <si>
    <t>Custo Homem-Mês               (sem insumos)</t>
  </si>
  <si>
    <t>VALOR DOS INSUMOS</t>
  </si>
  <si>
    <t>Insumos de Copa</t>
  </si>
  <si>
    <t>Insumos de Limpeza</t>
  </si>
  <si>
    <t>COM INSUMOS</t>
  </si>
  <si>
    <t>SEM INSUMOS</t>
  </si>
  <si>
    <t>Auxiliar Administrativo com Acúmulo de função de Mensageiro</t>
  </si>
  <si>
    <t>Servente de Limpeza  com Acúmulo de função de Copeira</t>
  </si>
  <si>
    <t>Servente de Limpeza com adicional de 40% de Insalubridade</t>
  </si>
  <si>
    <t xml:space="preserve"> - Informar o percentual da alíquota ISSQN (Células "G53") conforme legislação vigente, OBSERVANDO as instruções contantes na Célula "B48".</t>
  </si>
  <si>
    <t>ANEXO IX - PLANILHA DE CUSTO E FORMAÇÃO DE PREÇO MENSAL ESTIMATIVO INTEGRAL - RESUMO</t>
  </si>
  <si>
    <t>INSTRUÇÕES DE PREENCHIMENTO - ANEXO IX - PLANILHAS DE COMPOSIÇÃO DE CUSTOS</t>
  </si>
  <si>
    <t>ANEXO IX - PLANILHA DE CUSTO E FORMAÇÃO DE PREÇO MENSAL ESTIMATIVO - PLANILHA DE DADOS</t>
  </si>
  <si>
    <t>ANEXO IX</t>
  </si>
  <si>
    <t>ANEXO IX - CUSTO ESTIMATIVO DE INSUMOS DE LIMPEZA</t>
  </si>
  <si>
    <t>ANEXO IX - CUSTO ESTIMATIVO DE INSUMOS DE LIMPEZA COPA</t>
  </si>
  <si>
    <t>ANEXO IX - CUSTO ESTIMATIVO DE EPI</t>
  </si>
  <si>
    <t>ANEXO IX - CUSTO ESTIMATIVO DE PREÇOS DE EQUIPAMENTOS</t>
  </si>
  <si>
    <t xml:space="preserve">ANEXO IX - PLANILHA DE CUSTO E FORMAÇÃO DE PREÇO MENSAL ESTIMATIVO DO PROFISSIONAL SUBSTITUTO DO TITULAR EM FÉRIAS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</si>
</sst>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_-;_-@_-"/>
    <numFmt numFmtId="165" formatCode="&quot;R$ &quot;#,##0.00"/>
    <numFmt numFmtId="166" formatCode="_-&quot;R$ &quot;* #,##0.00_-;&quot;-R$ &quot;* #,##0.00_-;_-&quot;R$ &quot;* \-??_-;_-@_-"/>
    <numFmt numFmtId="167" formatCode="#,##0_ ;\-#,##0\ "/>
    <numFmt numFmtId="168" formatCode="d/m/yyyy"/>
    <numFmt numFmtId="169" formatCode="0.0000"/>
    <numFmt numFmtId="170" formatCode="_(* #,##0.00_);_(* \(#,##0.00\);_(* \-??_);_(@_)"/>
    <numFmt numFmtId="171" formatCode="* #,##0.00\ ;* \(#,##0.00\);* \-#\ ;@\ "/>
  </numFmts>
  <fonts count="39" x14ac:knownFonts="1">
    <font>
      <sz val="11"/>
      <color rgb="FF000000"/>
      <name val="Calibri"/>
      <family val="2"/>
      <charset val="1"/>
    </font>
    <font>
      <sz val="11"/>
      <name val="Calibri"/>
      <family val="2"/>
      <charset val="1"/>
    </font>
    <font>
      <sz val="10"/>
      <color rgb="FF333333"/>
      <name val="Calibri"/>
      <family val="2"/>
      <charset val="1"/>
    </font>
    <font>
      <b/>
      <sz val="18"/>
      <name val="Calibri"/>
      <family val="2"/>
      <charset val="1"/>
    </font>
    <font>
      <b/>
      <sz val="16"/>
      <name val="Calibri"/>
      <family val="2"/>
      <charset val="1"/>
    </font>
    <font>
      <b/>
      <sz val="11"/>
      <name val="Calibri"/>
      <family val="2"/>
      <charset val="1"/>
    </font>
    <font>
      <sz val="12"/>
      <name val="Calibri"/>
      <family val="2"/>
      <charset val="1"/>
    </font>
    <font>
      <b/>
      <sz val="10"/>
      <name val="Calibri"/>
      <family val="2"/>
      <charset val="1"/>
    </font>
    <font>
      <b/>
      <sz val="10"/>
      <color rgb="FFFF0000"/>
      <name val="Calibri"/>
      <family val="2"/>
      <charset val="1"/>
    </font>
    <font>
      <sz val="10"/>
      <name val="Calibri"/>
      <family val="2"/>
      <charset val="1"/>
    </font>
    <font>
      <sz val="9"/>
      <name val="Calibri"/>
      <family val="2"/>
      <charset val="1"/>
    </font>
    <font>
      <sz val="10"/>
      <color rgb="FFFF0000"/>
      <name val="Calibri"/>
      <family val="2"/>
      <charset val="1"/>
    </font>
    <font>
      <sz val="11"/>
      <color rgb="FF808080"/>
      <name val="Calibri"/>
      <family val="2"/>
      <charset val="1"/>
    </font>
    <font>
      <b/>
      <i/>
      <u/>
      <sz val="11"/>
      <name val="Calibri"/>
      <family val="2"/>
      <charset val="1"/>
    </font>
    <font>
      <sz val="11"/>
      <color rgb="FFFF0000"/>
      <name val="Calibri"/>
      <family val="2"/>
      <charset val="1"/>
    </font>
    <font>
      <b/>
      <u/>
      <sz val="10"/>
      <name val="Calibri"/>
      <family val="2"/>
      <charset val="1"/>
    </font>
    <font>
      <sz val="10"/>
      <color rgb="FF000000"/>
      <name val="Calibri"/>
      <family val="2"/>
      <charset val="1"/>
    </font>
    <font>
      <sz val="8"/>
      <name val="Calibri"/>
      <family val="2"/>
      <charset val="1"/>
    </font>
    <font>
      <b/>
      <sz val="12"/>
      <name val="Calibri"/>
      <family val="2"/>
      <charset val="1"/>
    </font>
    <font>
      <sz val="10"/>
      <color rgb="FFFFFFFF"/>
      <name val="Calibri"/>
      <family val="2"/>
      <charset val="1"/>
    </font>
    <font>
      <b/>
      <sz val="14"/>
      <name val="Calibri"/>
      <family val="2"/>
      <charset val="1"/>
    </font>
    <font>
      <b/>
      <sz val="11"/>
      <color rgb="FF000000"/>
      <name val="Calibri"/>
      <family val="2"/>
      <charset val="1"/>
    </font>
    <font>
      <b/>
      <sz val="12"/>
      <color rgb="FF333333"/>
      <name val="Calibri"/>
      <family val="2"/>
      <charset val="1"/>
    </font>
    <font>
      <b/>
      <sz val="11"/>
      <color rgb="FF333333"/>
      <name val="Calibri"/>
      <family val="2"/>
      <charset val="1"/>
    </font>
    <font>
      <b/>
      <sz val="9"/>
      <color rgb="FF333333"/>
      <name val="Calibri"/>
      <family val="2"/>
      <charset val="1"/>
    </font>
    <font>
      <b/>
      <sz val="9"/>
      <name val="Calibri"/>
      <family val="2"/>
      <charset val="1"/>
    </font>
    <font>
      <b/>
      <sz val="10"/>
      <color rgb="FF000000"/>
      <name val="Calibri"/>
      <family val="2"/>
      <charset val="1"/>
    </font>
    <font>
      <b/>
      <sz val="8"/>
      <name val="Calibri"/>
      <family val="2"/>
      <charset val="1"/>
    </font>
    <font>
      <b/>
      <sz val="9"/>
      <color rgb="FFFF0000"/>
      <name val="Calibri"/>
      <family val="2"/>
      <charset val="1"/>
    </font>
    <font>
      <b/>
      <sz val="6"/>
      <name val="Calibri"/>
      <family val="2"/>
      <charset val="1"/>
    </font>
    <font>
      <b/>
      <sz val="12"/>
      <color rgb="FFBFBFBF"/>
      <name val="Calibri"/>
      <family val="2"/>
      <charset val="1"/>
    </font>
    <font>
      <sz val="14"/>
      <name val="Calibri"/>
      <family val="2"/>
      <charset val="1"/>
    </font>
    <font>
      <b/>
      <sz val="12.5"/>
      <name val="Calibri"/>
      <family val="2"/>
      <charset val="1"/>
    </font>
    <font>
      <b/>
      <sz val="12"/>
      <color rgb="FF000000"/>
      <name val="Calibri"/>
      <family val="2"/>
      <charset val="1"/>
    </font>
    <font>
      <b/>
      <sz val="9"/>
      <color rgb="FF000000"/>
      <name val="Calibri"/>
      <family val="2"/>
      <charset val="1"/>
    </font>
    <font>
      <b/>
      <sz val="10"/>
      <color rgb="FFFFFFFF"/>
      <name val="Calibri"/>
      <family val="2"/>
      <charset val="1"/>
    </font>
    <font>
      <sz val="10"/>
      <name val="Times New Roman"/>
      <family val="1"/>
      <charset val="1"/>
    </font>
    <font>
      <b/>
      <sz val="8"/>
      <color rgb="FFFF0000"/>
      <name val="Calibri"/>
      <family val="2"/>
      <charset val="1"/>
    </font>
    <font>
      <sz val="11"/>
      <color rgb="FF000000"/>
      <name val="Calibri"/>
      <family val="2"/>
      <charset val="1"/>
    </font>
  </fonts>
  <fills count="22">
    <fill>
      <patternFill patternType="none"/>
    </fill>
    <fill>
      <patternFill patternType="gray125"/>
    </fill>
    <fill>
      <patternFill patternType="solid">
        <fgColor rgb="FFFFFF99"/>
        <bgColor rgb="FFFFFFA6"/>
      </patternFill>
    </fill>
    <fill>
      <patternFill patternType="solid">
        <fgColor rgb="FFF8CBAD"/>
        <bgColor rgb="FFFFC7CE"/>
      </patternFill>
    </fill>
    <fill>
      <patternFill patternType="solid">
        <fgColor rgb="FFFFFFCC"/>
        <bgColor rgb="FFFFFFA6"/>
      </patternFill>
    </fill>
    <fill>
      <patternFill patternType="solid">
        <fgColor rgb="FFDCE6F2"/>
        <bgColor rgb="FFDEEBF7"/>
      </patternFill>
    </fill>
    <fill>
      <patternFill patternType="solid">
        <fgColor rgb="FFF2DCDB"/>
        <bgColor rgb="FFD9D9D9"/>
      </patternFill>
    </fill>
    <fill>
      <patternFill patternType="solid">
        <fgColor rgb="FF606060"/>
        <bgColor rgb="FF595959"/>
      </patternFill>
    </fill>
    <fill>
      <patternFill patternType="solid">
        <fgColor rgb="FFFFFFFF"/>
        <bgColor rgb="FFF2F2F2"/>
      </patternFill>
    </fill>
    <fill>
      <patternFill patternType="solid">
        <fgColor rgb="FFFFD966"/>
        <bgColor rgb="FFF8CBAD"/>
      </patternFill>
    </fill>
    <fill>
      <patternFill patternType="solid">
        <fgColor rgb="FFF2F2F2"/>
        <bgColor rgb="FFDEEBF7"/>
      </patternFill>
    </fill>
    <fill>
      <patternFill patternType="solid">
        <fgColor rgb="FF3366CC"/>
        <bgColor rgb="FF0066CC"/>
      </patternFill>
    </fill>
    <fill>
      <patternFill patternType="solid">
        <fgColor rgb="FFD9D9D9"/>
        <bgColor rgb="FFDCE6F2"/>
      </patternFill>
    </fill>
    <fill>
      <patternFill patternType="solid">
        <fgColor rgb="FF595959"/>
        <bgColor rgb="FF606060"/>
      </patternFill>
    </fill>
    <fill>
      <patternFill patternType="solid">
        <fgColor rgb="FFFFFFA6"/>
        <bgColor rgb="FFFFFF99"/>
      </patternFill>
    </fill>
    <fill>
      <patternFill patternType="solid">
        <fgColor rgb="FFDEEBF7"/>
        <bgColor rgb="FFDCE6F2"/>
      </patternFill>
    </fill>
    <fill>
      <patternFill patternType="solid">
        <fgColor rgb="FF10243E"/>
        <bgColor rgb="FF333333"/>
      </patternFill>
    </fill>
    <fill>
      <patternFill patternType="solid">
        <fgColor rgb="FFBDD7EE"/>
        <bgColor rgb="FFD9D9D9"/>
      </patternFill>
    </fill>
    <fill>
      <patternFill patternType="solid">
        <fgColor rgb="FFC0C0C0"/>
        <bgColor rgb="FFBFBFBF"/>
      </patternFill>
    </fill>
    <fill>
      <patternFill patternType="solid">
        <fgColor rgb="FFADB9CA"/>
        <bgColor rgb="FFBFBFBF"/>
      </patternFill>
    </fill>
    <fill>
      <patternFill patternType="solid">
        <fgColor rgb="FF00B0F0"/>
        <bgColor rgb="FF33CCCC"/>
      </patternFill>
    </fill>
    <fill>
      <patternFill patternType="solid">
        <fgColor rgb="FF808080"/>
        <bgColor rgb="FF606060"/>
      </patternFill>
    </fill>
  </fills>
  <borders count="71">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medium">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bottom/>
      <diagonal/>
    </border>
    <border>
      <left/>
      <right/>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medium">
        <color auto="1"/>
      </right>
      <top/>
      <bottom style="medium">
        <color auto="1"/>
      </bottom>
      <diagonal/>
    </border>
    <border>
      <left style="medium">
        <color auto="1"/>
      </left>
      <right/>
      <top style="thin">
        <color auto="1"/>
      </top>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bottom/>
      <diagonal/>
    </border>
    <border>
      <left style="medium">
        <color auto="1"/>
      </left>
      <right style="medium">
        <color auto="1"/>
      </right>
      <top style="thin">
        <color auto="1"/>
      </top>
      <bottom/>
      <diagonal/>
    </border>
    <border>
      <left style="medium">
        <color auto="1"/>
      </left>
      <right/>
      <top style="thin">
        <color auto="1"/>
      </top>
      <bottom style="medium">
        <color auto="1"/>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diagonal/>
    </border>
    <border>
      <left/>
      <right style="thin">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bottom/>
      <diagonal/>
    </border>
    <border>
      <left/>
      <right style="thin">
        <color auto="1"/>
      </right>
      <top/>
      <bottom style="medium">
        <color auto="1"/>
      </bottom>
      <diagonal/>
    </border>
  </borders>
  <cellStyleXfs count="5">
    <xf numFmtId="0" fontId="0" fillId="0" borderId="0"/>
    <xf numFmtId="164" fontId="38" fillId="0" borderId="0" applyBorder="0" applyProtection="0"/>
    <xf numFmtId="166" fontId="38" fillId="0" borderId="0" applyBorder="0" applyProtection="0"/>
    <xf numFmtId="9" fontId="38" fillId="0" borderId="0" applyBorder="0" applyProtection="0"/>
    <xf numFmtId="171" fontId="36" fillId="0" borderId="0" applyBorder="0" applyProtection="0"/>
  </cellStyleXfs>
  <cellXfs count="616">
    <xf numFmtId="0" fontId="0" fillId="0" borderId="0" xfId="0"/>
    <xf numFmtId="0" fontId="5" fillId="2" borderId="4" xfId="0" applyFont="1" applyFill="1" applyBorder="1" applyAlignment="1">
      <alignment horizontal="center" vertical="center" wrapText="1"/>
    </xf>
    <xf numFmtId="0" fontId="1" fillId="0" borderId="0" xfId="0" applyFont="1"/>
    <xf numFmtId="0" fontId="1" fillId="0" borderId="0" xfId="0" applyFont="1" applyAlignment="1">
      <alignment horizontal="left" vertical="center"/>
    </xf>
    <xf numFmtId="0" fontId="1" fillId="0" borderId="0" xfId="0" applyFont="1" applyAlignment="1">
      <alignment horizontal="center"/>
    </xf>
    <xf numFmtId="0" fontId="1" fillId="0" borderId="0" xfId="0" applyFont="1" applyAlignment="1">
      <alignment horizontal="center" vertical="center"/>
    </xf>
    <xf numFmtId="0" fontId="1" fillId="0" borderId="1" xfId="0" applyFont="1" applyBorder="1"/>
    <xf numFmtId="0" fontId="2" fillId="0" borderId="2" xfId="0" applyFont="1" applyBorder="1" applyAlignment="1">
      <alignment horizontal="left" vertical="center"/>
    </xf>
    <xf numFmtId="0" fontId="3" fillId="0" borderId="0" xfId="0" applyFont="1" applyAlignment="1">
      <alignment vertical="center"/>
    </xf>
    <xf numFmtId="0" fontId="1" fillId="0" borderId="3" xfId="0" applyFont="1" applyBorder="1" applyAlignment="1">
      <alignment vertical="top"/>
    </xf>
    <xf numFmtId="0" fontId="2" fillId="0" borderId="0" xfId="0" applyFont="1" applyAlignment="1">
      <alignment horizontal="left" vertical="center"/>
    </xf>
    <xf numFmtId="0" fontId="3" fillId="0" borderId="0" xfId="0" applyFont="1" applyAlignment="1">
      <alignment vertical="top"/>
    </xf>
    <xf numFmtId="0" fontId="1" fillId="0" borderId="0" xfId="0" applyFont="1" applyAlignment="1">
      <alignment vertical="top"/>
    </xf>
    <xf numFmtId="0" fontId="3"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1" fillId="0" borderId="4" xfId="0" applyFont="1" applyBorder="1" applyAlignment="1">
      <alignment horizontal="center" vertical="center"/>
    </xf>
    <xf numFmtId="0" fontId="3" fillId="0" borderId="0" xfId="0" applyFont="1" applyAlignment="1">
      <alignment horizontal="left" vertical="center"/>
    </xf>
    <xf numFmtId="0" fontId="7" fillId="5" borderId="11" xfId="0" applyFont="1" applyFill="1" applyBorder="1" applyAlignment="1">
      <alignment horizontal="center" vertical="center" wrapText="1"/>
    </xf>
    <xf numFmtId="0" fontId="7" fillId="5" borderId="12" xfId="0" applyFont="1" applyFill="1" applyBorder="1" applyAlignment="1">
      <alignment horizontal="left" vertical="center" wrapText="1"/>
    </xf>
    <xf numFmtId="0" fontId="7" fillId="5"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16" xfId="0" applyFont="1" applyFill="1" applyBorder="1" applyAlignment="1">
      <alignment horizontal="center" vertical="center" wrapText="1"/>
    </xf>
    <xf numFmtId="1" fontId="9" fillId="0" borderId="17" xfId="0" applyNumberFormat="1" applyFont="1" applyBorder="1" applyAlignment="1">
      <alignment horizontal="center" vertical="center"/>
    </xf>
    <xf numFmtId="0" fontId="9" fillId="0" borderId="4" xfId="0" applyFont="1" applyBorder="1" applyAlignment="1">
      <alignment horizontal="left" vertical="center"/>
    </xf>
    <xf numFmtId="1" fontId="9" fillId="0" borderId="4" xfId="0" applyNumberFormat="1" applyFont="1" applyBorder="1" applyAlignment="1">
      <alignment horizontal="center" vertical="center"/>
    </xf>
    <xf numFmtId="0" fontId="11" fillId="6" borderId="18" xfId="0" applyFont="1" applyFill="1" applyBorder="1" applyAlignment="1" applyProtection="1">
      <alignment horizontal="center" vertical="center"/>
      <protection locked="0"/>
    </xf>
    <xf numFmtId="0" fontId="11" fillId="6" borderId="4" xfId="0" applyFont="1" applyFill="1" applyBorder="1" applyAlignment="1" applyProtection="1">
      <alignment horizontal="center" vertical="center"/>
      <protection locked="0"/>
    </xf>
    <xf numFmtId="2" fontId="11" fillId="6" borderId="17" xfId="0" applyNumberFormat="1" applyFont="1" applyFill="1" applyBorder="1" applyAlignment="1" applyProtection="1">
      <alignment horizontal="center" vertical="center"/>
      <protection locked="0"/>
    </xf>
    <xf numFmtId="2" fontId="9" fillId="0" borderId="19" xfId="0" applyNumberFormat="1" applyFont="1" applyBorder="1" applyAlignment="1">
      <alignment horizontal="center" vertical="center"/>
    </xf>
    <xf numFmtId="0" fontId="11" fillId="6" borderId="20" xfId="0" applyFont="1" applyFill="1" applyBorder="1" applyAlignment="1" applyProtection="1">
      <alignment horizontal="center" vertical="center"/>
      <protection locked="0"/>
    </xf>
    <xf numFmtId="164" fontId="12" fillId="7" borderId="20" xfId="0" applyNumberFormat="1" applyFont="1" applyFill="1" applyBorder="1" applyAlignment="1">
      <alignment horizontal="center" vertical="center"/>
    </xf>
    <xf numFmtId="164" fontId="9" fillId="0" borderId="21" xfId="0" applyNumberFormat="1" applyFont="1" applyBorder="1" applyAlignment="1">
      <alignment horizontal="center" vertical="center"/>
    </xf>
    <xf numFmtId="164" fontId="12" fillId="7" borderId="4" xfId="0" applyNumberFormat="1" applyFont="1" applyFill="1" applyBorder="1" applyAlignment="1">
      <alignment horizontal="center" vertical="center"/>
    </xf>
    <xf numFmtId="165" fontId="9" fillId="0" borderId="4" xfId="0" applyNumberFormat="1" applyFont="1" applyBorder="1" applyAlignment="1">
      <alignment horizontal="center" vertical="center"/>
    </xf>
    <xf numFmtId="0" fontId="9" fillId="0" borderId="4" xfId="0" applyFont="1" applyBorder="1" applyAlignment="1">
      <alignment horizontal="center" vertical="center"/>
    </xf>
    <xf numFmtId="166" fontId="9" fillId="0" borderId="4" xfId="2" applyFont="1" applyBorder="1" applyAlignment="1" applyProtection="1">
      <alignment horizontal="center" vertical="center"/>
    </xf>
    <xf numFmtId="164" fontId="9" fillId="0" borderId="4" xfId="0" applyNumberFormat="1" applyFont="1" applyBorder="1" applyAlignment="1">
      <alignment horizontal="center" vertical="center"/>
    </xf>
    <xf numFmtId="1" fontId="9" fillId="0" borderId="22" xfId="0" applyNumberFormat="1" applyFont="1" applyBorder="1" applyAlignment="1">
      <alignment horizontal="center" vertical="center"/>
    </xf>
    <xf numFmtId="1" fontId="9" fillId="0" borderId="23" xfId="0" applyNumberFormat="1" applyFont="1" applyBorder="1" applyAlignment="1">
      <alignment horizontal="center" vertical="center"/>
    </xf>
    <xf numFmtId="0" fontId="11" fillId="6" borderId="23" xfId="0" applyFont="1" applyFill="1" applyBorder="1" applyAlignment="1" applyProtection="1">
      <alignment horizontal="center" vertical="center"/>
      <protection locked="0"/>
    </xf>
    <xf numFmtId="0" fontId="11" fillId="6" borderId="24" xfId="0" applyFont="1" applyFill="1" applyBorder="1" applyAlignment="1" applyProtection="1">
      <alignment horizontal="center" vertical="center"/>
      <protection locked="0"/>
    </xf>
    <xf numFmtId="2" fontId="11" fillId="6" borderId="22" xfId="0" applyNumberFormat="1" applyFont="1" applyFill="1" applyBorder="1" applyAlignment="1" applyProtection="1">
      <alignment horizontal="center" vertical="center"/>
      <protection locked="0"/>
    </xf>
    <xf numFmtId="2" fontId="9" fillId="0" borderId="25" xfId="0" applyNumberFormat="1" applyFont="1" applyBorder="1" applyAlignment="1">
      <alignment horizontal="center" vertical="center"/>
    </xf>
    <xf numFmtId="0" fontId="11" fillId="6" borderId="26" xfId="0" applyFont="1" applyFill="1" applyBorder="1" applyAlignment="1" applyProtection="1">
      <alignment horizontal="center" vertical="center"/>
      <protection locked="0"/>
    </xf>
    <xf numFmtId="4" fontId="7" fillId="5" borderId="27" xfId="0" applyNumberFormat="1" applyFont="1" applyFill="1" applyBorder="1" applyAlignment="1">
      <alignment horizontal="center" vertical="center"/>
    </xf>
    <xf numFmtId="4" fontId="7" fillId="5" borderId="29" xfId="0" applyNumberFormat="1" applyFont="1" applyFill="1" applyBorder="1" applyAlignment="1">
      <alignment horizontal="center" vertical="center"/>
    </xf>
    <xf numFmtId="4" fontId="7" fillId="5" borderId="9" xfId="0" applyNumberFormat="1" applyFont="1" applyFill="1" applyBorder="1" applyAlignment="1">
      <alignment horizontal="center" vertical="center"/>
    </xf>
    <xf numFmtId="4" fontId="7" fillId="5" borderId="26" xfId="0" applyNumberFormat="1" applyFont="1" applyFill="1" applyBorder="1" applyAlignment="1">
      <alignment horizontal="center" vertical="center"/>
    </xf>
    <xf numFmtId="0" fontId="7" fillId="5" borderId="30" xfId="0" applyFont="1" applyFill="1" applyBorder="1" applyAlignment="1">
      <alignment horizontal="center" vertical="center"/>
    </xf>
    <xf numFmtId="4" fontId="7" fillId="5" borderId="23" xfId="0" applyNumberFormat="1" applyFont="1" applyFill="1" applyBorder="1" applyAlignment="1">
      <alignment horizontal="center" vertical="center"/>
    </xf>
    <xf numFmtId="165" fontId="7" fillId="5" borderId="23" xfId="0" applyNumberFormat="1" applyFont="1" applyFill="1" applyBorder="1" applyAlignment="1">
      <alignment horizontal="center" vertical="center"/>
    </xf>
    <xf numFmtId="0" fontId="7" fillId="5" borderId="22" xfId="0" applyFont="1" applyFill="1" applyBorder="1" applyAlignment="1">
      <alignment vertical="center"/>
    </xf>
    <xf numFmtId="0" fontId="7" fillId="5" borderId="23" xfId="0" applyFont="1" applyFill="1" applyBorder="1" applyAlignment="1">
      <alignment horizontal="center" vertical="center"/>
    </xf>
    <xf numFmtId="0" fontId="9" fillId="0" borderId="0" xfId="0" applyFont="1" applyAlignment="1">
      <alignment vertical="center"/>
    </xf>
    <xf numFmtId="0" fontId="13" fillId="0" borderId="0" xfId="0" applyFont="1" applyAlignment="1">
      <alignment horizontal="left" vertical="center"/>
    </xf>
    <xf numFmtId="0" fontId="9" fillId="0" borderId="0" xfId="0" applyFont="1" applyAlignment="1">
      <alignment horizontal="left" vertical="center"/>
    </xf>
    <xf numFmtId="0" fontId="14" fillId="0" borderId="0" xfId="0" applyFont="1" applyAlignment="1">
      <alignment horizontal="left" vertical="center"/>
    </xf>
    <xf numFmtId="0" fontId="7" fillId="5" borderId="4" xfId="0" applyFont="1" applyFill="1" applyBorder="1" applyAlignment="1">
      <alignment horizontal="center" vertical="center" wrapText="1"/>
    </xf>
    <xf numFmtId="0" fontId="9" fillId="0" borderId="0" xfId="0" applyFont="1" applyAlignment="1">
      <alignment horizontal="center" vertical="center"/>
    </xf>
    <xf numFmtId="0" fontId="9" fillId="0" borderId="4" xfId="0" applyFont="1" applyBorder="1" applyAlignment="1" applyProtection="1">
      <alignment horizontal="center" vertical="center"/>
      <protection locked="0"/>
    </xf>
    <xf numFmtId="2" fontId="9" fillId="0" borderId="4" xfId="0" applyNumberFormat="1" applyFont="1" applyBorder="1" applyAlignment="1" applyProtection="1">
      <alignment horizontal="center" vertical="center"/>
      <protection locked="0"/>
    </xf>
    <xf numFmtId="166" fontId="1" fillId="0" borderId="0" xfId="2" applyFont="1" applyBorder="1" applyAlignment="1" applyProtection="1">
      <alignment horizontal="left" vertical="center"/>
    </xf>
    <xf numFmtId="0" fontId="7" fillId="0" borderId="0" xfId="0" applyFont="1" applyAlignment="1">
      <alignment horizontal="center" vertical="center"/>
    </xf>
    <xf numFmtId="0" fontId="9" fillId="0" borderId="0" xfId="0" applyFont="1"/>
    <xf numFmtId="0" fontId="7" fillId="5" borderId="32"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9" fillId="8" borderId="17" xfId="0" applyFont="1" applyFill="1" applyBorder="1" applyAlignment="1">
      <alignment horizontal="center" vertical="center"/>
    </xf>
    <xf numFmtId="0" fontId="11" fillId="6" borderId="12" xfId="0" applyFont="1" applyFill="1" applyBorder="1" applyAlignment="1" applyProtection="1">
      <alignment horizontal="center" vertical="center"/>
      <protection locked="0"/>
    </xf>
    <xf numFmtId="0" fontId="9" fillId="0" borderId="14" xfId="0" applyFont="1" applyBorder="1" applyAlignment="1">
      <alignment horizontal="center" vertical="center"/>
    </xf>
    <xf numFmtId="0" fontId="10" fillId="0" borderId="11" xfId="0" applyFont="1" applyBorder="1" applyAlignment="1">
      <alignment horizontal="center" vertical="center"/>
    </xf>
    <xf numFmtId="167" fontId="9" fillId="0" borderId="12" xfId="0" applyNumberFormat="1"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1" fontId="2" fillId="0" borderId="17" xfId="0" applyNumberFormat="1" applyFont="1" applyBorder="1" applyAlignment="1">
      <alignment horizontal="center" vertical="center"/>
    </xf>
    <xf numFmtId="1" fontId="2" fillId="8" borderId="17" xfId="0" applyNumberFormat="1" applyFont="1" applyFill="1" applyBorder="1" applyAlignment="1">
      <alignment horizontal="center" vertical="center"/>
    </xf>
    <xf numFmtId="1" fontId="2" fillId="0" borderId="11" xfId="0" applyNumberFormat="1" applyFont="1" applyBorder="1" applyAlignment="1">
      <alignment horizontal="center" vertical="center"/>
    </xf>
    <xf numFmtId="166" fontId="7" fillId="5" borderId="14" xfId="2" applyFont="1" applyFill="1" applyBorder="1" applyAlignment="1" applyProtection="1">
      <alignment horizontal="center" vertical="center"/>
    </xf>
    <xf numFmtId="10" fontId="7" fillId="5" borderId="21" xfId="0" applyNumberFormat="1" applyFont="1" applyFill="1" applyBorder="1" applyAlignment="1">
      <alignment horizontal="center" vertical="center"/>
    </xf>
    <xf numFmtId="166" fontId="7" fillId="5" borderId="19" xfId="2" applyFont="1" applyFill="1" applyBorder="1" applyAlignment="1" applyProtection="1">
      <alignment horizontal="center" vertical="center"/>
    </xf>
    <xf numFmtId="166" fontId="7" fillId="5" borderId="25" xfId="2" applyFont="1" applyFill="1" applyBorder="1" applyAlignment="1" applyProtection="1">
      <alignment horizontal="center" vertical="center"/>
    </xf>
    <xf numFmtId="0" fontId="9" fillId="0" borderId="14" xfId="0" applyFont="1" applyBorder="1" applyAlignment="1">
      <alignment vertical="center"/>
    </xf>
    <xf numFmtId="166" fontId="7" fillId="5" borderId="34" xfId="2" applyFont="1" applyFill="1" applyBorder="1" applyAlignment="1" applyProtection="1">
      <alignment horizontal="center" vertical="center"/>
    </xf>
    <xf numFmtId="0" fontId="1" fillId="0" borderId="4" xfId="0" applyFont="1" applyBorder="1" applyAlignment="1">
      <alignment horizontal="left" vertical="center"/>
    </xf>
    <xf numFmtId="3" fontId="1" fillId="0" borderId="18" xfId="0" applyNumberFormat="1" applyFont="1" applyBorder="1" applyAlignment="1">
      <alignment horizontal="center" vertical="center"/>
    </xf>
    <xf numFmtId="0" fontId="1" fillId="0" borderId="18" xfId="0" applyFont="1" applyBorder="1" applyAlignment="1">
      <alignment horizontal="center" vertical="center"/>
    </xf>
    <xf numFmtId="0" fontId="1" fillId="0" borderId="4" xfId="0" applyFont="1" applyBorder="1"/>
    <xf numFmtId="0" fontId="9" fillId="0" borderId="0" xfId="0" applyFont="1" applyAlignment="1">
      <alignment horizontal="left"/>
    </xf>
    <xf numFmtId="0" fontId="17" fillId="0" borderId="1" xfId="0" applyFont="1" applyBorder="1"/>
    <xf numFmtId="0" fontId="2" fillId="0" borderId="2" xfId="0" applyFont="1" applyBorder="1" applyAlignment="1">
      <alignment vertical="center"/>
    </xf>
    <xf numFmtId="0" fontId="17" fillId="0" borderId="3" xfId="0" applyFont="1" applyBorder="1"/>
    <xf numFmtId="0" fontId="2" fillId="0" borderId="0" xfId="0" applyFont="1" applyAlignment="1">
      <alignment vertical="center"/>
    </xf>
    <xf numFmtId="0" fontId="18" fillId="0" borderId="0" xfId="0" applyFont="1" applyAlignment="1">
      <alignment horizontal="center" vertical="center"/>
    </xf>
    <xf numFmtId="0" fontId="15" fillId="0" borderId="0" xfId="0" applyFont="1" applyAlignment="1">
      <alignment horizontal="left"/>
    </xf>
    <xf numFmtId="0" fontId="9" fillId="2" borderId="9" xfId="0" applyFont="1" applyFill="1" applyBorder="1" applyAlignment="1">
      <alignment horizontal="left"/>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xf>
    <xf numFmtId="0" fontId="9" fillId="2" borderId="0" xfId="0" applyFont="1" applyFill="1"/>
    <xf numFmtId="0" fontId="7" fillId="0" borderId="0" xfId="0" applyFont="1"/>
    <xf numFmtId="0" fontId="9" fillId="9" borderId="0" xfId="0" applyFont="1" applyFill="1" applyAlignment="1">
      <alignment vertical="center"/>
    </xf>
    <xf numFmtId="0" fontId="9" fillId="10" borderId="0" xfId="0" applyFont="1" applyFill="1"/>
    <xf numFmtId="0" fontId="19" fillId="11" borderId="0" xfId="0" applyFont="1" applyFill="1"/>
    <xf numFmtId="0" fontId="9" fillId="10" borderId="0" xfId="0" applyFont="1" applyFill="1" applyAlignment="1">
      <alignment vertical="center"/>
    </xf>
    <xf numFmtId="0" fontId="9" fillId="8" borderId="0" xfId="0" applyFont="1" applyFill="1" applyAlignment="1">
      <alignment vertical="center"/>
    </xf>
    <xf numFmtId="0" fontId="2" fillId="0" borderId="0" xfId="0" applyFont="1"/>
    <xf numFmtId="0" fontId="9" fillId="0" borderId="0" xfId="0" applyFont="1" applyAlignment="1">
      <alignment horizontal="center"/>
    </xf>
    <xf numFmtId="0" fontId="20" fillId="0" borderId="0" xfId="0" applyFont="1" applyAlignment="1">
      <alignment horizontal="left" vertical="center"/>
    </xf>
    <xf numFmtId="0" fontId="1" fillId="0" borderId="0" xfId="0" applyFont="1" applyAlignment="1">
      <alignment vertical="center"/>
    </xf>
    <xf numFmtId="168" fontId="5" fillId="0" borderId="0" xfId="0" applyNumberFormat="1" applyFont="1" applyAlignment="1">
      <alignment horizontal="left" vertical="center"/>
    </xf>
    <xf numFmtId="0" fontId="5" fillId="0" borderId="0" xfId="0" applyFont="1" applyAlignment="1">
      <alignment vertical="center"/>
    </xf>
    <xf numFmtId="0" fontId="9" fillId="12" borderId="4" xfId="0" applyFont="1" applyFill="1" applyBorder="1" applyAlignment="1">
      <alignment horizontal="center" vertical="center" wrapText="1"/>
    </xf>
    <xf numFmtId="169" fontId="6" fillId="0" borderId="0" xfId="0" applyNumberFormat="1" applyFont="1" applyAlignment="1">
      <alignment vertical="center"/>
    </xf>
    <xf numFmtId="0" fontId="5" fillId="0" borderId="4" xfId="0" applyFont="1" applyBorder="1" applyAlignment="1">
      <alignment horizontal="center" vertical="center" wrapText="1"/>
    </xf>
    <xf numFmtId="1" fontId="1" fillId="0" borderId="4" xfId="0" applyNumberFormat="1" applyFont="1" applyBorder="1" applyAlignment="1">
      <alignment horizontal="center" vertical="center"/>
    </xf>
    <xf numFmtId="0" fontId="1" fillId="0" borderId="4" xfId="0" applyFont="1" applyBorder="1" applyAlignment="1">
      <alignment vertical="center" wrapText="1"/>
    </xf>
    <xf numFmtId="4" fontId="1" fillId="2" borderId="4" xfId="1" applyNumberFormat="1" applyFont="1" applyFill="1" applyBorder="1" applyAlignment="1" applyProtection="1">
      <alignment horizontal="center" vertical="center"/>
      <protection locked="0"/>
    </xf>
    <xf numFmtId="4" fontId="1" fillId="0" borderId="4" xfId="1" applyNumberFormat="1" applyFont="1" applyBorder="1" applyAlignment="1" applyProtection="1">
      <alignment horizontal="center" vertical="center"/>
    </xf>
    <xf numFmtId="10" fontId="1" fillId="0" borderId="4" xfId="3" applyNumberFormat="1" applyFont="1" applyBorder="1" applyAlignment="1" applyProtection="1">
      <alignment horizontal="center" vertical="center"/>
    </xf>
    <xf numFmtId="4" fontId="5" fillId="0" borderId="4" xfId="1" applyNumberFormat="1" applyFont="1" applyBorder="1" applyAlignment="1" applyProtection="1">
      <alignment horizontal="center" vertical="center"/>
    </xf>
    <xf numFmtId="3" fontId="1" fillId="0" borderId="4" xfId="0" applyNumberFormat="1" applyFont="1" applyBorder="1" applyAlignment="1">
      <alignment horizontal="center" vertical="center"/>
    </xf>
    <xf numFmtId="164" fontId="12" fillId="7" borderId="4" xfId="1" applyFont="1" applyFill="1" applyBorder="1" applyAlignment="1" applyProtection="1">
      <alignment horizontal="center" vertical="center"/>
    </xf>
    <xf numFmtId="10" fontId="1" fillId="2" borderId="4" xfId="3" applyNumberFormat="1" applyFont="1" applyFill="1" applyBorder="1" applyAlignment="1" applyProtection="1">
      <alignment horizontal="center" vertical="center"/>
      <protection locked="0"/>
    </xf>
    <xf numFmtId="2" fontId="1" fillId="0" borderId="4" xfId="3" applyNumberFormat="1" applyFont="1" applyBorder="1" applyAlignment="1" applyProtection="1">
      <alignment horizontal="center" vertical="center"/>
    </xf>
    <xf numFmtId="10" fontId="1" fillId="13" borderId="4" xfId="3" applyNumberFormat="1" applyFont="1" applyFill="1" applyBorder="1" applyAlignment="1" applyProtection="1">
      <alignment horizontal="center" vertical="center"/>
      <protection locked="0"/>
    </xf>
    <xf numFmtId="4" fontId="1" fillId="13" borderId="4" xfId="1" applyNumberFormat="1" applyFont="1" applyFill="1" applyBorder="1" applyAlignment="1" applyProtection="1">
      <alignment horizontal="center" vertical="center"/>
      <protection locked="0"/>
    </xf>
    <xf numFmtId="2" fontId="1" fillId="13" borderId="4" xfId="3" applyNumberFormat="1" applyFont="1" applyFill="1" applyBorder="1" applyAlignment="1" applyProtection="1">
      <alignment horizontal="center" vertical="center"/>
    </xf>
    <xf numFmtId="4" fontId="1" fillId="0" borderId="4" xfId="0" applyNumberFormat="1" applyFont="1" applyBorder="1" applyAlignment="1">
      <alignment horizontal="center" vertical="center"/>
    </xf>
    <xf numFmtId="0" fontId="5" fillId="0" borderId="4" xfId="0" applyFont="1" applyBorder="1" applyAlignment="1">
      <alignment vertical="center"/>
    </xf>
    <xf numFmtId="164" fontId="1" fillId="0" borderId="4" xfId="0" applyNumberFormat="1" applyFont="1" applyBorder="1" applyAlignment="1">
      <alignment vertical="center"/>
    </xf>
    <xf numFmtId="0" fontId="5" fillId="0" borderId="12" xfId="0" applyFont="1" applyBorder="1" applyAlignment="1">
      <alignment horizontal="center" vertical="center"/>
    </xf>
    <xf numFmtId="4" fontId="5" fillId="0" borderId="12" xfId="1" applyNumberFormat="1" applyFont="1" applyBorder="1" applyAlignment="1" applyProtection="1">
      <alignment horizontal="center" vertical="center"/>
    </xf>
    <xf numFmtId="0" fontId="1" fillId="0" borderId="40" xfId="0" applyFont="1" applyBorder="1" applyAlignment="1">
      <alignment vertical="center"/>
    </xf>
    <xf numFmtId="10" fontId="5" fillId="0" borderId="4" xfId="3" applyNumberFormat="1" applyFont="1" applyBorder="1" applyAlignment="1" applyProtection="1">
      <alignment horizontal="center" vertical="center"/>
    </xf>
    <xf numFmtId="2" fontId="1" fillId="2" borderId="4" xfId="0" applyNumberFormat="1" applyFont="1" applyFill="1" applyBorder="1" applyAlignment="1" applyProtection="1">
      <alignment horizontal="center" vertical="center"/>
      <protection locked="0"/>
    </xf>
    <xf numFmtId="0" fontId="1" fillId="0" borderId="18" xfId="0" applyFont="1" applyBorder="1" applyAlignment="1">
      <alignment vertical="center"/>
    </xf>
    <xf numFmtId="0" fontId="1" fillId="0" borderId="41" xfId="0" applyFont="1" applyBorder="1" applyAlignment="1">
      <alignment vertical="center"/>
    </xf>
    <xf numFmtId="164" fontId="1" fillId="0" borderId="21" xfId="1" applyFont="1" applyBorder="1" applyAlignment="1" applyProtection="1">
      <alignment vertical="center"/>
    </xf>
    <xf numFmtId="0" fontId="1" fillId="0" borderId="40" xfId="0" applyFont="1" applyBorder="1" applyAlignment="1">
      <alignment horizontal="center" vertical="center"/>
    </xf>
    <xf numFmtId="4" fontId="21" fillId="0" borderId="4" xfId="0" applyNumberFormat="1" applyFont="1" applyBorder="1" applyAlignment="1">
      <alignment horizontal="center" vertical="center"/>
    </xf>
    <xf numFmtId="10" fontId="1" fillId="2" borderId="4" xfId="0" applyNumberFormat="1" applyFont="1" applyFill="1" applyBorder="1" applyAlignment="1" applyProtection="1">
      <alignment horizontal="center" vertical="center"/>
      <protection locked="0"/>
    </xf>
    <xf numFmtId="9" fontId="38" fillId="14" borderId="4" xfId="3" applyFill="1" applyBorder="1" applyAlignment="1" applyProtection="1">
      <alignment horizontal="center"/>
      <protection locked="0"/>
    </xf>
    <xf numFmtId="10" fontId="38" fillId="14" borderId="4" xfId="3" applyNumberFormat="1" applyFill="1" applyBorder="1" applyAlignment="1" applyProtection="1">
      <alignment horizontal="center"/>
      <protection locked="0"/>
    </xf>
    <xf numFmtId="164" fontId="1" fillId="0" borderId="0" xfId="1" applyFont="1" applyBorder="1" applyProtection="1"/>
    <xf numFmtId="0" fontId="2" fillId="0" borderId="1" xfId="0" applyFont="1" applyBorder="1"/>
    <xf numFmtId="0" fontId="2" fillId="0" borderId="44" xfId="0" applyFont="1" applyBorder="1" applyAlignment="1">
      <alignment vertical="center"/>
    </xf>
    <xf numFmtId="0" fontId="2" fillId="0" borderId="3" xfId="0" applyFont="1" applyBorder="1"/>
    <xf numFmtId="0" fontId="2" fillId="0" borderId="45" xfId="0" applyFont="1" applyBorder="1" applyAlignment="1">
      <alignment vertical="center"/>
    </xf>
    <xf numFmtId="0" fontId="10" fillId="0" borderId="3" xfId="0" applyFont="1" applyBorder="1"/>
    <xf numFmtId="0" fontId="23" fillId="0" borderId="17" xfId="0" applyFont="1" applyBorder="1" applyAlignment="1">
      <alignment horizontal="center"/>
    </xf>
    <xf numFmtId="0" fontId="23" fillId="0" borderId="4" xfId="0" applyFont="1" applyBorder="1" applyAlignment="1">
      <alignment horizontal="center"/>
    </xf>
    <xf numFmtId="0" fontId="23" fillId="0" borderId="19" xfId="0" applyFont="1" applyBorder="1" applyAlignment="1">
      <alignment horizontal="center"/>
    </xf>
    <xf numFmtId="0" fontId="24" fillId="12" borderId="17" xfId="0" applyFont="1" applyFill="1" applyBorder="1" applyAlignment="1">
      <alignment horizontal="center" vertical="center"/>
    </xf>
    <xf numFmtId="0" fontId="10" fillId="0" borderId="17" xfId="0" applyFont="1" applyBorder="1" applyAlignment="1">
      <alignment horizontal="center" vertical="center"/>
    </xf>
    <xf numFmtId="0" fontId="10" fillId="0" borderId="4" xfId="0" applyFont="1" applyBorder="1" applyAlignment="1">
      <alignment vertical="center"/>
    </xf>
    <xf numFmtId="10" fontId="10" fillId="2" borderId="19" xfId="0" applyNumberFormat="1" applyFont="1" applyFill="1" applyBorder="1" applyAlignment="1" applyProtection="1">
      <alignment horizontal="center" vertical="center"/>
      <protection locked="0"/>
    </xf>
    <xf numFmtId="10" fontId="10" fillId="0" borderId="19" xfId="0" applyNumberFormat="1" applyFont="1" applyBorder="1" applyAlignment="1">
      <alignment horizontal="center" vertical="center"/>
    </xf>
    <xf numFmtId="2" fontId="0" fillId="0" borderId="0" xfId="0" applyNumberFormat="1"/>
    <xf numFmtId="10" fontId="24" fillId="12" borderId="19" xfId="0" applyNumberFormat="1" applyFont="1" applyFill="1" applyBorder="1" applyAlignment="1">
      <alignment horizontal="center" vertical="center"/>
    </xf>
    <xf numFmtId="0" fontId="10" fillId="0" borderId="18" xfId="0" applyFont="1" applyBorder="1" applyAlignment="1">
      <alignment vertical="center"/>
    </xf>
    <xf numFmtId="10" fontId="19" fillId="16" borderId="19" xfId="3" applyNumberFormat="1" applyFont="1" applyFill="1" applyBorder="1" applyAlignment="1" applyProtection="1">
      <alignment horizontal="center" vertical="center"/>
    </xf>
    <xf numFmtId="10" fontId="25" fillId="0" borderId="19" xfId="0" applyNumberFormat="1" applyFont="1" applyBorder="1" applyAlignment="1">
      <alignment horizontal="center" vertical="center"/>
    </xf>
    <xf numFmtId="10" fontId="16" fillId="0" borderId="14" xfId="0" applyNumberFormat="1" applyFont="1" applyBorder="1" applyAlignment="1">
      <alignment horizontal="center" vertical="center"/>
    </xf>
    <xf numFmtId="10" fontId="26" fillId="0" borderId="19" xfId="0" applyNumberFormat="1" applyFont="1" applyBorder="1" applyAlignment="1">
      <alignment horizontal="center" vertical="center"/>
    </xf>
    <xf numFmtId="0" fontId="25" fillId="0" borderId="17" xfId="0" applyFont="1" applyBorder="1" applyAlignment="1">
      <alignment horizontal="center" vertical="center"/>
    </xf>
    <xf numFmtId="0" fontId="25" fillId="0" borderId="4" xfId="0" applyFont="1" applyBorder="1" applyAlignment="1">
      <alignment horizontal="left" vertical="center"/>
    </xf>
    <xf numFmtId="0" fontId="9" fillId="17" borderId="17" xfId="0" applyFont="1" applyFill="1" applyBorder="1" applyAlignment="1">
      <alignment horizontal="center" vertical="center" wrapText="1"/>
    </xf>
    <xf numFmtId="0" fontId="9" fillId="17" borderId="4" xfId="0" applyFont="1" applyFill="1" applyBorder="1" applyAlignment="1">
      <alignment horizontal="center" vertical="center" wrapText="1"/>
    </xf>
    <xf numFmtId="0" fontId="8" fillId="17" borderId="19" xfId="0" applyFont="1" applyFill="1" applyBorder="1" applyAlignment="1">
      <alignment horizontal="center" vertical="center" wrapText="1"/>
    </xf>
    <xf numFmtId="10" fontId="9" fillId="17" borderId="4" xfId="0" applyNumberFormat="1" applyFont="1" applyFill="1" applyBorder="1" applyAlignment="1">
      <alignment horizontal="center" vertical="center"/>
    </xf>
    <xf numFmtId="10" fontId="11" fillId="17" borderId="19" xfId="0" applyNumberFormat="1" applyFont="1" applyFill="1" applyBorder="1" applyAlignment="1">
      <alignment horizontal="center" vertical="center"/>
    </xf>
    <xf numFmtId="0" fontId="10" fillId="0" borderId="17" xfId="0" applyFont="1" applyBorder="1" applyAlignment="1">
      <alignment horizontal="center" vertical="center" wrapText="1"/>
    </xf>
    <xf numFmtId="10" fontId="10" fillId="0" borderId="4" xfId="0" applyNumberFormat="1" applyFont="1" applyBorder="1" applyAlignment="1">
      <alignment horizontal="center" vertical="center"/>
    </xf>
    <xf numFmtId="0" fontId="25" fillId="17" borderId="17" xfId="0" applyFont="1" applyFill="1" applyBorder="1" applyAlignment="1">
      <alignment horizontal="center" vertical="center" wrapText="1"/>
    </xf>
    <xf numFmtId="10" fontId="25" fillId="17" borderId="4" xfId="0" applyNumberFormat="1" applyFont="1" applyFill="1" applyBorder="1" applyAlignment="1">
      <alignment horizontal="center" vertical="center"/>
    </xf>
    <xf numFmtId="10" fontId="25" fillId="17" borderId="19" xfId="0" applyNumberFormat="1" applyFont="1" applyFill="1" applyBorder="1" applyAlignment="1">
      <alignment horizontal="center" vertical="center"/>
    </xf>
    <xf numFmtId="10" fontId="10" fillId="0" borderId="47" xfId="0" applyNumberFormat="1" applyFont="1" applyBorder="1" applyAlignment="1">
      <alignment horizontal="center" vertical="center"/>
    </xf>
    <xf numFmtId="0" fontId="25" fillId="0" borderId="17" xfId="0" applyFont="1" applyBorder="1" applyAlignment="1">
      <alignment horizontal="center" vertical="center" wrapText="1"/>
    </xf>
    <xf numFmtId="10" fontId="25" fillId="0" borderId="4" xfId="0" applyNumberFormat="1" applyFont="1" applyBorder="1" applyAlignment="1">
      <alignment horizontal="center" vertical="center"/>
    </xf>
    <xf numFmtId="10" fontId="28" fillId="0" borderId="47" xfId="0" applyNumberFormat="1" applyFont="1" applyBorder="1" applyAlignment="1">
      <alignment horizontal="center" vertical="center"/>
    </xf>
    <xf numFmtId="0" fontId="19" fillId="16" borderId="3" xfId="0" applyFont="1" applyFill="1" applyBorder="1" applyAlignment="1">
      <alignment horizontal="left" vertical="center"/>
    </xf>
    <xf numFmtId="0" fontId="19" fillId="16" borderId="0" xfId="0" applyFont="1" applyFill="1"/>
    <xf numFmtId="0" fontId="19" fillId="16" borderId="45" xfId="0" applyFont="1" applyFill="1" applyBorder="1"/>
    <xf numFmtId="10" fontId="10" fillId="0" borderId="4" xfId="0" applyNumberFormat="1" applyFont="1" applyBorder="1" applyAlignment="1">
      <alignment horizontal="center" vertical="center" wrapText="1"/>
    </xf>
    <xf numFmtId="10" fontId="10" fillId="0" borderId="19" xfId="0" applyNumberFormat="1" applyFont="1" applyBorder="1" applyAlignment="1">
      <alignment horizontal="center" vertical="center" wrapText="1"/>
    </xf>
    <xf numFmtId="0" fontId="25" fillId="17" borderId="22" xfId="0" applyFont="1" applyFill="1" applyBorder="1" applyAlignment="1">
      <alignment horizontal="center" vertical="center" wrapText="1"/>
    </xf>
    <xf numFmtId="10" fontId="25" fillId="17" borderId="23" xfId="0" applyNumberFormat="1" applyFont="1" applyFill="1" applyBorder="1" applyAlignment="1">
      <alignment horizontal="center" vertical="center"/>
    </xf>
    <xf numFmtId="10" fontId="28" fillId="17" borderId="25" xfId="0" applyNumberFormat="1" applyFont="1" applyFill="1" applyBorder="1" applyAlignment="1">
      <alignment horizontal="center" vertical="center"/>
    </xf>
    <xf numFmtId="0" fontId="9" fillId="0" borderId="1" xfId="0" applyFont="1" applyBorder="1"/>
    <xf numFmtId="0" fontId="9" fillId="0" borderId="2" xfId="0" applyFont="1" applyBorder="1"/>
    <xf numFmtId="0" fontId="9" fillId="0" borderId="44" xfId="0" applyFont="1" applyBorder="1"/>
    <xf numFmtId="0" fontId="9" fillId="0" borderId="3" xfId="0" applyFont="1" applyBorder="1"/>
    <xf numFmtId="0" fontId="9" fillId="0" borderId="45" xfId="0" applyFont="1" applyBorder="1"/>
    <xf numFmtId="0" fontId="20" fillId="0" borderId="0" xfId="0" applyFont="1" applyAlignment="1">
      <alignment horizontal="center" vertical="center"/>
    </xf>
    <xf numFmtId="0" fontId="5" fillId="0" borderId="0" xfId="0" applyFont="1" applyAlignment="1">
      <alignment horizontal="center" vertical="center"/>
    </xf>
    <xf numFmtId="0" fontId="7" fillId="12" borderId="4" xfId="0" applyFont="1" applyFill="1" applyBorder="1" applyAlignment="1">
      <alignment horizontal="center" vertical="center" wrapText="1"/>
    </xf>
    <xf numFmtId="0" fontId="7" fillId="12" borderId="4" xfId="0" applyFont="1" applyFill="1" applyBorder="1" applyAlignment="1">
      <alignment horizontal="center" vertical="center"/>
    </xf>
    <xf numFmtId="0" fontId="7" fillId="18" borderId="4" xfId="0" applyFont="1" applyFill="1" applyBorder="1" applyAlignment="1">
      <alignment horizontal="center" vertical="center" wrapText="1"/>
    </xf>
    <xf numFmtId="0" fontId="25" fillId="12" borderId="4" xfId="0" applyFont="1" applyFill="1" applyBorder="1" applyAlignment="1">
      <alignment horizontal="center" vertical="center" wrapText="1"/>
    </xf>
    <xf numFmtId="0" fontId="7" fillId="18" borderId="12" xfId="0" applyFont="1" applyFill="1" applyBorder="1" applyAlignment="1">
      <alignment horizontal="center" vertical="center" wrapText="1"/>
    </xf>
    <xf numFmtId="0" fontId="7" fillId="18" borderId="13"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9" fillId="0" borderId="17" xfId="0" applyFont="1" applyBorder="1" applyAlignment="1">
      <alignment horizontal="center" vertical="center"/>
    </xf>
    <xf numFmtId="0" fontId="9" fillId="0" borderId="4" xfId="0" applyFont="1" applyBorder="1" applyAlignment="1">
      <alignment horizontal="left" vertical="center" wrapText="1"/>
    </xf>
    <xf numFmtId="0" fontId="10" fillId="0" borderId="4"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wrapText="1"/>
    </xf>
    <xf numFmtId="2" fontId="9" fillId="2" borderId="4" xfId="0" applyNumberFormat="1" applyFont="1" applyFill="1" applyBorder="1" applyAlignment="1" applyProtection="1">
      <alignment horizontal="center" vertical="center"/>
      <protection locked="0"/>
    </xf>
    <xf numFmtId="0" fontId="9" fillId="2" borderId="19" xfId="0" applyFont="1" applyFill="1" applyBorder="1" applyAlignment="1" applyProtection="1">
      <alignment vertical="center"/>
      <protection locked="0"/>
    </xf>
    <xf numFmtId="2" fontId="9" fillId="0" borderId="4" xfId="0" applyNumberFormat="1" applyFont="1" applyBorder="1" applyAlignment="1">
      <alignment horizontal="center" vertical="center"/>
    </xf>
    <xf numFmtId="0" fontId="16" fillId="0" borderId="4" xfId="0" applyFont="1" applyBorder="1" applyAlignment="1">
      <alignment wrapText="1"/>
    </xf>
    <xf numFmtId="0" fontId="9" fillId="0" borderId="4" xfId="0" applyFont="1" applyBorder="1" applyAlignment="1">
      <alignment horizontal="center" vertical="center" wrapText="1"/>
    </xf>
    <xf numFmtId="0" fontId="9" fillId="0" borderId="18" xfId="0" applyFont="1" applyBorder="1" applyAlignment="1">
      <alignment horizontal="center" vertical="center" wrapText="1"/>
    </xf>
    <xf numFmtId="0" fontId="11" fillId="0" borderId="17" xfId="0" applyFont="1" applyBorder="1" applyAlignment="1">
      <alignment horizontal="center" vertical="center"/>
    </xf>
    <xf numFmtId="0" fontId="16" fillId="0" borderId="4" xfId="0" applyFont="1" applyBorder="1" applyAlignment="1">
      <alignment vertical="center" wrapText="1"/>
    </xf>
    <xf numFmtId="0" fontId="16" fillId="0" borderId="0" xfId="0" applyFont="1" applyAlignment="1">
      <alignment wrapText="1"/>
    </xf>
    <xf numFmtId="170" fontId="7" fillId="12" borderId="25" xfId="0" applyNumberFormat="1" applyFont="1" applyFill="1" applyBorder="1" applyAlignment="1">
      <alignment vertical="center"/>
    </xf>
    <xf numFmtId="0" fontId="18" fillId="12" borderId="4" xfId="0" applyFont="1" applyFill="1" applyBorder="1" applyAlignment="1">
      <alignment horizontal="center" vertical="center"/>
    </xf>
    <xf numFmtId="2" fontId="18" fillId="12" borderId="4" xfId="0" applyNumberFormat="1" applyFont="1" applyFill="1" applyBorder="1" applyAlignment="1">
      <alignment horizontal="center" vertical="center"/>
    </xf>
    <xf numFmtId="0" fontId="11" fillId="0" borderId="0" xfId="0" applyFont="1" applyAlignment="1">
      <alignment horizontal="center" vertical="center"/>
    </xf>
    <xf numFmtId="0" fontId="9" fillId="0" borderId="3" xfId="0" applyFont="1" applyBorder="1" applyAlignment="1">
      <alignment horizontal="center" vertical="center"/>
    </xf>
    <xf numFmtId="0" fontId="0" fillId="0" borderId="45" xfId="0" applyBorder="1"/>
    <xf numFmtId="0" fontId="7" fillId="0" borderId="3" xfId="0" applyFont="1" applyBorder="1" applyAlignment="1">
      <alignment horizontal="center" vertical="center"/>
    </xf>
    <xf numFmtId="0" fontId="7" fillId="0" borderId="45" xfId="0" applyFont="1" applyBorder="1" applyAlignment="1">
      <alignment horizontal="center" vertical="center"/>
    </xf>
    <xf numFmtId="0" fontId="25" fillId="18" borderId="12" xfId="0" applyFont="1" applyFill="1" applyBorder="1" applyAlignment="1">
      <alignment horizontal="center" vertical="center" wrapText="1"/>
    </xf>
    <xf numFmtId="0" fontId="7" fillId="2" borderId="19" xfId="0" applyFont="1" applyFill="1" applyBorder="1" applyAlignment="1" applyProtection="1">
      <alignment horizontal="center" vertical="center"/>
      <protection locked="0"/>
    </xf>
    <xf numFmtId="0" fontId="14" fillId="0" borderId="17" xfId="0" applyFont="1" applyBorder="1" applyAlignment="1">
      <alignment horizontal="center" vertical="center"/>
    </xf>
    <xf numFmtId="170" fontId="7" fillId="0" borderId="25" xfId="0" applyNumberFormat="1" applyFont="1" applyBorder="1" applyAlignment="1">
      <alignment vertical="center"/>
    </xf>
    <xf numFmtId="0" fontId="18" fillId="12" borderId="4" xfId="0" applyFont="1" applyFill="1" applyBorder="1" applyAlignment="1">
      <alignment horizontal="center"/>
    </xf>
    <xf numFmtId="2" fontId="18" fillId="12" borderId="4" xfId="0" applyNumberFormat="1" applyFont="1" applyFill="1" applyBorder="1" applyAlignment="1">
      <alignment horizontal="center"/>
    </xf>
    <xf numFmtId="0" fontId="6" fillId="0" borderId="2" xfId="0" applyFont="1" applyBorder="1" applyAlignment="1">
      <alignment horizontal="center"/>
    </xf>
    <xf numFmtId="0" fontId="6" fillId="0" borderId="2" xfId="0" applyFont="1" applyBorder="1"/>
    <xf numFmtId="0" fontId="6" fillId="0" borderId="44" xfId="0" applyFont="1" applyBorder="1"/>
    <xf numFmtId="0" fontId="6" fillId="0" borderId="0" xfId="0" applyFont="1" applyAlignment="1">
      <alignment horizontal="center"/>
    </xf>
    <xf numFmtId="0" fontId="6" fillId="0" borderId="0" xfId="0" applyFont="1"/>
    <xf numFmtId="0" fontId="6" fillId="0" borderId="45" xfId="0" applyFont="1" applyBorder="1"/>
    <xf numFmtId="0" fontId="18" fillId="0" borderId="3" xfId="0" applyFont="1" applyBorder="1" applyAlignment="1">
      <alignment horizontal="center" vertical="center"/>
    </xf>
    <xf numFmtId="9" fontId="30" fillId="0" borderId="45" xfId="0" applyNumberFormat="1" applyFont="1" applyBorder="1" applyAlignment="1">
      <alignment horizontal="center" vertical="center"/>
    </xf>
    <xf numFmtId="0" fontId="7" fillId="12" borderId="17" xfId="0" applyFont="1" applyFill="1" applyBorder="1" applyAlignment="1">
      <alignment horizontal="center" vertical="center" wrapText="1"/>
    </xf>
    <xf numFmtId="4" fontId="7" fillId="12" borderId="4" xfId="0" applyNumberFormat="1" applyFont="1" applyFill="1" applyBorder="1" applyAlignment="1">
      <alignment horizontal="center" vertical="center" wrapText="1"/>
    </xf>
    <xf numFmtId="4" fontId="7" fillId="12" borderId="19" xfId="0" applyNumberFormat="1" applyFont="1" applyFill="1" applyBorder="1" applyAlignment="1">
      <alignment horizontal="center" vertical="center" wrapText="1"/>
    </xf>
    <xf numFmtId="0" fontId="7" fillId="0" borderId="17" xfId="1" applyNumberFormat="1" applyFont="1" applyBorder="1" applyAlignment="1" applyProtection="1">
      <alignment horizontal="center" vertical="center"/>
    </xf>
    <xf numFmtId="0" fontId="26" fillId="0" borderId="4" xfId="0" applyFont="1" applyBorder="1" applyAlignment="1">
      <alignment horizontal="justify" vertical="center" wrapText="1"/>
    </xf>
    <xf numFmtId="0" fontId="16" fillId="0" borderId="4" xfId="0" applyFont="1" applyBorder="1" applyAlignment="1">
      <alignment horizontal="center" vertical="center"/>
    </xf>
    <xf numFmtId="0" fontId="16" fillId="14" borderId="4" xfId="0" applyFont="1" applyFill="1" applyBorder="1" applyAlignment="1" applyProtection="1">
      <alignment horizontal="center" vertical="center"/>
      <protection locked="0"/>
    </xf>
    <xf numFmtId="4" fontId="9" fillId="0" borderId="4" xfId="1" applyNumberFormat="1" applyFont="1" applyBorder="1" applyAlignment="1" applyProtection="1">
      <alignment horizontal="center" vertical="center"/>
    </xf>
    <xf numFmtId="4" fontId="9" fillId="0" borderId="19" xfId="1" applyNumberFormat="1" applyFont="1" applyBorder="1" applyAlignment="1" applyProtection="1">
      <alignment horizontal="center" vertical="center"/>
    </xf>
    <xf numFmtId="4" fontId="26" fillId="12" borderId="25" xfId="1" applyNumberFormat="1" applyFont="1" applyFill="1" applyBorder="1" applyAlignment="1" applyProtection="1">
      <alignment horizontal="center" vertical="center"/>
    </xf>
    <xf numFmtId="0" fontId="9" fillId="0" borderId="4" xfId="1" applyNumberFormat="1" applyFont="1" applyBorder="1" applyAlignment="1" applyProtection="1">
      <alignment horizontal="center" vertical="center"/>
    </xf>
    <xf numFmtId="4" fontId="9" fillId="2" borderId="4" xfId="1" applyNumberFormat="1" applyFont="1" applyFill="1" applyBorder="1" applyAlignment="1" applyProtection="1">
      <alignment horizontal="center" vertical="center"/>
      <protection locked="0"/>
    </xf>
    <xf numFmtId="4" fontId="9" fillId="0" borderId="0" xfId="0" applyNumberFormat="1" applyFont="1" applyAlignment="1">
      <alignment horizontal="center"/>
    </xf>
    <xf numFmtId="0" fontId="2" fillId="0" borderId="1" xfId="0" applyFont="1" applyBorder="1" applyAlignment="1">
      <alignment vertical="center"/>
    </xf>
    <xf numFmtId="0" fontId="9" fillId="0" borderId="2" xfId="0" applyFont="1" applyBorder="1" applyAlignment="1">
      <alignment vertical="center"/>
    </xf>
    <xf numFmtId="4" fontId="9" fillId="0" borderId="2" xfId="0" applyNumberFormat="1" applyFont="1" applyBorder="1" applyAlignment="1">
      <alignment horizontal="center" vertical="center"/>
    </xf>
    <xf numFmtId="4" fontId="9" fillId="0" borderId="2" xfId="0" applyNumberFormat="1" applyFont="1" applyBorder="1" applyAlignment="1">
      <alignment horizontal="center"/>
    </xf>
    <xf numFmtId="4" fontId="9" fillId="0" borderId="44" xfId="0" applyNumberFormat="1" applyFont="1" applyBorder="1" applyAlignment="1">
      <alignment horizontal="center"/>
    </xf>
    <xf numFmtId="0" fontId="2" fillId="0" borderId="3" xfId="0" applyFont="1" applyBorder="1" applyAlignment="1">
      <alignment vertical="center"/>
    </xf>
    <xf numFmtId="4" fontId="9" fillId="0" borderId="0" xfId="0" applyNumberFormat="1" applyFont="1" applyAlignment="1">
      <alignment horizontal="center" vertical="center"/>
    </xf>
    <xf numFmtId="4" fontId="9" fillId="0" borderId="45" xfId="0" applyNumberFormat="1" applyFont="1" applyBorder="1" applyAlignment="1">
      <alignment horizontal="center"/>
    </xf>
    <xf numFmtId="0" fontId="10" fillId="0" borderId="0" xfId="0" applyFont="1"/>
    <xf numFmtId="0" fontId="9" fillId="12" borderId="53" xfId="0" applyFont="1" applyFill="1" applyBorder="1" applyAlignment="1">
      <alignment vertical="center" wrapText="1"/>
    </xf>
    <xf numFmtId="0" fontId="10" fillId="0" borderId="57" xfId="0" applyFont="1" applyBorder="1" applyAlignment="1">
      <alignment horizontal="center" vertical="center"/>
    </xf>
    <xf numFmtId="0" fontId="9" fillId="0" borderId="48" xfId="0" applyFont="1" applyBorder="1" applyAlignment="1">
      <alignment horizontal="center" vertical="center"/>
    </xf>
    <xf numFmtId="4" fontId="9" fillId="12" borderId="4" xfId="0" applyNumberFormat="1" applyFont="1" applyFill="1" applyBorder="1" applyAlignment="1">
      <alignment horizontal="center" vertical="center"/>
    </xf>
    <xf numFmtId="4" fontId="9" fillId="0" borderId="4" xfId="0" applyNumberFormat="1" applyFont="1" applyBorder="1" applyAlignment="1">
      <alignment horizontal="center" vertical="center"/>
    </xf>
    <xf numFmtId="4" fontId="9" fillId="0" borderId="19" xfId="0" applyNumberFormat="1" applyFont="1" applyBorder="1" applyAlignment="1">
      <alignment horizontal="center" vertical="center"/>
    </xf>
    <xf numFmtId="10" fontId="9" fillId="0" borderId="4" xfId="0" applyNumberFormat="1" applyFont="1" applyBorder="1" applyAlignment="1">
      <alignment horizontal="center" vertical="center"/>
    </xf>
    <xf numFmtId="0" fontId="9" fillId="0" borderId="43" xfId="0" applyFont="1" applyBorder="1" applyAlignment="1">
      <alignment vertical="center" wrapText="1"/>
    </xf>
    <xf numFmtId="10" fontId="9" fillId="0" borderId="43" xfId="0" applyNumberFormat="1" applyFont="1" applyBorder="1" applyAlignment="1">
      <alignment horizontal="center" vertical="center"/>
    </xf>
    <xf numFmtId="4" fontId="9" fillId="12" borderId="43" xfId="0" applyNumberFormat="1" applyFont="1" applyFill="1" applyBorder="1" applyAlignment="1">
      <alignment horizontal="center" vertical="center"/>
    </xf>
    <xf numFmtId="4" fontId="9" fillId="0" borderId="43" xfId="0" applyNumberFormat="1" applyFont="1" applyBorder="1" applyAlignment="1">
      <alignment horizontal="center" vertical="center"/>
    </xf>
    <xf numFmtId="4" fontId="9" fillId="0" borderId="58" xfId="0" applyNumberFormat="1" applyFont="1" applyBorder="1" applyAlignment="1">
      <alignment horizontal="center" vertical="center"/>
    </xf>
    <xf numFmtId="4" fontId="7" fillId="12" borderId="4" xfId="0" applyNumberFormat="1" applyFont="1" applyFill="1" applyBorder="1" applyAlignment="1">
      <alignment horizontal="center" vertical="center"/>
    </xf>
    <xf numFmtId="4" fontId="7" fillId="12" borderId="19" xfId="0" applyNumberFormat="1" applyFont="1" applyFill="1" applyBorder="1" applyAlignment="1">
      <alignment horizontal="center" vertical="center"/>
    </xf>
    <xf numFmtId="10" fontId="9" fillId="0" borderId="12" xfId="0" applyNumberFormat="1" applyFont="1" applyBorder="1" applyAlignment="1">
      <alignment horizontal="center" vertical="center"/>
    </xf>
    <xf numFmtId="4" fontId="7" fillId="12" borderId="7" xfId="0" applyNumberFormat="1" applyFont="1" applyFill="1" applyBorder="1" applyAlignment="1">
      <alignment horizontal="center" vertical="center"/>
    </xf>
    <xf numFmtId="4" fontId="7" fillId="12" borderId="8" xfId="0" applyNumberFormat="1" applyFont="1" applyFill="1" applyBorder="1" applyAlignment="1">
      <alignment horizontal="center" vertical="center"/>
    </xf>
    <xf numFmtId="0" fontId="9" fillId="0" borderId="17" xfId="0" applyFont="1" applyBorder="1" applyAlignment="1">
      <alignment horizontal="left" vertical="center"/>
    </xf>
    <xf numFmtId="2" fontId="9" fillId="0" borderId="4" xfId="1" applyNumberFormat="1" applyFont="1" applyBorder="1" applyAlignment="1" applyProtection="1">
      <alignment horizontal="center" vertical="center"/>
    </xf>
    <xf numFmtId="10" fontId="9" fillId="0" borderId="4" xfId="3" applyNumberFormat="1" applyFont="1" applyBorder="1" applyAlignment="1" applyProtection="1">
      <alignment horizontal="center" vertical="center"/>
    </xf>
    <xf numFmtId="2" fontId="9" fillId="0" borderId="43" xfId="1" applyNumberFormat="1" applyFont="1" applyBorder="1" applyAlignment="1" applyProtection="1">
      <alignment horizontal="center" vertical="center"/>
    </xf>
    <xf numFmtId="2" fontId="9" fillId="0" borderId="43" xfId="0" applyNumberFormat="1" applyFont="1" applyBorder="1" applyAlignment="1">
      <alignment horizontal="center" vertical="center"/>
    </xf>
    <xf numFmtId="0" fontId="9" fillId="0" borderId="37" xfId="0" applyFont="1" applyBorder="1" applyAlignment="1">
      <alignment vertical="center"/>
    </xf>
    <xf numFmtId="0" fontId="9" fillId="0" borderId="51" xfId="0" applyFont="1" applyBorder="1" applyAlignment="1">
      <alignment vertical="center"/>
    </xf>
    <xf numFmtId="4" fontId="9" fillId="0" borderId="51" xfId="0" applyNumberFormat="1" applyFont="1" applyBorder="1" applyAlignment="1">
      <alignment vertical="center"/>
    </xf>
    <xf numFmtId="0" fontId="9" fillId="0" borderId="50" xfId="0" applyFont="1" applyBorder="1" applyAlignment="1">
      <alignment vertical="center"/>
    </xf>
    <xf numFmtId="0" fontId="9" fillId="0" borderId="31" xfId="0" applyFont="1" applyBorder="1" applyAlignment="1">
      <alignment vertical="center"/>
    </xf>
    <xf numFmtId="4" fontId="9" fillId="0" borderId="31" xfId="0" applyNumberFormat="1" applyFont="1" applyBorder="1" applyAlignment="1">
      <alignment vertical="center"/>
    </xf>
    <xf numFmtId="0" fontId="7" fillId="12" borderId="59" xfId="0" applyFont="1" applyFill="1" applyBorder="1" applyAlignment="1">
      <alignment vertical="center"/>
    </xf>
    <xf numFmtId="0" fontId="7" fillId="12" borderId="60" xfId="0" applyFont="1" applyFill="1" applyBorder="1" applyAlignment="1">
      <alignment vertical="center"/>
    </xf>
    <xf numFmtId="10" fontId="7" fillId="12" borderId="7" xfId="0" applyNumberFormat="1" applyFont="1" applyFill="1" applyBorder="1" applyAlignment="1">
      <alignment horizontal="center" vertical="center"/>
    </xf>
    <xf numFmtId="4" fontId="7" fillId="12" borderId="7" xfId="0" applyNumberFormat="1" applyFont="1" applyFill="1" applyBorder="1" applyAlignment="1">
      <alignment vertical="center"/>
    </xf>
    <xf numFmtId="4" fontId="7" fillId="12" borderId="61" xfId="0" applyNumberFormat="1" applyFont="1" applyFill="1" applyBorder="1" applyAlignment="1">
      <alignment horizontal="center" vertical="center"/>
    </xf>
    <xf numFmtId="4" fontId="7" fillId="12" borderId="29" xfId="0" applyNumberFormat="1" applyFont="1" applyFill="1" applyBorder="1" applyAlignment="1">
      <alignment horizontal="center" vertical="center"/>
    </xf>
    <xf numFmtId="10" fontId="7" fillId="12" borderId="43" xfId="0" applyNumberFormat="1" applyFont="1" applyFill="1" applyBorder="1" applyAlignment="1">
      <alignment horizontal="center" vertical="center"/>
    </xf>
    <xf numFmtId="4" fontId="7" fillId="12" borderId="43" xfId="0" applyNumberFormat="1" applyFont="1" applyFill="1" applyBorder="1" applyAlignment="1">
      <alignment horizontal="center" vertical="center"/>
    </xf>
    <xf numFmtId="4" fontId="7" fillId="12" borderId="54" xfId="0" applyNumberFormat="1" applyFont="1" applyFill="1" applyBorder="1" applyAlignment="1">
      <alignment horizontal="center" vertical="center"/>
    </xf>
    <xf numFmtId="4" fontId="7" fillId="12" borderId="62" xfId="0" applyNumberFormat="1" applyFont="1" applyFill="1" applyBorder="1" applyAlignment="1">
      <alignment horizontal="center" vertical="center"/>
    </xf>
    <xf numFmtId="4" fontId="18" fillId="12" borderId="4" xfId="0" applyNumberFormat="1" applyFont="1" applyFill="1" applyBorder="1" applyAlignment="1">
      <alignment horizontal="center" vertical="center"/>
    </xf>
    <xf numFmtId="4" fontId="18" fillId="12" borderId="19" xfId="0" applyNumberFormat="1" applyFont="1" applyFill="1" applyBorder="1" applyAlignment="1">
      <alignment horizontal="center" vertical="center"/>
    </xf>
    <xf numFmtId="164" fontId="9" fillId="0" borderId="0" xfId="0" applyNumberFormat="1" applyFont="1"/>
    <xf numFmtId="2" fontId="18" fillId="12" borderId="23" xfId="0" applyNumberFormat="1" applyFont="1" applyFill="1" applyBorder="1" applyAlignment="1">
      <alignment horizontal="center" vertical="center"/>
    </xf>
    <xf numFmtId="166" fontId="7" fillId="15" borderId="25" xfId="2" applyFont="1" applyFill="1" applyBorder="1" applyAlignment="1" applyProtection="1">
      <alignment horizontal="center" vertical="center"/>
    </xf>
    <xf numFmtId="0" fontId="2" fillId="0" borderId="2" xfId="0" applyFont="1" applyBorder="1"/>
    <xf numFmtId="0" fontId="1" fillId="0" borderId="2" xfId="0" applyFont="1" applyBorder="1"/>
    <xf numFmtId="0" fontId="1" fillId="0" borderId="44" xfId="0" applyFont="1" applyBorder="1"/>
    <xf numFmtId="0" fontId="1" fillId="0" borderId="3" xfId="0" applyFont="1" applyBorder="1"/>
    <xf numFmtId="0" fontId="1" fillId="0" borderId="45" xfId="0" applyFont="1" applyBorder="1"/>
    <xf numFmtId="0" fontId="31" fillId="0" borderId="0" xfId="0" applyFont="1" applyAlignment="1">
      <alignment vertical="center"/>
    </xf>
    <xf numFmtId="0" fontId="6" fillId="12" borderId="59" xfId="0" applyFont="1" applyFill="1" applyBorder="1" applyAlignment="1">
      <alignment vertical="center"/>
    </xf>
    <xf numFmtId="0" fontId="32" fillId="12" borderId="60" xfId="0" applyFont="1" applyFill="1" applyBorder="1" applyAlignment="1">
      <alignment vertical="center"/>
    </xf>
    <xf numFmtId="0" fontId="20" fillId="12" borderId="60" xfId="0" applyFont="1" applyFill="1" applyBorder="1" applyAlignment="1">
      <alignment vertical="center"/>
    </xf>
    <xf numFmtId="0" fontId="18" fillId="12" borderId="60" xfId="0" applyFont="1" applyFill="1" applyBorder="1" applyAlignment="1">
      <alignment vertical="center"/>
    </xf>
    <xf numFmtId="0" fontId="6" fillId="12" borderId="60" xfId="0" applyFont="1" applyFill="1" applyBorder="1" applyAlignment="1">
      <alignment vertical="center"/>
    </xf>
    <xf numFmtId="0" fontId="5" fillId="12" borderId="2" xfId="0" applyFont="1" applyFill="1" applyBorder="1" applyAlignment="1">
      <alignment horizontal="center" vertical="center" wrapText="1"/>
    </xf>
    <xf numFmtId="0" fontId="9" fillId="12" borderId="22" xfId="0" applyFont="1" applyFill="1" applyBorder="1" applyAlignment="1">
      <alignment horizontal="center" vertical="center" wrapText="1"/>
    </xf>
    <xf numFmtId="0" fontId="10" fillId="12" borderId="25" xfId="0" applyFont="1" applyFill="1" applyBorder="1" applyAlignment="1">
      <alignment horizontal="center" vertical="center" wrapText="1"/>
    </xf>
    <xf numFmtId="0" fontId="9" fillId="12" borderId="22" xfId="0" applyFont="1" applyFill="1" applyBorder="1" applyAlignment="1">
      <alignment horizontal="center" vertical="center"/>
    </xf>
    <xf numFmtId="0" fontId="9" fillId="12" borderId="23" xfId="0" applyFont="1" applyFill="1" applyBorder="1" applyAlignment="1">
      <alignment horizontal="center" vertical="center" wrapText="1"/>
    </xf>
    <xf numFmtId="0" fontId="9" fillId="12" borderId="24" xfId="0" applyFont="1" applyFill="1" applyBorder="1" applyAlignment="1">
      <alignment horizontal="center" vertical="center" wrapText="1"/>
    </xf>
    <xf numFmtId="0" fontId="9" fillId="12" borderId="43" xfId="0" applyFont="1" applyFill="1" applyBorder="1" applyAlignment="1">
      <alignment horizontal="center" vertical="center" wrapText="1"/>
    </xf>
    <xf numFmtId="0" fontId="9" fillId="12" borderId="58" xfId="0" applyFont="1" applyFill="1" applyBorder="1" applyAlignment="1">
      <alignment horizontal="center" vertical="center" wrapText="1"/>
    </xf>
    <xf numFmtId="0" fontId="9" fillId="12" borderId="66" xfId="0" applyFont="1" applyFill="1" applyBorder="1" applyAlignment="1">
      <alignment horizontal="center" vertical="center" wrapText="1"/>
    </xf>
    <xf numFmtId="0" fontId="9" fillId="12" borderId="57" xfId="0" applyFont="1" applyFill="1" applyBorder="1" applyAlignment="1">
      <alignment horizontal="center" vertical="center" wrapText="1"/>
    </xf>
    <xf numFmtId="0" fontId="10" fillId="12" borderId="24" xfId="0" applyFont="1" applyFill="1" applyBorder="1" applyAlignment="1">
      <alignment horizontal="center" vertical="center" wrapText="1"/>
    </xf>
    <xf numFmtId="0" fontId="9" fillId="12" borderId="25" xfId="0" applyFont="1" applyFill="1" applyBorder="1" applyAlignment="1">
      <alignment horizontal="center" vertical="center" wrapText="1"/>
    </xf>
    <xf numFmtId="0" fontId="1" fillId="0" borderId="12" xfId="0" applyFont="1" applyBorder="1" applyAlignment="1">
      <alignment vertical="center"/>
    </xf>
    <xf numFmtId="1" fontId="1" fillId="0" borderId="12" xfId="0" applyNumberFormat="1" applyFont="1" applyBorder="1" applyAlignment="1">
      <alignment horizontal="center" vertical="center"/>
    </xf>
    <xf numFmtId="1" fontId="1" fillId="0" borderId="11" xfId="0" applyNumberFormat="1" applyFont="1" applyBorder="1" applyAlignment="1">
      <alignment horizontal="center" vertical="center"/>
    </xf>
    <xf numFmtId="4" fontId="1" fillId="0" borderId="12" xfId="0" applyNumberFormat="1" applyFont="1" applyBorder="1" applyAlignment="1">
      <alignment horizontal="center" vertical="center"/>
    </xf>
    <xf numFmtId="4" fontId="1" fillId="0" borderId="13" xfId="0" applyNumberFormat="1" applyFont="1" applyBorder="1" applyAlignment="1">
      <alignment horizontal="center" vertical="center"/>
    </xf>
    <xf numFmtId="4" fontId="1" fillId="0" borderId="32" xfId="0" applyNumberFormat="1" applyFont="1" applyBorder="1" applyAlignment="1">
      <alignment horizontal="center" vertical="center"/>
    </xf>
    <xf numFmtId="164" fontId="5" fillId="0" borderId="33" xfId="1" applyFont="1" applyBorder="1" applyAlignment="1" applyProtection="1">
      <alignment horizontal="center" vertical="center"/>
    </xf>
    <xf numFmtId="164" fontId="5" fillId="0" borderId="34" xfId="1" applyFont="1" applyBorder="1" applyAlignment="1" applyProtection="1">
      <alignment horizontal="center" vertical="center"/>
    </xf>
    <xf numFmtId="4" fontId="1" fillId="0" borderId="42" xfId="0" applyNumberFormat="1" applyFont="1" applyBorder="1" applyAlignment="1">
      <alignment horizontal="center" vertical="center"/>
    </xf>
    <xf numFmtId="4" fontId="1" fillId="0" borderId="16" xfId="0" applyNumberFormat="1" applyFont="1" applyBorder="1" applyAlignment="1">
      <alignment horizontal="center" vertical="center"/>
    </xf>
    <xf numFmtId="164" fontId="5" fillId="0" borderId="12" xfId="1" applyFont="1" applyBorder="1" applyAlignment="1" applyProtection="1">
      <alignment horizontal="center" vertical="center"/>
    </xf>
    <xf numFmtId="164" fontId="5" fillId="0" borderId="13" xfId="1" applyFont="1" applyBorder="1" applyAlignment="1" applyProtection="1">
      <alignment horizontal="center" vertical="center"/>
    </xf>
    <xf numFmtId="164" fontId="1" fillId="0" borderId="11" xfId="1" applyFont="1" applyBorder="1" applyAlignment="1" applyProtection="1">
      <alignment horizontal="center" vertical="center"/>
    </xf>
    <xf numFmtId="164" fontId="1" fillId="0" borderId="12" xfId="1" applyFont="1" applyBorder="1" applyAlignment="1" applyProtection="1">
      <alignment horizontal="center" vertical="center"/>
    </xf>
    <xf numFmtId="164" fontId="5" fillId="0" borderId="67" xfId="1" applyFont="1" applyBorder="1" applyAlignment="1" applyProtection="1">
      <alignment horizontal="center" vertical="center"/>
    </xf>
    <xf numFmtId="164" fontId="5" fillId="12" borderId="11" xfId="1" applyFont="1" applyFill="1" applyBorder="1" applyAlignment="1" applyProtection="1">
      <alignment horizontal="center" vertical="center"/>
    </xf>
    <xf numFmtId="164" fontId="5" fillId="12" borderId="12" xfId="1" applyFont="1" applyFill="1" applyBorder="1" applyAlignment="1" applyProtection="1">
      <alignment horizontal="center" vertical="center"/>
    </xf>
    <xf numFmtId="164" fontId="5" fillId="12" borderId="14" xfId="1" applyFont="1" applyFill="1" applyBorder="1" applyAlignment="1" applyProtection="1">
      <alignment horizontal="center" vertical="center"/>
    </xf>
    <xf numFmtId="166" fontId="1" fillId="0" borderId="68" xfId="2" applyFont="1" applyBorder="1" applyAlignment="1" applyProtection="1">
      <alignment horizontal="right" vertical="center"/>
    </xf>
    <xf numFmtId="4" fontId="1" fillId="0" borderId="17" xfId="0" applyNumberFormat="1" applyFont="1" applyBorder="1" applyAlignment="1">
      <alignment horizontal="center" vertical="center"/>
    </xf>
    <xf numFmtId="164" fontId="5" fillId="0" borderId="4" xfId="1" applyFont="1" applyBorder="1" applyAlignment="1" applyProtection="1">
      <alignment horizontal="center" vertical="center"/>
    </xf>
    <xf numFmtId="164" fontId="5" fillId="0" borderId="19" xfId="1" applyFont="1" applyBorder="1" applyAlignment="1" applyProtection="1">
      <alignment horizontal="center" vertical="center"/>
    </xf>
    <xf numFmtId="4" fontId="1" fillId="0" borderId="21" xfId="0" applyNumberFormat="1" applyFont="1" applyBorder="1" applyAlignment="1">
      <alignment horizontal="center" vertical="center"/>
    </xf>
    <xf numFmtId="164" fontId="5" fillId="0" borderId="18" xfId="1" applyFont="1" applyBorder="1" applyAlignment="1" applyProtection="1">
      <alignment horizontal="center" vertical="center"/>
    </xf>
    <xf numFmtId="164" fontId="1" fillId="0" borderId="17" xfId="1" applyFont="1" applyBorder="1" applyAlignment="1" applyProtection="1">
      <alignment horizontal="center" vertical="center"/>
    </xf>
    <xf numFmtId="164" fontId="1" fillId="0" borderId="4" xfId="1" applyFont="1" applyBorder="1" applyAlignment="1" applyProtection="1">
      <alignment horizontal="center" vertical="center"/>
    </xf>
    <xf numFmtId="164" fontId="5" fillId="0" borderId="37" xfId="1" applyFont="1" applyBorder="1" applyAlignment="1" applyProtection="1">
      <alignment horizontal="center" vertical="center"/>
    </xf>
    <xf numFmtId="164" fontId="1" fillId="0" borderId="19" xfId="1" applyFont="1" applyBorder="1" applyAlignment="1" applyProtection="1">
      <alignment horizontal="center" vertical="center"/>
    </xf>
    <xf numFmtId="164" fontId="5" fillId="12" borderId="17" xfId="1" applyFont="1" applyFill="1" applyBorder="1" applyAlignment="1" applyProtection="1">
      <alignment horizontal="center" vertical="center"/>
    </xf>
    <xf numFmtId="164" fontId="5" fillId="12" borderId="4" xfId="1" applyFont="1" applyFill="1" applyBorder="1" applyAlignment="1" applyProtection="1">
      <alignment horizontal="center" vertical="center"/>
    </xf>
    <xf numFmtId="164" fontId="5" fillId="12" borderId="19" xfId="1" applyFont="1" applyFill="1" applyBorder="1" applyAlignment="1" applyProtection="1">
      <alignment horizontal="center" vertical="center"/>
    </xf>
    <xf numFmtId="0" fontId="5" fillId="0" borderId="54" xfId="0" applyFont="1" applyBorder="1" applyAlignment="1">
      <alignment horizontal="center" vertical="center"/>
    </xf>
    <xf numFmtId="0" fontId="1" fillId="0" borderId="54" xfId="0" applyFont="1" applyBorder="1" applyAlignment="1">
      <alignment vertical="center"/>
    </xf>
    <xf numFmtId="1" fontId="1" fillId="0" borderId="54" xfId="0" applyNumberFormat="1" applyFont="1" applyBorder="1" applyAlignment="1">
      <alignment horizontal="center" vertical="center"/>
    </xf>
    <xf numFmtId="1" fontId="1" fillId="0" borderId="69" xfId="0" applyNumberFormat="1" applyFont="1" applyBorder="1" applyAlignment="1">
      <alignment horizontal="center" vertical="center"/>
    </xf>
    <xf numFmtId="4" fontId="1" fillId="0" borderId="54" xfId="0" applyNumberFormat="1" applyFont="1" applyBorder="1" applyAlignment="1">
      <alignment horizontal="center" vertical="center"/>
    </xf>
    <xf numFmtId="4" fontId="1" fillId="0" borderId="40" xfId="0" applyNumberFormat="1" applyFont="1" applyBorder="1" applyAlignment="1">
      <alignment horizontal="center" vertical="center"/>
    </xf>
    <xf numFmtId="4" fontId="1" fillId="0" borderId="48" xfId="0" applyNumberFormat="1" applyFont="1" applyBorder="1" applyAlignment="1">
      <alignment horizontal="center" vertical="center"/>
    </xf>
    <xf numFmtId="164" fontId="5" fillId="0" borderId="43" xfId="1" applyFont="1" applyBorder="1" applyAlignment="1" applyProtection="1">
      <alignment horizontal="center" vertical="center"/>
    </xf>
    <xf numFmtId="164" fontId="5" fillId="0" borderId="58" xfId="1" applyFont="1" applyBorder="1" applyAlignment="1" applyProtection="1">
      <alignment horizontal="center" vertical="center"/>
    </xf>
    <xf numFmtId="4" fontId="1" fillId="0" borderId="66" xfId="0" applyNumberFormat="1" applyFont="1" applyBorder="1" applyAlignment="1">
      <alignment horizontal="center" vertical="center"/>
    </xf>
    <xf numFmtId="164" fontId="5" fillId="0" borderId="57" xfId="1" applyFont="1" applyBorder="1" applyAlignment="1" applyProtection="1">
      <alignment horizontal="center" vertical="center"/>
    </xf>
    <xf numFmtId="164" fontId="1" fillId="0" borderId="48" xfId="1" applyFont="1" applyBorder="1" applyAlignment="1" applyProtection="1">
      <alignment horizontal="center" vertical="center"/>
    </xf>
    <xf numFmtId="164" fontId="1" fillId="0" borderId="43" xfId="1" applyFont="1" applyBorder="1" applyAlignment="1" applyProtection="1">
      <alignment horizontal="center" vertical="center"/>
    </xf>
    <xf numFmtId="164" fontId="5" fillId="0" borderId="50" xfId="1" applyFont="1" applyBorder="1" applyAlignment="1" applyProtection="1">
      <alignment horizontal="center" vertical="center"/>
    </xf>
    <xf numFmtId="164" fontId="5" fillId="12" borderId="48" xfId="1" applyFont="1" applyFill="1" applyBorder="1" applyAlignment="1" applyProtection="1">
      <alignment horizontal="center" vertical="center"/>
    </xf>
    <xf numFmtId="164" fontId="5" fillId="12" borderId="43" xfId="1" applyFont="1" applyFill="1" applyBorder="1" applyAlignment="1" applyProtection="1">
      <alignment horizontal="center" vertical="center"/>
    </xf>
    <xf numFmtId="164" fontId="5" fillId="12" borderId="58" xfId="1" applyFont="1" applyFill="1" applyBorder="1" applyAlignment="1" applyProtection="1">
      <alignment horizontal="center" vertical="center"/>
    </xf>
    <xf numFmtId="166" fontId="1" fillId="0" borderId="45" xfId="2" applyFont="1" applyBorder="1" applyAlignment="1" applyProtection="1">
      <alignment horizontal="right" vertical="center"/>
    </xf>
    <xf numFmtId="1" fontId="18" fillId="12" borderId="5" xfId="0" applyNumberFormat="1" applyFont="1" applyFill="1" applyBorder="1" applyAlignment="1">
      <alignment horizontal="center" vertical="center"/>
    </xf>
    <xf numFmtId="4" fontId="18" fillId="12" borderId="7" xfId="0" applyNumberFormat="1" applyFont="1" applyFill="1" applyBorder="1" applyAlignment="1">
      <alignment horizontal="center" vertical="center"/>
    </xf>
    <xf numFmtId="4" fontId="18" fillId="12" borderId="6" xfId="0" applyNumberFormat="1" applyFont="1" applyFill="1" applyBorder="1" applyAlignment="1">
      <alignment horizontal="center" vertical="center"/>
    </xf>
    <xf numFmtId="4" fontId="18" fillId="12" borderId="5" xfId="0" applyNumberFormat="1" applyFont="1" applyFill="1" applyBorder="1" applyAlignment="1">
      <alignment horizontal="center" vertical="center"/>
    </xf>
    <xf numFmtId="4" fontId="18" fillId="12" borderId="8" xfId="0" applyNumberFormat="1" applyFont="1" applyFill="1" applyBorder="1" applyAlignment="1">
      <alignment horizontal="center" vertical="center"/>
    </xf>
    <xf numFmtId="164" fontId="18" fillId="12" borderId="10" xfId="1" applyFont="1" applyFill="1" applyBorder="1" applyAlignment="1" applyProtection="1">
      <alignment horizontal="center" vertical="center"/>
    </xf>
    <xf numFmtId="4" fontId="18" fillId="12" borderId="10" xfId="0" applyNumberFormat="1" applyFont="1" applyFill="1" applyBorder="1" applyAlignment="1">
      <alignment horizontal="center" vertical="center"/>
    </xf>
    <xf numFmtId="164" fontId="18" fillId="12" borderId="59" xfId="1" applyFont="1" applyFill="1" applyBorder="1" applyAlignment="1" applyProtection="1">
      <alignment horizontal="center" vertical="center"/>
    </xf>
    <xf numFmtId="164" fontId="18" fillId="12" borderId="5" xfId="1" applyFont="1" applyFill="1" applyBorder="1" applyAlignment="1" applyProtection="1">
      <alignment horizontal="center" vertical="center"/>
    </xf>
    <xf numFmtId="166" fontId="18" fillId="20" borderId="63" xfId="2" applyFont="1" applyFill="1" applyBorder="1" applyAlignment="1" applyProtection="1">
      <alignment horizontal="center" vertical="center"/>
    </xf>
    <xf numFmtId="0" fontId="7" fillId="0" borderId="3" xfId="0" applyFont="1" applyBorder="1" applyAlignment="1">
      <alignment vertical="center"/>
    </xf>
    <xf numFmtId="166" fontId="6" fillId="12" borderId="49" xfId="2" applyFont="1" applyFill="1" applyBorder="1" applyAlignment="1" applyProtection="1">
      <alignment vertical="center"/>
    </xf>
    <xf numFmtId="166" fontId="18" fillId="12" borderId="9" xfId="2" applyFont="1" applyFill="1" applyBorder="1" applyAlignment="1" applyProtection="1">
      <alignment vertical="center"/>
    </xf>
    <xf numFmtId="0" fontId="9" fillId="0" borderId="0" xfId="0" applyFont="1" applyAlignment="1">
      <alignment vertical="top"/>
    </xf>
    <xf numFmtId="0" fontId="2" fillId="0" borderId="2" xfId="0" applyFont="1" applyBorder="1" applyAlignment="1">
      <alignment horizontal="center" vertical="center"/>
    </xf>
    <xf numFmtId="0" fontId="2" fillId="0" borderId="0" xfId="0" applyFont="1" applyAlignment="1">
      <alignment horizontal="center" vertical="center"/>
    </xf>
    <xf numFmtId="0" fontId="10" fillId="0" borderId="0" xfId="0" applyFont="1" applyAlignment="1">
      <alignment horizontal="center"/>
    </xf>
    <xf numFmtId="0" fontId="10" fillId="0" borderId="45" xfId="0" applyFont="1" applyBorder="1"/>
    <xf numFmtId="0" fontId="33" fillId="0" borderId="0" xfId="0" applyFont="1" applyAlignment="1">
      <alignment vertical="center"/>
    </xf>
    <xf numFmtId="49" fontId="25" fillId="0" borderId="8" xfId="0" applyNumberFormat="1" applyFont="1" applyBorder="1" applyAlignment="1">
      <alignment horizontal="center" vertical="center"/>
    </xf>
    <xf numFmtId="0" fontId="25" fillId="0" borderId="0" xfId="0" applyFont="1" applyAlignment="1">
      <alignment vertical="center"/>
    </xf>
    <xf numFmtId="0" fontId="26" fillId="8" borderId="3" xfId="0" applyFont="1" applyFill="1" applyBorder="1" applyAlignment="1">
      <alignment horizontal="center" vertical="center"/>
    </xf>
    <xf numFmtId="0" fontId="34" fillId="8" borderId="36" xfId="0" applyFont="1" applyFill="1" applyBorder="1" applyAlignment="1">
      <alignment vertical="center"/>
    </xf>
    <xf numFmtId="0" fontId="35" fillId="21" borderId="5" xfId="0" applyFont="1" applyFill="1" applyBorder="1" applyAlignment="1">
      <alignment horizontal="center" vertical="center"/>
    </xf>
    <xf numFmtId="4" fontId="35" fillId="21" borderId="7" xfId="0" applyNumberFormat="1" applyFont="1" applyFill="1" applyBorder="1" applyAlignment="1">
      <alignment horizontal="center" vertical="center"/>
    </xf>
    <xf numFmtId="4" fontId="35" fillId="21" borderId="8" xfId="0" applyNumberFormat="1" applyFont="1" applyFill="1" applyBorder="1" applyAlignment="1">
      <alignment vertical="center"/>
    </xf>
    <xf numFmtId="0" fontId="9" fillId="0" borderId="11" xfId="0" applyFont="1" applyBorder="1" applyAlignment="1">
      <alignment horizontal="center" vertical="center"/>
    </xf>
    <xf numFmtId="4" fontId="9" fillId="8" borderId="12" xfId="4" applyNumberFormat="1" applyFont="1" applyFill="1" applyBorder="1" applyAlignment="1" applyProtection="1">
      <alignment horizontal="center" vertical="center"/>
    </xf>
    <xf numFmtId="4" fontId="9" fillId="8" borderId="14" xfId="4" applyNumberFormat="1" applyFont="1" applyFill="1" applyBorder="1" applyAlignment="1" applyProtection="1">
      <alignment vertical="center"/>
    </xf>
    <xf numFmtId="10" fontId="16" fillId="0" borderId="4" xfId="0" applyNumberFormat="1" applyFont="1" applyBorder="1" applyAlignment="1">
      <alignment horizontal="center" vertical="center"/>
    </xf>
    <xf numFmtId="4" fontId="9" fillId="8" borderId="4" xfId="4" applyNumberFormat="1" applyFont="1" applyFill="1" applyBorder="1" applyAlignment="1" applyProtection="1">
      <alignment horizontal="center" vertical="center"/>
    </xf>
    <xf numFmtId="4" fontId="9" fillId="8" borderId="19" xfId="4" applyNumberFormat="1" applyFont="1" applyFill="1" applyBorder="1" applyAlignment="1" applyProtection="1">
      <alignment vertical="center"/>
    </xf>
    <xf numFmtId="10" fontId="26" fillId="0" borderId="4" xfId="0" applyNumberFormat="1" applyFont="1" applyBorder="1" applyAlignment="1">
      <alignment horizontal="center" vertical="center"/>
    </xf>
    <xf numFmtId="4" fontId="7" fillId="8" borderId="4" xfId="4" applyNumberFormat="1" applyFont="1" applyFill="1" applyBorder="1" applyAlignment="1" applyProtection="1">
      <alignment horizontal="center" vertical="center"/>
    </xf>
    <xf numFmtId="4" fontId="7" fillId="8" borderId="19" xfId="4" applyNumberFormat="1" applyFont="1" applyFill="1" applyBorder="1" applyAlignment="1" applyProtection="1">
      <alignment horizontal="right" vertical="center"/>
    </xf>
    <xf numFmtId="0" fontId="26" fillId="12" borderId="17" xfId="0" applyFont="1" applyFill="1" applyBorder="1" applyAlignment="1">
      <alignment horizontal="center" vertical="center"/>
    </xf>
    <xf numFmtId="0" fontId="26" fillId="12" borderId="4" xfId="0" applyFont="1" applyFill="1" applyBorder="1" applyAlignment="1">
      <alignment vertical="center"/>
    </xf>
    <xf numFmtId="0" fontId="26" fillId="12" borderId="4" xfId="0" applyFont="1" applyFill="1" applyBorder="1" applyAlignment="1">
      <alignment horizontal="center" vertical="center"/>
    </xf>
    <xf numFmtId="0" fontId="26" fillId="12" borderId="19" xfId="0" applyFont="1" applyFill="1" applyBorder="1" applyAlignment="1">
      <alignment vertical="center"/>
    </xf>
    <xf numFmtId="4" fontId="9" fillId="0" borderId="18" xfId="0" applyNumberFormat="1" applyFont="1" applyBorder="1" applyAlignment="1">
      <alignment vertical="center"/>
    </xf>
    <xf numFmtId="4" fontId="9" fillId="0" borderId="19" xfId="0" applyNumberFormat="1" applyFont="1" applyBorder="1" applyAlignment="1">
      <alignment vertical="center"/>
    </xf>
    <xf numFmtId="0" fontId="9" fillId="0" borderId="4" xfId="0" applyFont="1" applyBorder="1" applyAlignment="1">
      <alignment vertical="center"/>
    </xf>
    <xf numFmtId="4" fontId="26" fillId="0" borderId="4" xfId="0" applyNumberFormat="1" applyFont="1" applyBorder="1" applyAlignment="1">
      <alignment horizontal="center" vertical="center"/>
    </xf>
    <xf numFmtId="4" fontId="26" fillId="0" borderId="19" xfId="0" applyNumberFormat="1" applyFont="1" applyBorder="1" applyAlignment="1">
      <alignment vertical="center"/>
    </xf>
    <xf numFmtId="10" fontId="26" fillId="12" borderId="4" xfId="0" applyNumberFormat="1" applyFont="1" applyFill="1" applyBorder="1" applyAlignment="1">
      <alignment horizontal="center" vertical="center"/>
    </xf>
    <xf numFmtId="4" fontId="9" fillId="8" borderId="4" xfId="0" applyNumberFormat="1" applyFont="1" applyFill="1" applyBorder="1" applyAlignment="1">
      <alignment horizontal="center" vertical="center"/>
    </xf>
    <xf numFmtId="10" fontId="9" fillId="0" borderId="4" xfId="0" applyNumberFormat="1" applyFont="1" applyBorder="1" applyAlignment="1">
      <alignment vertical="center"/>
    </xf>
    <xf numFmtId="4" fontId="9" fillId="8" borderId="19" xfId="0" applyNumberFormat="1" applyFont="1" applyFill="1" applyBorder="1" applyAlignment="1">
      <alignment horizontal="right" vertical="center"/>
    </xf>
    <xf numFmtId="0" fontId="26" fillId="0" borderId="17" xfId="0" applyFont="1" applyBorder="1" applyAlignment="1">
      <alignment horizontal="center" vertical="center"/>
    </xf>
    <xf numFmtId="4" fontId="26" fillId="8" borderId="4" xfId="0" applyNumberFormat="1" applyFont="1" applyFill="1" applyBorder="1" applyAlignment="1">
      <alignment horizontal="center" vertical="center"/>
    </xf>
    <xf numFmtId="10" fontId="26" fillId="0" borderId="4" xfId="0" applyNumberFormat="1" applyFont="1" applyBorder="1" applyAlignment="1">
      <alignment vertical="center"/>
    </xf>
    <xf numFmtId="4" fontId="26" fillId="8" borderId="19" xfId="0" applyNumberFormat="1" applyFont="1" applyFill="1" applyBorder="1" applyAlignment="1">
      <alignment horizontal="right" vertical="center"/>
    </xf>
    <xf numFmtId="0" fontId="26" fillId="0" borderId="48" xfId="0" applyFont="1" applyBorder="1" applyAlignment="1">
      <alignment vertical="center"/>
    </xf>
    <xf numFmtId="0" fontId="9" fillId="0" borderId="43" xfId="0" applyFont="1" applyBorder="1" applyAlignment="1">
      <alignment horizontal="center" vertical="center"/>
    </xf>
    <xf numFmtId="4" fontId="26" fillId="0" borderId="43" xfId="0" applyNumberFormat="1" applyFont="1" applyBorder="1" applyAlignment="1">
      <alignment horizontal="center" vertical="center"/>
    </xf>
    <xf numFmtId="4" fontId="26" fillId="0" borderId="57" xfId="0" applyNumberFormat="1" applyFont="1" applyBorder="1" applyAlignment="1">
      <alignment horizontal="right" vertical="center"/>
    </xf>
    <xf numFmtId="4" fontId="26" fillId="0" borderId="58" xfId="0" applyNumberFormat="1" applyFont="1" applyBorder="1" applyAlignment="1">
      <alignment horizontal="right" vertical="center"/>
    </xf>
    <xf numFmtId="0" fontId="26" fillId="12" borderId="11" xfId="0" applyFont="1" applyFill="1" applyBorder="1" applyAlignment="1">
      <alignment vertical="center"/>
    </xf>
    <xf numFmtId="0" fontId="26" fillId="12" borderId="12" xfId="0" applyFont="1" applyFill="1" applyBorder="1" applyAlignment="1">
      <alignment vertical="center"/>
    </xf>
    <xf numFmtId="0" fontId="26" fillId="12" borderId="12" xfId="0" applyFont="1" applyFill="1" applyBorder="1" applyAlignment="1">
      <alignment horizontal="center" vertical="center"/>
    </xf>
    <xf numFmtId="0" fontId="26" fillId="12" borderId="11" xfId="0" applyFont="1" applyFill="1" applyBorder="1" applyAlignment="1">
      <alignment horizontal="center" vertical="center"/>
    </xf>
    <xf numFmtId="0" fontId="26" fillId="12" borderId="14" xfId="0" applyFont="1" applyFill="1" applyBorder="1" applyAlignment="1">
      <alignment vertical="center"/>
    </xf>
    <xf numFmtId="4" fontId="16" fillId="8" borderId="4" xfId="0" applyNumberFormat="1" applyFont="1" applyFill="1" applyBorder="1" applyAlignment="1">
      <alignment horizontal="center" vertical="center"/>
    </xf>
    <xf numFmtId="4" fontId="16" fillId="8" borderId="43" xfId="0" applyNumberFormat="1" applyFont="1" applyFill="1" applyBorder="1" applyAlignment="1">
      <alignment vertical="center"/>
    </xf>
    <xf numFmtId="4" fontId="16" fillId="8" borderId="19" xfId="0" applyNumberFormat="1" applyFont="1" applyFill="1" applyBorder="1" applyAlignment="1">
      <alignment vertical="center"/>
    </xf>
    <xf numFmtId="4" fontId="16" fillId="8" borderId="54" xfId="0" applyNumberFormat="1" applyFont="1" applyFill="1" applyBorder="1" applyAlignment="1">
      <alignment vertical="center"/>
    </xf>
    <xf numFmtId="0" fontId="26" fillId="0" borderId="4" xfId="0" applyFont="1" applyBorder="1" applyAlignment="1">
      <alignment horizontal="center" vertical="center"/>
    </xf>
    <xf numFmtId="4" fontId="26" fillId="8" borderId="19" xfId="0" applyNumberFormat="1" applyFont="1" applyFill="1" applyBorder="1" applyAlignment="1">
      <alignment vertical="center"/>
    </xf>
    <xf numFmtId="0" fontId="9" fillId="0" borderId="43" xfId="0" applyFont="1" applyBorder="1" applyAlignment="1">
      <alignment vertical="center"/>
    </xf>
    <xf numFmtId="4" fontId="16" fillId="8" borderId="43" xfId="0" applyNumberFormat="1" applyFont="1" applyFill="1" applyBorder="1" applyAlignment="1">
      <alignment horizontal="center" vertical="center"/>
    </xf>
    <xf numFmtId="4" fontId="16" fillId="8" borderId="12" xfId="0" applyNumberFormat="1" applyFont="1" applyFill="1" applyBorder="1" applyAlignment="1">
      <alignment vertical="center"/>
    </xf>
    <xf numFmtId="4" fontId="16" fillId="8" borderId="58" xfId="0" applyNumberFormat="1" applyFont="1" applyFill="1" applyBorder="1" applyAlignment="1">
      <alignment vertical="center"/>
    </xf>
    <xf numFmtId="0" fontId="26" fillId="12" borderId="5" xfId="0" applyFont="1" applyFill="1" applyBorder="1" applyAlignment="1">
      <alignment vertical="center"/>
    </xf>
    <xf numFmtId="0" fontId="26" fillId="12" borderId="7" xfId="0" applyFont="1" applyFill="1" applyBorder="1" applyAlignment="1">
      <alignment vertical="center"/>
    </xf>
    <xf numFmtId="0" fontId="26" fillId="12" borderId="7" xfId="0" applyFont="1" applyFill="1" applyBorder="1" applyAlignment="1">
      <alignment horizontal="center" vertical="center"/>
    </xf>
    <xf numFmtId="4" fontId="26" fillId="12" borderId="7" xfId="0" applyNumberFormat="1" applyFont="1" applyFill="1" applyBorder="1" applyAlignment="1">
      <alignment horizontal="center" vertical="center"/>
    </xf>
    <xf numFmtId="0" fontId="26" fillId="12" borderId="5" xfId="0" applyFont="1" applyFill="1" applyBorder="1" applyAlignment="1">
      <alignment horizontal="center" vertical="center"/>
    </xf>
    <xf numFmtId="4" fontId="16" fillId="12" borderId="70" xfId="0" applyNumberFormat="1" applyFont="1" applyFill="1" applyBorder="1" applyAlignment="1">
      <alignment vertical="center"/>
    </xf>
    <xf numFmtId="4" fontId="26" fillId="12" borderId="8" xfId="0" applyNumberFormat="1" applyFont="1" applyFill="1" applyBorder="1" applyAlignment="1">
      <alignment vertical="center"/>
    </xf>
    <xf numFmtId="0" fontId="25" fillId="0" borderId="18" xfId="0" applyFont="1" applyBorder="1" applyAlignment="1">
      <alignment horizontal="right" vertical="center"/>
    </xf>
    <xf numFmtId="0" fontId="27" fillId="18" borderId="4" xfId="0" applyFont="1" applyFill="1" applyBorder="1" applyAlignment="1">
      <alignment horizontal="center" vertical="center"/>
    </xf>
    <xf numFmtId="0" fontId="5" fillId="18" borderId="4" xfId="0" applyFont="1" applyFill="1" applyBorder="1" applyAlignment="1">
      <alignment horizontal="center" vertical="center"/>
    </xf>
    <xf numFmtId="0" fontId="17" fillId="0" borderId="4" xfId="0" applyFont="1" applyBorder="1" applyAlignment="1">
      <alignment horizontal="center" vertical="center"/>
    </xf>
    <xf numFmtId="10" fontId="27" fillId="0" borderId="4" xfId="0" applyNumberFormat="1" applyFont="1" applyBorder="1" applyAlignment="1">
      <alignment horizontal="center" vertical="center"/>
    </xf>
    <xf numFmtId="0" fontId="27" fillId="0" borderId="4" xfId="0" applyFont="1" applyBorder="1" applyAlignment="1">
      <alignment horizontal="center" vertical="center"/>
    </xf>
    <xf numFmtId="4" fontId="1" fillId="0" borderId="4" xfId="0" applyNumberFormat="1" applyFont="1" applyBorder="1" applyAlignment="1">
      <alignment horizontal="center"/>
    </xf>
    <xf numFmtId="0" fontId="17" fillId="0" borderId="12" xfId="0" applyFont="1" applyBorder="1" applyAlignment="1">
      <alignment horizontal="center" vertical="center"/>
    </xf>
    <xf numFmtId="10" fontId="27" fillId="0" borderId="12" xfId="0" applyNumberFormat="1" applyFont="1" applyBorder="1" applyAlignment="1">
      <alignment horizontal="center" vertical="center"/>
    </xf>
    <xf numFmtId="0" fontId="27" fillId="0" borderId="12" xfId="0" applyFont="1" applyBorder="1" applyAlignment="1">
      <alignment horizontal="center" vertical="center"/>
    </xf>
    <xf numFmtId="10" fontId="37" fillId="8" borderId="4" xfId="0" applyNumberFormat="1" applyFont="1" applyFill="1" applyBorder="1" applyAlignment="1">
      <alignment horizontal="center" vertical="center"/>
    </xf>
    <xf numFmtId="49" fontId="34" fillId="8" borderId="10" xfId="0" applyNumberFormat="1" applyFont="1" applyFill="1" applyBorder="1" applyAlignment="1">
      <alignment horizontal="center" vertical="center" wrapText="1"/>
    </xf>
    <xf numFmtId="49" fontId="25" fillId="0" borderId="7" xfId="0" applyNumberFormat="1" applyFont="1" applyBorder="1" applyAlignment="1">
      <alignment horizontal="center" vertical="center" wrapText="1"/>
    </xf>
    <xf numFmtId="0" fontId="3" fillId="0" borderId="0" xfId="0" applyFont="1" applyAlignment="1">
      <alignment horizontal="center" vertical="top"/>
    </xf>
    <xf numFmtId="0" fontId="4" fillId="2"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28" xfId="0" applyFont="1" applyFill="1" applyBorder="1" applyAlignment="1">
      <alignment horizontal="center" vertical="center"/>
    </xf>
    <xf numFmtId="0" fontId="7" fillId="5" borderId="4" xfId="0" applyFont="1" applyFill="1" applyBorder="1" applyAlignment="1">
      <alignment horizontal="center" vertical="center" wrapText="1"/>
    </xf>
    <xf numFmtId="0" fontId="9" fillId="0" borderId="31" xfId="0" applyFont="1" applyBorder="1" applyAlignment="1">
      <alignment horizontal="left" vertical="center" wrapText="1"/>
    </xf>
    <xf numFmtId="0" fontId="7" fillId="5" borderId="32"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7" fillId="5" borderId="36" xfId="0" applyFont="1" applyFill="1" applyBorder="1" applyAlignment="1">
      <alignment horizontal="center" vertical="center" wrapText="1"/>
    </xf>
    <xf numFmtId="0" fontId="16" fillId="0" borderId="4" xfId="0" applyFont="1" applyBorder="1" applyAlignment="1">
      <alignment horizontal="left" vertical="top"/>
    </xf>
    <xf numFmtId="0" fontId="7" fillId="0" borderId="20" xfId="0" applyFont="1" applyBorder="1" applyAlignment="1">
      <alignment horizontal="center" vertical="center"/>
    </xf>
    <xf numFmtId="0" fontId="7" fillId="5" borderId="11" xfId="0" applyFont="1" applyFill="1" applyBorder="1" applyAlignment="1">
      <alignment horizontal="center" vertical="center" wrapText="1"/>
    </xf>
    <xf numFmtId="0" fontId="7" fillId="5" borderId="37" xfId="0" applyFont="1" applyFill="1" applyBorder="1" applyAlignment="1">
      <alignment horizontal="right" vertical="center" wrapText="1"/>
    </xf>
    <xf numFmtId="0" fontId="7" fillId="5" borderId="22" xfId="0" applyFont="1" applyFill="1" applyBorder="1" applyAlignment="1">
      <alignment horizontal="right" vertical="center" wrapText="1"/>
    </xf>
    <xf numFmtId="0" fontId="7" fillId="5" borderId="38" xfId="0" applyFont="1" applyFill="1" applyBorder="1" applyAlignment="1">
      <alignment horizontal="center" vertical="center" wrapText="1"/>
    </xf>
    <xf numFmtId="0" fontId="7" fillId="5" borderId="39"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16" fillId="0" borderId="4" xfId="0" applyFont="1" applyBorder="1" applyAlignment="1">
      <alignment horizontal="left"/>
    </xf>
    <xf numFmtId="0" fontId="1" fillId="0" borderId="4" xfId="0" applyFont="1" applyBorder="1" applyAlignment="1">
      <alignment horizontal="center"/>
    </xf>
    <xf numFmtId="0" fontId="18" fillId="0" borderId="0" xfId="0" applyFont="1" applyAlignment="1">
      <alignment horizontal="center" vertical="center"/>
    </xf>
    <xf numFmtId="0" fontId="9" fillId="12" borderId="4"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0" borderId="4" xfId="0" applyFont="1" applyBorder="1" applyAlignment="1">
      <alignment horizontal="center" vertical="center" textRotation="90"/>
    </xf>
    <xf numFmtId="0" fontId="5" fillId="12" borderId="4" xfId="0" applyFont="1" applyFill="1" applyBorder="1" applyAlignment="1">
      <alignment horizontal="center" vertical="center"/>
    </xf>
    <xf numFmtId="0" fontId="1" fillId="0" borderId="4" xfId="0" applyFont="1" applyBorder="1" applyAlignment="1">
      <alignment horizontal="left" vertical="center"/>
    </xf>
    <xf numFmtId="0" fontId="5" fillId="2" borderId="4" xfId="0" applyFont="1" applyFill="1" applyBorder="1" applyAlignment="1" applyProtection="1">
      <alignment horizontal="center" vertical="center"/>
      <protection locked="0"/>
    </xf>
    <xf numFmtId="0" fontId="1" fillId="0" borderId="4" xfId="0" applyFont="1" applyBorder="1" applyAlignment="1">
      <alignment horizontal="center" vertical="center"/>
    </xf>
    <xf numFmtId="0" fontId="1" fillId="0" borderId="18" xfId="0" applyFont="1" applyBorder="1" applyAlignment="1">
      <alignment horizontal="left" vertical="center"/>
    </xf>
    <xf numFmtId="0" fontId="1" fillId="0" borderId="4" xfId="0" applyFont="1" applyBorder="1" applyAlignment="1">
      <alignment horizontal="left" vertical="center" wrapText="1"/>
    </xf>
    <xf numFmtId="0" fontId="1" fillId="2" borderId="4" xfId="0" applyFont="1" applyFill="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22" fillId="12" borderId="46" xfId="0" applyFont="1" applyFill="1" applyBorder="1" applyAlignment="1">
      <alignment horizontal="center" vertical="center"/>
    </xf>
    <xf numFmtId="0" fontId="7" fillId="15" borderId="15" xfId="0" applyFont="1" applyFill="1" applyBorder="1" applyAlignment="1">
      <alignment horizontal="center" wrapText="1"/>
    </xf>
    <xf numFmtId="0" fontId="7" fillId="12" borderId="20" xfId="0" applyFont="1" applyFill="1" applyBorder="1" applyAlignment="1">
      <alignment horizontal="center" vertical="center"/>
    </xf>
    <xf numFmtId="0" fontId="24" fillId="12" borderId="19" xfId="0" applyFont="1" applyFill="1" applyBorder="1" applyAlignment="1">
      <alignment horizontal="left" vertical="center"/>
    </xf>
    <xf numFmtId="0" fontId="24" fillId="12" borderId="17" xfId="0" applyFont="1" applyFill="1" applyBorder="1" applyAlignment="1">
      <alignment horizontal="left" vertical="center"/>
    </xf>
    <xf numFmtId="0" fontId="24" fillId="12" borderId="20" xfId="0" applyFont="1" applyFill="1" applyBorder="1" applyAlignment="1">
      <alignment horizontal="left" vertical="center"/>
    </xf>
    <xf numFmtId="0" fontId="24" fillId="0" borderId="17" xfId="0" applyFont="1" applyBorder="1" applyAlignment="1">
      <alignment horizontal="left" vertical="center"/>
    </xf>
    <xf numFmtId="0" fontId="10" fillId="0" borderId="17" xfId="0" applyFont="1" applyBorder="1" applyAlignment="1">
      <alignment horizontal="left" vertical="center" wrapText="1"/>
    </xf>
    <xf numFmtId="0" fontId="10" fillId="0" borderId="17" xfId="0" applyFont="1" applyBorder="1" applyAlignment="1">
      <alignment horizontal="left" vertical="center"/>
    </xf>
    <xf numFmtId="0" fontId="25" fillId="0" borderId="17" xfId="0" applyFont="1" applyBorder="1" applyAlignment="1">
      <alignment horizontal="left" vertical="center"/>
    </xf>
    <xf numFmtId="0" fontId="27" fillId="17" borderId="35" xfId="0" applyFont="1" applyFill="1" applyBorder="1" applyAlignment="1">
      <alignment horizontal="center" vertical="center" wrapText="1"/>
    </xf>
    <xf numFmtId="0" fontId="17" fillId="0" borderId="17" xfId="0" applyFont="1" applyBorder="1" applyAlignment="1">
      <alignment horizontal="center" vertical="center" wrapText="1"/>
    </xf>
    <xf numFmtId="0" fontId="17" fillId="0" borderId="19" xfId="0" applyFont="1" applyBorder="1" applyAlignment="1">
      <alignment horizontal="center" vertical="center" wrapText="1"/>
    </xf>
    <xf numFmtId="0" fontId="24" fillId="12" borderId="20" xfId="0" applyFont="1" applyFill="1" applyBorder="1" applyAlignment="1">
      <alignment horizontal="center" vertical="center"/>
    </xf>
    <xf numFmtId="0" fontId="24" fillId="12" borderId="48" xfId="0" applyFont="1" applyFill="1" applyBorder="1" applyAlignment="1">
      <alignment horizontal="left" vertical="center"/>
    </xf>
    <xf numFmtId="0" fontId="19" fillId="16" borderId="49" xfId="0" applyFont="1" applyFill="1" applyBorder="1" applyAlignment="1">
      <alignment horizontal="justify" wrapText="1"/>
    </xf>
    <xf numFmtId="0" fontId="20" fillId="12" borderId="46" xfId="0" applyFont="1" applyFill="1" applyBorder="1" applyAlignment="1">
      <alignment horizontal="center" vertical="center"/>
    </xf>
    <xf numFmtId="0" fontId="5" fillId="15" borderId="15" xfId="0" applyFont="1" applyFill="1" applyBorder="1" applyAlignment="1">
      <alignment horizontal="center" vertical="center" wrapText="1"/>
    </xf>
    <xf numFmtId="0" fontId="29" fillId="12" borderId="17"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19" xfId="0" applyFont="1" applyFill="1" applyBorder="1" applyAlignment="1">
      <alignment horizontal="center" vertical="center" wrapText="1"/>
    </xf>
    <xf numFmtId="0" fontId="7" fillId="18" borderId="4" xfId="0" applyFont="1" applyFill="1" applyBorder="1" applyAlignment="1">
      <alignment horizontal="center" vertical="center" wrapText="1"/>
    </xf>
    <xf numFmtId="0" fontId="18" fillId="0" borderId="22" xfId="0" applyFont="1" applyBorder="1" applyAlignment="1">
      <alignment horizontal="center" vertical="center"/>
    </xf>
    <xf numFmtId="0" fontId="18" fillId="0" borderId="46" xfId="0" applyFont="1" applyBorder="1" applyAlignment="1">
      <alignment horizontal="center" vertical="center"/>
    </xf>
    <xf numFmtId="0" fontId="7" fillId="15" borderId="20" xfId="0" applyFont="1" applyFill="1" applyBorder="1" applyAlignment="1">
      <alignment horizontal="center" vertical="center" wrapText="1"/>
    </xf>
    <xf numFmtId="49" fontId="5" fillId="12" borderId="22" xfId="0" applyNumberFormat="1" applyFont="1" applyFill="1" applyBorder="1" applyAlignment="1">
      <alignment horizontal="center" vertical="center" wrapText="1"/>
    </xf>
    <xf numFmtId="49" fontId="5" fillId="12" borderId="22" xfId="0" applyNumberFormat="1" applyFont="1" applyFill="1" applyBorder="1" applyAlignment="1">
      <alignment horizontal="left" vertical="center" wrapText="1"/>
    </xf>
    <xf numFmtId="0" fontId="20" fillId="19" borderId="20" xfId="0" applyFont="1" applyFill="1" applyBorder="1" applyAlignment="1">
      <alignment horizontal="center" vertical="center" wrapText="1"/>
    </xf>
    <xf numFmtId="0" fontId="5" fillId="0" borderId="20" xfId="0" applyFont="1" applyBorder="1" applyAlignment="1">
      <alignment horizontal="center" vertical="center"/>
    </xf>
    <xf numFmtId="0" fontId="9" fillId="8" borderId="55" xfId="0" applyFont="1" applyFill="1" applyBorder="1" applyAlignment="1">
      <alignment horizontal="center" vertical="center"/>
    </xf>
    <xf numFmtId="0" fontId="18" fillId="12" borderId="63" xfId="0" applyFont="1" applyFill="1" applyBorder="1" applyAlignment="1">
      <alignment horizontal="center" vertical="center" wrapText="1"/>
    </xf>
    <xf numFmtId="0" fontId="7" fillId="12" borderId="49" xfId="0" applyFont="1" applyFill="1" applyBorder="1" applyAlignment="1">
      <alignment horizontal="center" vertical="center" textRotation="90"/>
    </xf>
    <xf numFmtId="0" fontId="5" fillId="12" borderId="46" xfId="0" applyFont="1" applyFill="1" applyBorder="1" applyAlignment="1">
      <alignment horizontal="center" vertical="center" wrapText="1"/>
    </xf>
    <xf numFmtId="0" fontId="18" fillId="12" borderId="52" xfId="0" applyFont="1" applyFill="1" applyBorder="1" applyAlignment="1">
      <alignment horizontal="center" vertical="center"/>
    </xf>
    <xf numFmtId="0" fontId="18" fillId="12" borderId="49" xfId="0" applyFont="1" applyFill="1" applyBorder="1" applyAlignment="1">
      <alignment horizontal="center" vertical="center" wrapText="1"/>
    </xf>
    <xf numFmtId="0" fontId="5" fillId="12" borderId="64" xfId="0" applyFont="1" applyFill="1" applyBorder="1" applyAlignment="1">
      <alignment horizontal="center" vertical="center" wrapText="1"/>
    </xf>
    <xf numFmtId="0" fontId="5" fillId="12" borderId="9" xfId="0" applyFont="1" applyFill="1" applyBorder="1" applyAlignment="1">
      <alignment horizontal="center" vertical="center" wrapText="1"/>
    </xf>
    <xf numFmtId="0" fontId="5" fillId="12" borderId="36" xfId="0" applyFont="1" applyFill="1" applyBorder="1" applyAlignment="1">
      <alignment horizontal="center" vertical="center" wrapText="1"/>
    </xf>
    <xf numFmtId="0" fontId="7" fillId="12" borderId="36" xfId="0" applyFont="1" applyFill="1" applyBorder="1" applyAlignment="1">
      <alignment horizontal="center" vertical="center" wrapText="1"/>
    </xf>
    <xf numFmtId="0" fontId="9" fillId="12" borderId="37" xfId="0" applyFont="1" applyFill="1" applyBorder="1" applyAlignment="1">
      <alignment horizontal="center" vertical="center" wrapText="1"/>
    </xf>
    <xf numFmtId="0" fontId="17" fillId="12" borderId="65" xfId="0" applyFont="1" applyFill="1" applyBorder="1" applyAlignment="1">
      <alignment horizontal="center" vertical="center" wrapText="1"/>
    </xf>
    <xf numFmtId="0" fontId="9" fillId="12" borderId="34" xfId="0" applyFont="1" applyFill="1" applyBorder="1" applyAlignment="1">
      <alignment horizontal="center" vertical="center" wrapText="1"/>
    </xf>
    <xf numFmtId="0" fontId="9" fillId="12" borderId="41" xfId="0" applyFont="1" applyFill="1" applyBorder="1" applyAlignment="1">
      <alignment horizontal="center" vertical="center" wrapText="1"/>
    </xf>
    <xf numFmtId="0" fontId="9" fillId="12" borderId="64" xfId="0" applyFont="1" applyFill="1" applyBorder="1" applyAlignment="1">
      <alignment horizontal="center" vertical="center" wrapText="1"/>
    </xf>
    <xf numFmtId="0" fontId="9" fillId="12" borderId="35" xfId="0" applyFont="1" applyFill="1" applyBorder="1" applyAlignment="1">
      <alignment horizontal="center" vertical="center" wrapText="1"/>
    </xf>
    <xf numFmtId="0" fontId="9" fillId="12" borderId="59" xfId="0" applyFont="1" applyFill="1" applyBorder="1" applyAlignment="1">
      <alignment horizontal="center" vertical="center" wrapText="1"/>
    </xf>
    <xf numFmtId="0" fontId="9" fillId="0" borderId="46" xfId="0" applyFont="1" applyBorder="1" applyAlignment="1">
      <alignment horizontal="left" vertical="center"/>
    </xf>
    <xf numFmtId="0" fontId="9" fillId="0" borderId="49" xfId="0" applyFont="1" applyBorder="1" applyAlignment="1">
      <alignment horizontal="left" vertical="top" wrapText="1"/>
    </xf>
    <xf numFmtId="0" fontId="1" fillId="0" borderId="3" xfId="0" applyFont="1" applyBorder="1" applyAlignment="1">
      <alignment horizontal="left" vertical="center"/>
    </xf>
    <xf numFmtId="0" fontId="7" fillId="0" borderId="5" xfId="0" applyFont="1" applyBorder="1" applyAlignment="1">
      <alignment horizontal="center" vertical="center" textRotation="91"/>
    </xf>
    <xf numFmtId="0" fontId="18" fillId="12" borderId="9" xfId="0" applyFont="1" applyFill="1" applyBorder="1" applyAlignment="1">
      <alignment horizontal="center" vertical="center" wrapText="1"/>
    </xf>
    <xf numFmtId="0" fontId="18" fillId="12" borderId="9" xfId="0" applyFont="1" applyFill="1" applyBorder="1" applyAlignment="1">
      <alignment horizontal="left" vertical="center"/>
    </xf>
    <xf numFmtId="0" fontId="13" fillId="0" borderId="46" xfId="0" applyFont="1" applyBorder="1" applyAlignment="1">
      <alignment horizontal="left"/>
    </xf>
    <xf numFmtId="0" fontId="9" fillId="0" borderId="17" xfId="0" applyFont="1" applyBorder="1" applyAlignment="1">
      <alignment horizontal="left" vertical="center"/>
    </xf>
    <xf numFmtId="0" fontId="18" fillId="12" borderId="46" xfId="0" applyFont="1" applyFill="1" applyBorder="1" applyAlignment="1">
      <alignment horizontal="center" vertical="center"/>
    </xf>
    <xf numFmtId="0" fontId="2" fillId="0" borderId="49" xfId="0" applyFont="1" applyBorder="1" applyAlignment="1">
      <alignment horizontal="left" vertical="center"/>
    </xf>
    <xf numFmtId="0" fontId="7" fillId="0" borderId="35" xfId="0" applyFont="1" applyBorder="1" applyAlignment="1">
      <alignment horizontal="left" vertical="center"/>
    </xf>
    <xf numFmtId="4" fontId="25" fillId="12" borderId="9" xfId="0" applyNumberFormat="1" applyFont="1" applyFill="1" applyBorder="1" applyAlignment="1">
      <alignment horizontal="center" vertical="center" wrapText="1"/>
    </xf>
    <xf numFmtId="0" fontId="7" fillId="12" borderId="56" xfId="0" applyFont="1" applyFill="1" applyBorder="1" applyAlignment="1">
      <alignment horizontal="left" vertical="center" wrapText="1"/>
    </xf>
    <xf numFmtId="0" fontId="7" fillId="12" borderId="35" xfId="0" applyFont="1" applyFill="1" applyBorder="1" applyAlignment="1">
      <alignment horizontal="center" vertical="center"/>
    </xf>
    <xf numFmtId="0" fontId="10" fillId="0" borderId="4" xfId="0" applyFont="1" applyBorder="1" applyAlignment="1">
      <alignment horizontal="center" vertical="center"/>
    </xf>
    <xf numFmtId="4" fontId="10" fillId="0" borderId="19" xfId="0" applyNumberFormat="1" applyFont="1" applyBorder="1" applyAlignment="1">
      <alignment horizontal="center" vertical="center" wrapText="1"/>
    </xf>
    <xf numFmtId="0" fontId="9" fillId="0" borderId="48" xfId="0" applyFont="1" applyBorder="1" applyAlignment="1">
      <alignment horizontal="center" vertical="center"/>
    </xf>
    <xf numFmtId="0" fontId="9" fillId="0" borderId="4" xfId="0" applyFont="1" applyBorder="1" applyAlignment="1">
      <alignment horizontal="left" vertical="center" wrapText="1"/>
    </xf>
    <xf numFmtId="0" fontId="7" fillId="12" borderId="4" xfId="0" applyFont="1" applyFill="1" applyBorder="1" applyAlignment="1">
      <alignment horizontal="left" vertical="center"/>
    </xf>
    <xf numFmtId="0" fontId="9" fillId="0" borderId="54" xfId="0" applyFont="1" applyBorder="1" applyAlignment="1">
      <alignment horizontal="left" vertical="center"/>
    </xf>
    <xf numFmtId="0" fontId="7" fillId="12" borderId="59" xfId="0" applyFont="1" applyFill="1" applyBorder="1" applyAlignment="1">
      <alignment horizontal="left" vertical="center"/>
    </xf>
    <xf numFmtId="0" fontId="7" fillId="12" borderId="15" xfId="0" applyFont="1" applyFill="1" applyBorder="1" applyAlignment="1">
      <alignment horizontal="center" vertical="center"/>
    </xf>
    <xf numFmtId="0" fontId="9" fillId="0" borderId="17" xfId="0" applyFont="1" applyBorder="1" applyAlignment="1">
      <alignment horizontal="center" vertical="center"/>
    </xf>
    <xf numFmtId="0" fontId="9" fillId="0" borderId="4" xfId="0" applyFont="1" applyBorder="1" applyAlignment="1">
      <alignment horizontal="center" vertical="center"/>
    </xf>
    <xf numFmtId="4" fontId="9" fillId="0" borderId="19" xfId="0" applyNumberFormat="1" applyFont="1" applyBorder="1" applyAlignment="1">
      <alignment horizontal="center" vertical="center"/>
    </xf>
    <xf numFmtId="0" fontId="9" fillId="0" borderId="17" xfId="0" applyFont="1" applyBorder="1" applyAlignment="1">
      <alignment horizontal="left" vertical="center" wrapText="1"/>
    </xf>
    <xf numFmtId="0" fontId="7" fillId="12" borderId="5" xfId="0" applyFont="1" applyFill="1" applyBorder="1" applyAlignment="1">
      <alignment horizontal="left" vertical="center"/>
    </xf>
    <xf numFmtId="4" fontId="9" fillId="0" borderId="47" xfId="0" applyNumberFormat="1" applyFont="1" applyBorder="1" applyAlignment="1">
      <alignment horizontal="center" vertical="center" wrapText="1"/>
    </xf>
    <xf numFmtId="0" fontId="9" fillId="0" borderId="17" xfId="0" applyFont="1" applyBorder="1" applyAlignment="1">
      <alignment vertical="center"/>
    </xf>
    <xf numFmtId="0" fontId="7" fillId="12" borderId="52" xfId="0" applyFont="1" applyFill="1" applyBorder="1" applyAlignment="1">
      <alignment horizontal="left" vertical="center"/>
    </xf>
    <xf numFmtId="0" fontId="7" fillId="12" borderId="36" xfId="0" applyFont="1" applyFill="1" applyBorder="1" applyAlignment="1">
      <alignment horizontal="center" vertical="center"/>
    </xf>
    <xf numFmtId="4" fontId="7" fillId="15" borderId="23" xfId="0" applyNumberFormat="1" applyFont="1" applyFill="1" applyBorder="1" applyAlignment="1">
      <alignment horizontal="center" vertical="center" wrapText="1"/>
    </xf>
    <xf numFmtId="0" fontId="7" fillId="12" borderId="48" xfId="0" applyFont="1" applyFill="1" applyBorder="1" applyAlignment="1">
      <alignment horizontal="center" vertical="center"/>
    </xf>
    <xf numFmtId="0" fontId="7" fillId="12" borderId="17" xfId="0" applyFont="1" applyFill="1" applyBorder="1" applyAlignment="1">
      <alignment vertical="center"/>
    </xf>
    <xf numFmtId="0" fontId="7" fillId="12" borderId="22" xfId="0" applyFont="1" applyFill="1" applyBorder="1" applyAlignment="1">
      <alignment vertical="center"/>
    </xf>
    <xf numFmtId="0" fontId="9" fillId="0" borderId="4" xfId="0" applyFont="1" applyBorder="1" applyAlignment="1">
      <alignment horizontal="left" vertical="center"/>
    </xf>
    <xf numFmtId="0" fontId="9" fillId="0" borderId="48" xfId="0" applyFont="1" applyBorder="1" applyAlignment="1">
      <alignment horizontal="left" vertical="center"/>
    </xf>
    <xf numFmtId="0" fontId="33" fillId="12" borderId="49" xfId="0" applyFont="1" applyFill="1" applyBorder="1" applyAlignment="1">
      <alignment horizontal="center" vertical="center" wrapText="1"/>
    </xf>
    <xf numFmtId="0" fontId="25" fillId="8" borderId="9" xfId="0" applyFont="1" applyFill="1" applyBorder="1" applyAlignment="1">
      <alignment horizontal="center" vertical="center"/>
    </xf>
    <xf numFmtId="10" fontId="26" fillId="8" borderId="36" xfId="0" applyNumberFormat="1" applyFont="1" applyFill="1" applyBorder="1" applyAlignment="1">
      <alignment horizontal="center" vertical="center"/>
    </xf>
    <xf numFmtId="0" fontId="26" fillId="8" borderId="36" xfId="0" applyFont="1" applyFill="1" applyBorder="1" applyAlignment="1">
      <alignment horizontal="left" vertical="center" wrapText="1"/>
    </xf>
    <xf numFmtId="0" fontId="34" fillId="8" borderId="9" xfId="0" applyFont="1" applyFill="1" applyBorder="1" applyAlignment="1">
      <alignment horizontal="center" vertical="center"/>
    </xf>
    <xf numFmtId="0" fontId="35" fillId="21" borderId="7" xfId="0" applyFont="1" applyFill="1" applyBorder="1" applyAlignment="1">
      <alignment horizontal="left" vertical="center"/>
    </xf>
    <xf numFmtId="0" fontId="9" fillId="0" borderId="12" xfId="0" applyFont="1" applyBorder="1" applyAlignment="1">
      <alignment horizontal="left" vertical="center"/>
    </xf>
    <xf numFmtId="0" fontId="26" fillId="0" borderId="17" xfId="0" applyFont="1" applyBorder="1" applyAlignment="1">
      <alignment horizontal="left" vertical="center" wrapText="1"/>
    </xf>
    <xf numFmtId="0" fontId="26" fillId="12" borderId="19" xfId="0" applyFont="1" applyFill="1" applyBorder="1" applyAlignment="1">
      <alignment horizontal="center" vertical="center"/>
    </xf>
    <xf numFmtId="0" fontId="26" fillId="12" borderId="4" xfId="0" applyFont="1" applyFill="1" applyBorder="1" applyAlignment="1">
      <alignment horizontal="left" vertical="center"/>
    </xf>
    <xf numFmtId="0" fontId="26" fillId="0" borderId="17" xfId="0" applyFont="1" applyBorder="1" applyAlignment="1">
      <alignment horizontal="left" vertical="center"/>
    </xf>
    <xf numFmtId="0" fontId="26" fillId="12" borderId="4" xfId="0" applyFont="1" applyFill="1" applyBorder="1" applyAlignment="1">
      <alignment horizontal="left" vertical="center" wrapText="1"/>
    </xf>
    <xf numFmtId="0" fontId="7" fillId="0" borderId="4" xfId="0" applyFont="1" applyBorder="1" applyAlignment="1">
      <alignment horizontal="left" vertical="center" wrapText="1"/>
    </xf>
    <xf numFmtId="0" fontId="26" fillId="0" borderId="22" xfId="0" applyFont="1" applyBorder="1" applyAlignment="1">
      <alignment horizontal="left" vertical="center"/>
    </xf>
    <xf numFmtId="0" fontId="26" fillId="12" borderId="9" xfId="0" applyFont="1" applyFill="1" applyBorder="1" applyAlignment="1">
      <alignment horizontal="center" vertical="center"/>
    </xf>
    <xf numFmtId="0" fontId="26" fillId="8" borderId="9" xfId="0" applyFont="1" applyFill="1" applyBorder="1" applyAlignment="1">
      <alignment horizontal="center" vertical="center"/>
    </xf>
    <xf numFmtId="0" fontId="26" fillId="12" borderId="34" xfId="0" applyFont="1" applyFill="1" applyBorder="1" applyAlignment="1">
      <alignment horizontal="center" vertical="center"/>
    </xf>
    <xf numFmtId="0" fontId="18" fillId="18" borderId="4" xfId="0" applyFont="1" applyFill="1" applyBorder="1" applyAlignment="1">
      <alignment horizontal="center" vertical="center" wrapText="1"/>
    </xf>
    <xf numFmtId="0" fontId="25" fillId="0" borderId="21" xfId="0" applyFont="1" applyBorder="1" applyAlignment="1">
      <alignment horizontal="left" vertical="center"/>
    </xf>
    <xf numFmtId="0" fontId="27" fillId="18" borderId="4" xfId="0" applyFont="1" applyFill="1" applyBorder="1" applyAlignment="1">
      <alignment horizontal="center" vertical="center"/>
    </xf>
  </cellXfs>
  <cellStyles count="5">
    <cellStyle name="Excel Built-in Explanatory Text" xfId="4" xr:uid="{00000000-0005-0000-0000-000006000000}"/>
    <cellStyle name="Moeda" xfId="2" builtinId="4"/>
    <cellStyle name="Normal" xfId="0" builtinId="0"/>
    <cellStyle name="Porcentagem" xfId="3" builtinId="5"/>
    <cellStyle name="Vírgula" xfId="1" builtinId="3"/>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A6"/>
      <rgbColor rgb="FFFF00FF"/>
      <rgbColor rgb="FF00FFFF"/>
      <rgbColor rgb="FF9C0006"/>
      <rgbColor rgb="FF006100"/>
      <rgbColor rgb="FF000080"/>
      <rgbColor rgb="FF808000"/>
      <rgbColor rgb="FF800080"/>
      <rgbColor rgb="FF008080"/>
      <rgbColor rgb="FFC0C0C0"/>
      <rgbColor rgb="FF808080"/>
      <rgbColor rgb="FFD9D9D9"/>
      <rgbColor rgb="FF993366"/>
      <rgbColor rgb="FFFFFFCC"/>
      <rgbColor rgb="FFDEEBF7"/>
      <rgbColor rgb="FF660066"/>
      <rgbColor rgb="FFF2DCDB"/>
      <rgbColor rgb="FF0066CC"/>
      <rgbColor rgb="FFBDD7EE"/>
      <rgbColor rgb="FF000080"/>
      <rgbColor rgb="FFFF00FF"/>
      <rgbColor rgb="FFF2F2F2"/>
      <rgbColor rgb="FF00FFFF"/>
      <rgbColor rgb="FF800080"/>
      <rgbColor rgb="FFC00000"/>
      <rgbColor rgb="FF008080"/>
      <rgbColor rgb="FF0000FF"/>
      <rgbColor rgb="FF00B0F0"/>
      <rgbColor rgb="FFC6EFCE"/>
      <rgbColor rgb="FFCCFFCC"/>
      <rgbColor rgb="FFFFFF99"/>
      <rgbColor rgb="FFADB9CA"/>
      <rgbColor rgb="FFFFC7CE"/>
      <rgbColor rgb="FFBFBFBF"/>
      <rgbColor rgb="FFF8CBAD"/>
      <rgbColor rgb="FF3366CC"/>
      <rgbColor rgb="FF33CCCC"/>
      <rgbColor rgb="FF99CC00"/>
      <rgbColor rgb="FFFFD966"/>
      <rgbColor rgb="FFFF9900"/>
      <rgbColor rgb="FFFF6600"/>
      <rgbColor rgb="FF606060"/>
      <rgbColor rgb="FFDCE6F2"/>
      <rgbColor rgb="FF10243E"/>
      <rgbColor rgb="FF339966"/>
      <rgbColor rgb="FF003300"/>
      <rgbColor rgb="FF333300"/>
      <rgbColor rgb="FF993300"/>
      <rgbColor rgb="FF993366"/>
      <rgbColor rgb="FF59595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38160</xdr:colOff>
      <xdr:row>0</xdr:row>
      <xdr:rowOff>76320</xdr:rowOff>
    </xdr:from>
    <xdr:to>
      <xdr:col>1</xdr:col>
      <xdr:colOff>3062</xdr:colOff>
      <xdr:row>2</xdr:row>
      <xdr:rowOff>90720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8160" y="76320"/>
          <a:ext cx="404640" cy="48096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576720</xdr:colOff>
      <xdr:row>2</xdr:row>
      <xdr:rowOff>129240</xdr:rowOff>
    </xdr:to>
    <xdr:pic>
      <xdr:nvPicPr>
        <xdr:cNvPr id="9" name="Picture 1">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a:stretch/>
      </xdr:blipFill>
      <xdr:spPr>
        <a:xfrm>
          <a:off x="171360" y="38160"/>
          <a:ext cx="405360" cy="47196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576720</xdr:colOff>
      <xdr:row>2</xdr:row>
      <xdr:rowOff>129240</xdr:rowOff>
    </xdr:to>
    <xdr:pic>
      <xdr:nvPicPr>
        <xdr:cNvPr id="8" name="Picture 1">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a:stretch/>
      </xdr:blipFill>
      <xdr:spPr>
        <a:xfrm>
          <a:off x="171360" y="38160"/>
          <a:ext cx="405360" cy="47196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576720</xdr:colOff>
      <xdr:row>2</xdr:row>
      <xdr:rowOff>129240</xdr:rowOff>
    </xdr:to>
    <xdr:pic>
      <xdr:nvPicPr>
        <xdr:cNvPr id="10" name="Picture 1">
          <a:extLst>
            <a:ext uri="{FF2B5EF4-FFF2-40B4-BE49-F238E27FC236}">
              <a16:creationId xmlns:a16="http://schemas.microsoft.com/office/drawing/2014/main" id="{00000000-0008-0000-0A00-00000A000000}"/>
            </a:ext>
          </a:extLst>
        </xdr:cNvPr>
        <xdr:cNvPicPr/>
      </xdr:nvPicPr>
      <xdr:blipFill>
        <a:blip xmlns:r="http://schemas.openxmlformats.org/officeDocument/2006/relationships" r:embed="rId1"/>
        <a:stretch/>
      </xdr:blipFill>
      <xdr:spPr>
        <a:xfrm>
          <a:off x="171360" y="38160"/>
          <a:ext cx="405360" cy="47196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396000</xdr:colOff>
      <xdr:row>2</xdr:row>
      <xdr:rowOff>24480</xdr:rowOff>
    </xdr:to>
    <xdr:pic>
      <xdr:nvPicPr>
        <xdr:cNvPr id="13" name="Picture 1">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1"/>
        <a:stretch/>
      </xdr:blipFill>
      <xdr:spPr>
        <a:xfrm>
          <a:off x="95400" y="57240"/>
          <a:ext cx="300600" cy="34812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142920</xdr:colOff>
      <xdr:row>0</xdr:row>
      <xdr:rowOff>38160</xdr:rowOff>
    </xdr:from>
    <xdr:to>
      <xdr:col>0</xdr:col>
      <xdr:colOff>452880</xdr:colOff>
      <xdr:row>2</xdr:row>
      <xdr:rowOff>129240</xdr:rowOff>
    </xdr:to>
    <xdr:pic>
      <xdr:nvPicPr>
        <xdr:cNvPr id="14" name="Picture 1">
          <a:extLst>
            <a:ext uri="{FF2B5EF4-FFF2-40B4-BE49-F238E27FC236}">
              <a16:creationId xmlns:a16="http://schemas.microsoft.com/office/drawing/2014/main" id="{00000000-0008-0000-0E00-00000E000000}"/>
            </a:ext>
          </a:extLst>
        </xdr:cNvPr>
        <xdr:cNvPicPr/>
      </xdr:nvPicPr>
      <xdr:blipFill>
        <a:blip xmlns:r="http://schemas.openxmlformats.org/officeDocument/2006/relationships" r:embed="rId1"/>
        <a:stretch/>
      </xdr:blipFill>
      <xdr:spPr>
        <a:xfrm>
          <a:off x="142920" y="38160"/>
          <a:ext cx="309960" cy="4719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398880</xdr:colOff>
      <xdr:row>2</xdr:row>
      <xdr:rowOff>24480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95400" y="57240"/>
          <a:ext cx="303480" cy="3481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112680</xdr:colOff>
      <xdr:row>0</xdr:row>
      <xdr:rowOff>56160</xdr:rowOff>
    </xdr:from>
    <xdr:to>
      <xdr:col>0</xdr:col>
      <xdr:colOff>567360</xdr:colOff>
      <xdr:row>2</xdr:row>
      <xdr:rowOff>200520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112680" y="56160"/>
          <a:ext cx="454680" cy="52524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47520</xdr:colOff>
      <xdr:row>0</xdr:row>
      <xdr:rowOff>0</xdr:rowOff>
    </xdr:from>
    <xdr:to>
      <xdr:col>0</xdr:col>
      <xdr:colOff>452880</xdr:colOff>
      <xdr:row>2</xdr:row>
      <xdr:rowOff>91080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47520" y="0"/>
          <a:ext cx="405360" cy="47196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67320</xdr:colOff>
      <xdr:row>0</xdr:row>
      <xdr:rowOff>111960</xdr:rowOff>
    </xdr:from>
    <xdr:to>
      <xdr:col>1</xdr:col>
      <xdr:colOff>16560</xdr:colOff>
      <xdr:row>2</xdr:row>
      <xdr:rowOff>51840</xdr:rowOff>
    </xdr:to>
    <xdr:pic>
      <xdr:nvPicPr>
        <xdr:cNvPr id="4" name="Picture 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67320" y="111960"/>
          <a:ext cx="301680" cy="34956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38160</xdr:colOff>
      <xdr:row>0</xdr:row>
      <xdr:rowOff>85680</xdr:rowOff>
    </xdr:from>
    <xdr:to>
      <xdr:col>0</xdr:col>
      <xdr:colOff>357840</xdr:colOff>
      <xdr:row>2</xdr:row>
      <xdr:rowOff>92880</xdr:rowOff>
    </xdr:to>
    <xdr:pic>
      <xdr:nvPicPr>
        <xdr:cNvPr id="5" name="Picture 1">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stretch/>
      </xdr:blipFill>
      <xdr:spPr>
        <a:xfrm>
          <a:off x="38160" y="85680"/>
          <a:ext cx="319680" cy="29304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38160</xdr:colOff>
      <xdr:row>0</xdr:row>
      <xdr:rowOff>85680</xdr:rowOff>
    </xdr:from>
    <xdr:to>
      <xdr:col>0</xdr:col>
      <xdr:colOff>357840</xdr:colOff>
      <xdr:row>2</xdr:row>
      <xdr:rowOff>92880</xdr:rowOff>
    </xdr:to>
    <xdr:pic>
      <xdr:nvPicPr>
        <xdr:cNvPr id="6" name="Picture 1">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stretch/>
      </xdr:blipFill>
      <xdr:spPr>
        <a:xfrm>
          <a:off x="38160" y="85680"/>
          <a:ext cx="319680" cy="29304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257040</xdr:colOff>
      <xdr:row>0</xdr:row>
      <xdr:rowOff>66600</xdr:rowOff>
    </xdr:from>
    <xdr:to>
      <xdr:col>0</xdr:col>
      <xdr:colOff>662400</xdr:colOff>
      <xdr:row>2</xdr:row>
      <xdr:rowOff>100440</xdr:rowOff>
    </xdr:to>
    <xdr:pic>
      <xdr:nvPicPr>
        <xdr:cNvPr id="12" name="Picture 1">
          <a:extLst>
            <a:ext uri="{FF2B5EF4-FFF2-40B4-BE49-F238E27FC236}">
              <a16:creationId xmlns:a16="http://schemas.microsoft.com/office/drawing/2014/main" id="{00000000-0008-0000-0C00-00000C000000}"/>
            </a:ext>
          </a:extLst>
        </xdr:cNvPr>
        <xdr:cNvPicPr/>
      </xdr:nvPicPr>
      <xdr:blipFill>
        <a:blip xmlns:r="http://schemas.openxmlformats.org/officeDocument/2006/relationships" r:embed="rId1"/>
        <a:stretch/>
      </xdr:blipFill>
      <xdr:spPr>
        <a:xfrm>
          <a:off x="257040" y="66600"/>
          <a:ext cx="405360" cy="41472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576720</xdr:colOff>
      <xdr:row>2</xdr:row>
      <xdr:rowOff>129240</xdr:rowOff>
    </xdr:to>
    <xdr:pic>
      <xdr:nvPicPr>
        <xdr:cNvPr id="11" name="Picture 1">
          <a:extLst>
            <a:ext uri="{FF2B5EF4-FFF2-40B4-BE49-F238E27FC236}">
              <a16:creationId xmlns:a16="http://schemas.microsoft.com/office/drawing/2014/main" id="{00000000-0008-0000-0B00-00000B000000}"/>
            </a:ext>
          </a:extLst>
        </xdr:cNvPr>
        <xdr:cNvPicPr/>
      </xdr:nvPicPr>
      <xdr:blipFill>
        <a:blip xmlns:r="http://schemas.openxmlformats.org/officeDocument/2006/relationships" r:embed="rId1"/>
        <a:stretch/>
      </xdr:blipFill>
      <xdr:spPr>
        <a:xfrm>
          <a:off x="171360" y="38160"/>
          <a:ext cx="405360" cy="471960"/>
        </a:xfrm>
        <a:prstGeom prst="rect">
          <a:avLst/>
        </a:prstGeom>
        <a:ln w="0">
          <a:noFill/>
        </a:ln>
      </xdr:spPr>
    </xdr:pic>
    <xdr:clientData/>
  </xdr:twoCellAnchor>
</xdr:wsDr>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MI109"/>
  <sheetViews>
    <sheetView showGridLines="0" zoomScaleNormal="100" zoomScaleSheetLayoutView="100" zoomScalePageLayoutView="120" workbookViewId="0">
      <selection activeCell="B110" sqref="B110"/>
    </sheetView>
  </sheetViews>
  <sheetFormatPr defaultColWidth="8.7109375" defaultRowHeight="15" x14ac:dyDescent="0.25"/>
  <cols>
    <col min="1" max="1" width="6.28515625" style="2" customWidth="1"/>
    <col min="2" max="2" width="41.42578125" style="3" customWidth="1"/>
    <col min="3" max="3" width="7.85546875" style="2" customWidth="1"/>
    <col min="4" max="4" width="16.28515625" style="2" customWidth="1"/>
    <col min="5" max="5" width="12.85546875" style="2" customWidth="1"/>
    <col min="6" max="6" width="16.28515625" style="2" customWidth="1"/>
    <col min="7" max="7" width="17.7109375" style="2" customWidth="1"/>
    <col min="8" max="8" width="20" style="2" customWidth="1"/>
    <col min="9" max="10" width="16.28515625" style="2" customWidth="1"/>
    <col min="11" max="12" width="13.85546875" style="4" customWidth="1"/>
    <col min="13" max="13" width="14.28515625" style="4" customWidth="1"/>
    <col min="14" max="14" width="15.42578125" style="2" customWidth="1"/>
    <col min="15" max="15" width="12.85546875" style="2" customWidth="1"/>
    <col min="16" max="16" width="16.42578125" style="2" customWidth="1"/>
    <col min="17" max="17" width="12" style="2" customWidth="1"/>
    <col min="18" max="18" width="10.140625" style="5" customWidth="1"/>
    <col min="19" max="19" width="13.28515625" style="5" customWidth="1"/>
    <col min="20" max="20" width="13.85546875" style="5" customWidth="1"/>
    <col min="21" max="21" width="13.7109375" style="5" customWidth="1"/>
    <col min="22" max="254" width="9.140625" style="2" customWidth="1"/>
    <col min="255" max="255" width="6.28515625" style="2" customWidth="1"/>
    <col min="256" max="256" width="41.42578125" style="2" customWidth="1"/>
    <col min="257" max="257" width="7.85546875" style="2" customWidth="1"/>
    <col min="258" max="258" width="16.28515625" style="2" customWidth="1"/>
    <col min="259" max="259" width="12.85546875" style="2" customWidth="1"/>
    <col min="260" max="261" width="16.28515625" style="2" customWidth="1"/>
    <col min="262" max="262" width="13.28515625" style="2" customWidth="1"/>
    <col min="263" max="264" width="16.28515625" style="2" customWidth="1"/>
    <col min="265" max="266" width="13.85546875" style="2" customWidth="1"/>
    <col min="267" max="267" width="13" style="2" customWidth="1"/>
    <col min="268" max="268" width="13.5703125" style="2" customWidth="1"/>
    <col min="269" max="269" width="12.85546875" style="2" customWidth="1"/>
    <col min="270" max="270" width="14.140625" style="2" customWidth="1"/>
    <col min="271" max="271" width="12" style="2" customWidth="1"/>
    <col min="272" max="272" width="13" style="2" customWidth="1"/>
    <col min="273" max="273" width="11.85546875" style="2" customWidth="1"/>
    <col min="274" max="274" width="13.28515625" style="2" customWidth="1"/>
    <col min="275" max="275" width="12.28515625" style="2" customWidth="1"/>
    <col min="276" max="276" width="12.42578125" style="2" customWidth="1"/>
    <col min="277" max="277" width="10.5703125" style="2" customWidth="1"/>
    <col min="278" max="510" width="9.140625" style="2" customWidth="1"/>
    <col min="511" max="511" width="6.28515625" style="2" customWidth="1"/>
    <col min="512" max="512" width="41.42578125" style="2" customWidth="1"/>
    <col min="513" max="513" width="7.85546875" style="2" customWidth="1"/>
    <col min="514" max="514" width="16.28515625" style="2" customWidth="1"/>
    <col min="515" max="515" width="12.85546875" style="2" customWidth="1"/>
    <col min="516" max="517" width="16.28515625" style="2" customWidth="1"/>
    <col min="518" max="518" width="13.28515625" style="2" customWidth="1"/>
    <col min="519" max="520" width="16.28515625" style="2" customWidth="1"/>
    <col min="521" max="522" width="13.85546875" style="2" customWidth="1"/>
    <col min="523" max="523" width="13" style="2" customWidth="1"/>
    <col min="524" max="524" width="13.5703125" style="2" customWidth="1"/>
    <col min="525" max="525" width="12.85546875" style="2" customWidth="1"/>
    <col min="526" max="526" width="14.140625" style="2" customWidth="1"/>
    <col min="527" max="527" width="12" style="2" customWidth="1"/>
    <col min="528" max="528" width="13" style="2" customWidth="1"/>
    <col min="529" max="529" width="11.85546875" style="2" customWidth="1"/>
    <col min="530" max="530" width="13.28515625" style="2" customWidth="1"/>
    <col min="531" max="531" width="12.28515625" style="2" customWidth="1"/>
    <col min="532" max="532" width="12.42578125" style="2" customWidth="1"/>
    <col min="533" max="533" width="10.5703125" style="2" customWidth="1"/>
    <col min="534" max="766" width="9.140625" style="2" customWidth="1"/>
    <col min="767" max="767" width="6.28515625" style="2" customWidth="1"/>
    <col min="768" max="768" width="41.42578125" style="2" customWidth="1"/>
    <col min="769" max="769" width="7.85546875" style="2" customWidth="1"/>
    <col min="770" max="770" width="16.28515625" style="2" customWidth="1"/>
    <col min="771" max="771" width="12.85546875" style="2" customWidth="1"/>
    <col min="772" max="773" width="16.28515625" style="2" customWidth="1"/>
    <col min="774" max="774" width="13.28515625" style="2" customWidth="1"/>
    <col min="775" max="776" width="16.28515625" style="2" customWidth="1"/>
    <col min="777" max="778" width="13.85546875" style="2" customWidth="1"/>
    <col min="779" max="779" width="13" style="2" customWidth="1"/>
    <col min="780" max="780" width="13.5703125" style="2" customWidth="1"/>
    <col min="781" max="781" width="12.85546875" style="2" customWidth="1"/>
    <col min="782" max="782" width="14.140625" style="2" customWidth="1"/>
    <col min="783" max="783" width="12" style="2" customWidth="1"/>
    <col min="784" max="784" width="13" style="2" customWidth="1"/>
    <col min="785" max="785" width="11.85546875" style="2" customWidth="1"/>
    <col min="786" max="786" width="13.28515625" style="2" customWidth="1"/>
    <col min="787" max="787" width="12.28515625" style="2" customWidth="1"/>
    <col min="788" max="788" width="12.42578125" style="2" customWidth="1"/>
    <col min="789" max="789" width="10.5703125" style="2" customWidth="1"/>
    <col min="790" max="1023" width="9.140625" style="2" customWidth="1"/>
  </cols>
  <sheetData>
    <row r="1" spans="1:21" ht="17.25" customHeight="1" x14ac:dyDescent="0.25">
      <c r="A1" s="6"/>
      <c r="B1" s="7" t="str">
        <f>INSTRUÇÕES!B1</f>
        <v>Tribunal Regional Federal da 6ª Região</v>
      </c>
      <c r="S1" s="8"/>
      <c r="T1" s="8"/>
      <c r="U1" s="8"/>
    </row>
    <row r="2" spans="1:21" s="12" customFormat="1" ht="19.5" customHeight="1" x14ac:dyDescent="0.25">
      <c r="A2" s="9"/>
      <c r="B2" s="10" t="str">
        <f>INSTRUÇÕES!B2</f>
        <v>Seção Judiciária de Minas Gerais</v>
      </c>
      <c r="C2" s="471" t="s">
        <v>0</v>
      </c>
      <c r="D2" s="471"/>
      <c r="E2" s="471"/>
      <c r="F2" s="471"/>
      <c r="G2" s="471"/>
      <c r="H2" s="471"/>
      <c r="I2" s="471"/>
      <c r="J2" s="471"/>
      <c r="K2" s="471"/>
      <c r="L2" s="471"/>
      <c r="M2" s="471"/>
      <c r="N2" s="471"/>
      <c r="O2" s="471"/>
      <c r="P2" s="471"/>
      <c r="Q2" s="471"/>
      <c r="R2" s="471"/>
      <c r="S2" s="11"/>
      <c r="T2" s="11"/>
      <c r="U2" s="11"/>
    </row>
    <row r="3" spans="1:21" s="12" customFormat="1" ht="23.25" x14ac:dyDescent="0.25">
      <c r="A3" s="9"/>
      <c r="B3" s="10" t="str">
        <f>INSTRUÇÕES!B3</f>
        <v>Subseção Judiciária de Lavras</v>
      </c>
      <c r="C3" s="471" t="s">
        <v>1</v>
      </c>
      <c r="D3" s="471"/>
      <c r="E3" s="471"/>
      <c r="F3" s="471"/>
      <c r="G3" s="471"/>
      <c r="H3" s="471"/>
      <c r="I3" s="471"/>
      <c r="J3" s="471"/>
      <c r="K3" s="471"/>
      <c r="L3" s="471"/>
      <c r="M3" s="471"/>
      <c r="N3" s="471"/>
      <c r="O3" s="471"/>
      <c r="P3" s="471"/>
      <c r="Q3" s="471"/>
      <c r="R3" s="471"/>
    </row>
    <row r="4" spans="1:21" s="14" customFormat="1" ht="23.25" hidden="1" customHeight="1" x14ac:dyDescent="0.25">
      <c r="A4" s="472" t="s">
        <v>2</v>
      </c>
      <c r="B4" s="472"/>
      <c r="C4" s="472"/>
      <c r="D4" s="1" t="s">
        <v>3</v>
      </c>
      <c r="E4" s="16">
        <f>VLOOKUP(D4,B92:C95,2,FALSE())</f>
        <v>30</v>
      </c>
      <c r="F4" s="3" t="str">
        <f>VLOOKUP(D4,B93:D95,3,FALSE())</f>
        <v>Obs: Desconto atualmente aplicado (30 dias corridos).</v>
      </c>
      <c r="G4" s="3"/>
      <c r="H4" s="3"/>
      <c r="I4" s="3"/>
      <c r="J4" s="13"/>
      <c r="K4" s="13"/>
      <c r="L4" s="13"/>
      <c r="M4" s="13"/>
      <c r="N4" s="13"/>
      <c r="R4" s="15"/>
      <c r="S4" s="15"/>
      <c r="T4" s="15"/>
      <c r="U4" s="15"/>
    </row>
    <row r="5" spans="1:21" s="14" customFormat="1" ht="12" hidden="1" customHeight="1" x14ac:dyDescent="0.25">
      <c r="A5" s="13"/>
      <c r="B5" s="17"/>
      <c r="C5" s="13"/>
      <c r="D5" s="13"/>
      <c r="E5" s="13"/>
      <c r="F5" s="13"/>
      <c r="G5" s="13"/>
      <c r="H5" s="13"/>
      <c r="I5" s="13"/>
      <c r="J5" s="13"/>
      <c r="K5" s="13"/>
      <c r="L5" s="13"/>
      <c r="M5" s="13"/>
      <c r="N5" s="13"/>
      <c r="R5" s="15"/>
      <c r="S5" s="15"/>
      <c r="T5" s="15"/>
      <c r="U5" s="15"/>
    </row>
    <row r="6" spans="1:21" s="14" customFormat="1" ht="31.5" hidden="1" customHeight="1" x14ac:dyDescent="0.25">
      <c r="A6" s="473" t="s">
        <v>4</v>
      </c>
      <c r="B6" s="473"/>
      <c r="C6" s="473"/>
      <c r="D6" s="474" t="s">
        <v>5</v>
      </c>
      <c r="E6" s="475" t="s">
        <v>6</v>
      </c>
      <c r="F6" s="476" t="s">
        <v>7</v>
      </c>
      <c r="G6" s="476" t="s">
        <v>8</v>
      </c>
      <c r="H6" s="474" t="s">
        <v>9</v>
      </c>
      <c r="I6" s="475" t="s">
        <v>10</v>
      </c>
      <c r="J6" s="476" t="s">
        <v>564</v>
      </c>
      <c r="K6" s="477" t="s">
        <v>11</v>
      </c>
      <c r="L6" s="478" t="s">
        <v>12</v>
      </c>
      <c r="M6" s="478" t="s">
        <v>13</v>
      </c>
      <c r="N6" s="479" t="s">
        <v>14</v>
      </c>
      <c r="O6" s="480" t="s">
        <v>15</v>
      </c>
      <c r="P6" s="476" t="s">
        <v>16</v>
      </c>
      <c r="Q6" s="476" t="s">
        <v>17</v>
      </c>
      <c r="R6" s="475" t="s">
        <v>563</v>
      </c>
      <c r="S6" s="481" t="s">
        <v>18</v>
      </c>
      <c r="T6" s="481"/>
      <c r="U6" s="481"/>
    </row>
    <row r="7" spans="1:21" s="14" customFormat="1" ht="31.5" hidden="1" customHeight="1" x14ac:dyDescent="0.25">
      <c r="A7" s="473"/>
      <c r="B7" s="473"/>
      <c r="C7" s="473"/>
      <c r="D7" s="474"/>
      <c r="E7" s="475"/>
      <c r="F7" s="476"/>
      <c r="G7" s="476"/>
      <c r="H7" s="474"/>
      <c r="I7" s="475"/>
      <c r="J7" s="476"/>
      <c r="K7" s="477"/>
      <c r="L7" s="478"/>
      <c r="M7" s="478"/>
      <c r="N7" s="479"/>
      <c r="O7" s="480"/>
      <c r="P7" s="476"/>
      <c r="Q7" s="476"/>
      <c r="R7" s="475"/>
      <c r="S7" s="481"/>
      <c r="T7" s="481"/>
      <c r="U7" s="481"/>
    </row>
    <row r="8" spans="1:21" s="14" customFormat="1" ht="31.5" hidden="1" customHeight="1" x14ac:dyDescent="0.25">
      <c r="A8" s="473"/>
      <c r="B8" s="473"/>
      <c r="C8" s="473"/>
      <c r="D8" s="474"/>
      <c r="E8" s="475"/>
      <c r="F8" s="476"/>
      <c r="G8" s="476"/>
      <c r="H8" s="474"/>
      <c r="I8" s="475"/>
      <c r="J8" s="476"/>
      <c r="K8" s="477"/>
      <c r="L8" s="478"/>
      <c r="M8" s="478"/>
      <c r="N8" s="479"/>
      <c r="O8" s="480"/>
      <c r="P8" s="476"/>
      <c r="Q8" s="476"/>
      <c r="R8" s="475"/>
      <c r="S8" s="481"/>
      <c r="T8" s="481"/>
      <c r="U8" s="481"/>
    </row>
    <row r="9" spans="1:21" s="14" customFormat="1" ht="51" hidden="1" x14ac:dyDescent="0.25">
      <c r="A9" s="18" t="s">
        <v>19</v>
      </c>
      <c r="B9" s="19" t="s">
        <v>20</v>
      </c>
      <c r="C9" s="20" t="s">
        <v>21</v>
      </c>
      <c r="D9" s="21" t="s">
        <v>22</v>
      </c>
      <c r="E9" s="18" t="s">
        <v>23</v>
      </c>
      <c r="F9" s="20" t="s">
        <v>24</v>
      </c>
      <c r="G9" s="20" t="s">
        <v>25</v>
      </c>
      <c r="H9" s="21" t="s">
        <v>26</v>
      </c>
      <c r="I9" s="18" t="s">
        <v>27</v>
      </c>
      <c r="J9" s="20" t="s">
        <v>28</v>
      </c>
      <c r="K9" s="22" t="s">
        <v>28</v>
      </c>
      <c r="L9" s="23" t="s">
        <v>29</v>
      </c>
      <c r="M9" s="23" t="s">
        <v>30</v>
      </c>
      <c r="N9" s="23" t="s">
        <v>31</v>
      </c>
      <c r="O9" s="24" t="s">
        <v>32</v>
      </c>
      <c r="P9" s="20" t="s">
        <v>33</v>
      </c>
      <c r="Q9" s="20" t="s">
        <v>34</v>
      </c>
      <c r="R9" s="18" t="s">
        <v>35</v>
      </c>
      <c r="S9" s="20" t="s">
        <v>36</v>
      </c>
      <c r="T9" s="20" t="s">
        <v>37</v>
      </c>
      <c r="U9" s="20" t="s">
        <v>38</v>
      </c>
    </row>
    <row r="10" spans="1:21" s="14" customFormat="1" ht="15.75" hidden="1" x14ac:dyDescent="0.25">
      <c r="A10" s="25">
        <f>Dados!B7</f>
        <v>1</v>
      </c>
      <c r="B10" s="26" t="str">
        <f>Dados!C7</f>
        <v>Servente de Limpeza com adicional de 40% de Insalubridade</v>
      </c>
      <c r="C10" s="27">
        <f>Dados!D7</f>
        <v>200</v>
      </c>
      <c r="D10" s="28">
        <v>0</v>
      </c>
      <c r="E10" s="25" t="s">
        <v>39</v>
      </c>
      <c r="F10" s="27">
        <f>IF(E10="NÃO",0,D10*Dados!$G$34)</f>
        <v>0</v>
      </c>
      <c r="G10" s="29">
        <v>0</v>
      </c>
      <c r="H10" s="28">
        <v>0</v>
      </c>
      <c r="I10" s="30">
        <v>0</v>
      </c>
      <c r="J10" s="29">
        <v>0</v>
      </c>
      <c r="K10" s="31">
        <f>I10+J10</f>
        <v>0</v>
      </c>
      <c r="L10" s="32">
        <v>0</v>
      </c>
      <c r="M10" s="32">
        <v>0</v>
      </c>
      <c r="N10" s="33"/>
      <c r="O10" s="34">
        <f>Resumo!S12</f>
        <v>0</v>
      </c>
      <c r="P10" s="35">
        <f>Resumo!V12</f>
        <v>0</v>
      </c>
      <c r="Q10" s="36">
        <f>Resumo!W12</f>
        <v>6159.7</v>
      </c>
      <c r="R10" s="25">
        <f>Dados!S7</f>
        <v>2</v>
      </c>
      <c r="S10" s="37">
        <f>ROUND((Dados!M7*Encargos!$H$59*A10),2)</f>
        <v>707.06</v>
      </c>
      <c r="T10" s="37" t="s">
        <v>40</v>
      </c>
      <c r="U10" s="38">
        <f>SUMIF($R$10:$R$13,1,$Q$10:$Q$13)</f>
        <v>5139.53</v>
      </c>
    </row>
    <row r="11" spans="1:21" s="14" customFormat="1" ht="15.75" hidden="1" x14ac:dyDescent="0.25">
      <c r="A11" s="25">
        <f>Dados!B8</f>
        <v>1</v>
      </c>
      <c r="B11" s="26" t="str">
        <f>Dados!C8</f>
        <v>Servente de Limpeza  com Acúmulo de função de Copeira</v>
      </c>
      <c r="C11" s="27">
        <f>Dados!D8</f>
        <v>200</v>
      </c>
      <c r="D11" s="28">
        <v>0</v>
      </c>
      <c r="E11" s="25" t="s">
        <v>39</v>
      </c>
      <c r="F11" s="27">
        <f>IF(E11="NÃO",0,D11*Dados!$G$34)</f>
        <v>0</v>
      </c>
      <c r="G11" s="29">
        <v>0</v>
      </c>
      <c r="H11" s="28">
        <v>0</v>
      </c>
      <c r="I11" s="30">
        <v>0</v>
      </c>
      <c r="J11" s="29">
        <v>0</v>
      </c>
      <c r="K11" s="31">
        <f>I11+J11</f>
        <v>0</v>
      </c>
      <c r="L11" s="32">
        <v>0</v>
      </c>
      <c r="M11" s="32">
        <v>0</v>
      </c>
      <c r="N11" s="32">
        <v>0</v>
      </c>
      <c r="O11" s="34">
        <f>Resumo!S13</f>
        <v>0</v>
      </c>
      <c r="P11" s="39">
        <f>Resumo!V13</f>
        <v>0</v>
      </c>
      <c r="Q11" s="36">
        <f>Resumo!W13</f>
        <v>4987.1899999999996</v>
      </c>
      <c r="R11" s="25">
        <f>Dados!S8</f>
        <v>2</v>
      </c>
      <c r="S11" s="37">
        <f>ROUND((Dados!M8*Encargos!$H$59*A11),2)</f>
        <v>506.95</v>
      </c>
      <c r="T11" s="37" t="s">
        <v>40</v>
      </c>
      <c r="U11" s="38">
        <f>SUMIF($R$10:$R$13,2,$Q$10:$Q$13)</f>
        <v>14984.3</v>
      </c>
    </row>
    <row r="12" spans="1:21" s="14" customFormat="1" ht="15.75" hidden="1" x14ac:dyDescent="0.25">
      <c r="A12" s="25">
        <f>Dados!B9</f>
        <v>1</v>
      </c>
      <c r="B12" s="26" t="str">
        <f>Dados!C9</f>
        <v>Zelador</v>
      </c>
      <c r="C12" s="27">
        <f>Dados!D9</f>
        <v>150</v>
      </c>
      <c r="D12" s="28">
        <v>0</v>
      </c>
      <c r="E12" s="25" t="s">
        <v>39</v>
      </c>
      <c r="F12" s="27">
        <f>IF(E12="NÃO",0,D12*Dados!$G$34)</f>
        <v>0</v>
      </c>
      <c r="G12" s="29">
        <v>0</v>
      </c>
      <c r="H12" s="28">
        <v>0</v>
      </c>
      <c r="I12" s="30">
        <v>0</v>
      </c>
      <c r="J12" s="29">
        <v>0</v>
      </c>
      <c r="K12" s="31">
        <f>I12+J12</f>
        <v>0</v>
      </c>
      <c r="L12" s="32">
        <v>0</v>
      </c>
      <c r="M12" s="32">
        <v>0</v>
      </c>
      <c r="N12" s="33"/>
      <c r="O12" s="34">
        <f>Resumo!S14</f>
        <v>0</v>
      </c>
      <c r="P12" s="35">
        <f>Resumo!V14</f>
        <v>0</v>
      </c>
      <c r="Q12" s="36">
        <f>Resumo!W14</f>
        <v>3837.41</v>
      </c>
      <c r="R12" s="25">
        <f>Dados!S9</f>
        <v>2</v>
      </c>
      <c r="S12" s="37">
        <f>ROUND((Dados!M9*Encargos!$H$59*A12),2)</f>
        <v>551.58000000000004</v>
      </c>
      <c r="T12" s="37" t="s">
        <v>40</v>
      </c>
      <c r="U12" s="38">
        <f>SUMIF($R$10:$R$13,4,$Q$10:$Q$13)</f>
        <v>0</v>
      </c>
    </row>
    <row r="13" spans="1:21" s="14" customFormat="1" ht="15.75" hidden="1" x14ac:dyDescent="0.25">
      <c r="A13" s="25">
        <f>Dados!B10</f>
        <v>1</v>
      </c>
      <c r="B13" s="26" t="str">
        <f>Dados!C10</f>
        <v>Auxiliar Administrativo com Acúmulo de função de Mensageiro</v>
      </c>
      <c r="C13" s="27">
        <f>Dados!D10</f>
        <v>200</v>
      </c>
      <c r="D13" s="28">
        <v>0</v>
      </c>
      <c r="E13" s="40" t="s">
        <v>39</v>
      </c>
      <c r="F13" s="41">
        <f>IF(E13="NÃO",0,D13*Dados!$G$34)</f>
        <v>0</v>
      </c>
      <c r="G13" s="42">
        <v>0</v>
      </c>
      <c r="H13" s="43">
        <v>0</v>
      </c>
      <c r="I13" s="44">
        <v>0</v>
      </c>
      <c r="J13" s="42">
        <v>0</v>
      </c>
      <c r="K13" s="45">
        <f>I13+J13</f>
        <v>0</v>
      </c>
      <c r="L13" s="46">
        <v>0</v>
      </c>
      <c r="M13" s="46">
        <v>0</v>
      </c>
      <c r="N13" s="33"/>
      <c r="O13" s="34">
        <f>Resumo!S15</f>
        <v>0</v>
      </c>
      <c r="P13" s="35">
        <f>Resumo!V15</f>
        <v>0</v>
      </c>
      <c r="Q13" s="36">
        <f>Resumo!W15</f>
        <v>5139.53</v>
      </c>
      <c r="R13" s="25">
        <f>Dados!S10</f>
        <v>1</v>
      </c>
      <c r="S13" s="37">
        <f>ROUND((Dados!M10*Encargos!$H$59*A13),2)</f>
        <v>635.52</v>
      </c>
      <c r="T13" s="37" t="s">
        <v>41</v>
      </c>
      <c r="U13" s="38">
        <f>SUMIF($R$10:$R$13,5,$Q$10:$Q$13)</f>
        <v>0</v>
      </c>
    </row>
    <row r="14" spans="1:21" s="56" customFormat="1" ht="13.5" hidden="1" customHeight="1" x14ac:dyDescent="0.25">
      <c r="A14" s="482" t="s">
        <v>42</v>
      </c>
      <c r="B14" s="482"/>
      <c r="C14" s="482"/>
      <c r="D14" s="482"/>
      <c r="E14" s="482"/>
      <c r="F14" s="482"/>
      <c r="G14" s="482"/>
      <c r="H14" s="47">
        <f>Resumo!I16</f>
        <v>0</v>
      </c>
      <c r="I14" s="483"/>
      <c r="J14" s="483"/>
      <c r="K14" s="48">
        <f>Resumo!L16</f>
        <v>0</v>
      </c>
      <c r="L14" s="49">
        <f>Resumo!O16</f>
        <v>0</v>
      </c>
      <c r="M14" s="49">
        <f>Resumo!R16</f>
        <v>0</v>
      </c>
      <c r="N14" s="50">
        <f>Resumo!V16</f>
        <v>0</v>
      </c>
      <c r="O14" s="51">
        <f>(H14+K14+L14+M14)</f>
        <v>0</v>
      </c>
      <c r="P14" s="52">
        <f>Resumo!V16</f>
        <v>0</v>
      </c>
      <c r="Q14" s="53">
        <f>SUM(Q10:Q13)</f>
        <v>20123.829999999998</v>
      </c>
      <c r="R14" s="54"/>
      <c r="S14" s="55">
        <f>SUM(S10:S13)</f>
        <v>2401.11</v>
      </c>
      <c r="T14" s="55"/>
      <c r="U14" s="55">
        <f>SUM(U10:U13)</f>
        <v>20123.829999999998</v>
      </c>
    </row>
    <row r="15" spans="1:21" hidden="1" x14ac:dyDescent="0.25">
      <c r="A15" s="57" t="s">
        <v>43</v>
      </c>
      <c r="C15" s="3"/>
      <c r="D15" s="3"/>
      <c r="E15" s="3"/>
      <c r="F15" s="3"/>
      <c r="G15" s="3"/>
      <c r="H15" s="3"/>
      <c r="I15" s="3"/>
      <c r="J15" s="3"/>
    </row>
    <row r="16" spans="1:21" hidden="1" x14ac:dyDescent="0.25">
      <c r="A16" s="58" t="s">
        <v>44</v>
      </c>
      <c r="B16" s="59"/>
      <c r="C16" s="59"/>
      <c r="D16" s="59"/>
      <c r="E16" s="59"/>
      <c r="F16" s="59"/>
      <c r="G16" s="59"/>
      <c r="H16" s="59"/>
      <c r="I16" s="59"/>
      <c r="J16" s="59"/>
    </row>
    <row r="17" spans="1:21" s="56" customFormat="1" ht="25.5" hidden="1" customHeight="1" x14ac:dyDescent="0.25">
      <c r="A17" s="484" t="s">
        <v>45</v>
      </c>
      <c r="B17" s="484"/>
      <c r="C17" s="60" t="s">
        <v>46</v>
      </c>
      <c r="D17" s="60" t="s">
        <v>47</v>
      </c>
      <c r="E17" s="60" t="s">
        <v>48</v>
      </c>
      <c r="F17" s="60" t="s">
        <v>49</v>
      </c>
      <c r="H17" s="58"/>
      <c r="I17" s="61"/>
      <c r="J17" s="58"/>
      <c r="K17" s="61"/>
      <c r="L17" s="61"/>
      <c r="M17" s="61"/>
      <c r="R17" s="61"/>
      <c r="S17" s="61"/>
      <c r="T17" s="61"/>
      <c r="U17" s="61"/>
    </row>
    <row r="18" spans="1:21" s="56" customFormat="1" ht="12.75" hidden="1" x14ac:dyDescent="0.25">
      <c r="A18" s="484"/>
      <c r="B18" s="484"/>
      <c r="C18" s="62">
        <v>220</v>
      </c>
      <c r="D18" s="62">
        <v>10</v>
      </c>
      <c r="E18" s="62">
        <v>25</v>
      </c>
      <c r="F18" s="63">
        <f>ROUND((D18/VLOOKUP(C18,$B$98:$C$104,2,FALSE())+E18/60/VLOOKUP(C18,$B$98:$C$104,2,FALSE())),2)</f>
        <v>1.18</v>
      </c>
      <c r="H18" s="58"/>
      <c r="I18" s="61"/>
      <c r="J18" s="58"/>
      <c r="K18" s="61"/>
      <c r="L18" s="61"/>
      <c r="M18" s="61"/>
      <c r="R18" s="61"/>
      <c r="S18" s="61"/>
      <c r="T18" s="61"/>
      <c r="U18" s="61"/>
    </row>
    <row r="19" spans="1:21" s="56" customFormat="1" ht="15" hidden="1" customHeight="1" x14ac:dyDescent="0.25">
      <c r="A19" s="485" t="s">
        <v>50</v>
      </c>
      <c r="B19" s="485"/>
      <c r="C19" s="485"/>
      <c r="D19" s="485"/>
      <c r="E19" s="485"/>
      <c r="F19" s="485"/>
      <c r="G19" s="3"/>
      <c r="H19" s="3"/>
      <c r="I19" s="3"/>
      <c r="J19" s="58"/>
      <c r="K19" s="61"/>
      <c r="L19" s="61"/>
      <c r="M19" s="61"/>
      <c r="R19" s="61"/>
      <c r="S19" s="61"/>
      <c r="T19" s="61"/>
      <c r="U19" s="61"/>
    </row>
    <row r="20" spans="1:21" s="56" customFormat="1" hidden="1" x14ac:dyDescent="0.25">
      <c r="A20" s="485"/>
      <c r="B20" s="485"/>
      <c r="C20" s="485"/>
      <c r="D20" s="485"/>
      <c r="E20" s="485"/>
      <c r="F20" s="485"/>
      <c r="G20" s="3"/>
      <c r="H20" s="64"/>
      <c r="I20" s="3"/>
      <c r="J20" s="58"/>
      <c r="K20" s="61"/>
      <c r="L20" s="61"/>
      <c r="M20" s="61"/>
      <c r="R20" s="61"/>
      <c r="S20" s="61"/>
      <c r="T20" s="61"/>
      <c r="U20" s="61"/>
    </row>
    <row r="21" spans="1:21" hidden="1" x14ac:dyDescent="0.25">
      <c r="A21" s="58" t="s">
        <v>51</v>
      </c>
      <c r="C21" s="3"/>
      <c r="D21" s="3"/>
      <c r="E21" s="3"/>
      <c r="F21" s="3"/>
      <c r="G21" s="3"/>
      <c r="H21" s="3"/>
      <c r="I21" s="3"/>
      <c r="J21" s="3"/>
    </row>
    <row r="22" spans="1:21" hidden="1" x14ac:dyDescent="0.25">
      <c r="A22" s="3"/>
      <c r="C22" s="3"/>
      <c r="D22" s="3"/>
      <c r="E22" s="3"/>
      <c r="F22" s="3"/>
      <c r="G22" s="3"/>
      <c r="H22" s="3"/>
      <c r="I22" s="3"/>
      <c r="J22" s="3"/>
      <c r="N22" s="65"/>
      <c r="O22" s="66"/>
      <c r="P22" s="66"/>
    </row>
    <row r="23" spans="1:21" ht="30.75" hidden="1" customHeight="1" x14ac:dyDescent="0.25">
      <c r="A23" s="486" t="s">
        <v>52</v>
      </c>
      <c r="B23" s="487" t="s">
        <v>565</v>
      </c>
      <c r="C23" s="487"/>
      <c r="D23" s="487"/>
      <c r="E23" s="487"/>
      <c r="F23" s="488" t="s">
        <v>53</v>
      </c>
      <c r="G23" s="488"/>
      <c r="H23" s="488"/>
      <c r="I23" s="489" t="s">
        <v>568</v>
      </c>
      <c r="J23" s="489"/>
      <c r="K23" s="489"/>
      <c r="L23" s="490" t="s">
        <v>54</v>
      </c>
      <c r="M23" s="490"/>
      <c r="N23" s="490"/>
      <c r="O23" s="490"/>
      <c r="U23" s="2"/>
    </row>
    <row r="24" spans="1:21" ht="38.25" hidden="1" customHeight="1" x14ac:dyDescent="0.25">
      <c r="A24" s="486"/>
      <c r="B24" s="484" t="s">
        <v>570</v>
      </c>
      <c r="C24" s="484"/>
      <c r="D24" s="484"/>
      <c r="E24" s="60" t="s">
        <v>55</v>
      </c>
      <c r="F24" s="60" t="s">
        <v>56</v>
      </c>
      <c r="G24" s="60" t="s">
        <v>57</v>
      </c>
      <c r="H24" s="70" t="s">
        <v>58</v>
      </c>
      <c r="I24" s="489"/>
      <c r="J24" s="489"/>
      <c r="K24" s="489"/>
      <c r="L24" s="67" t="s">
        <v>59</v>
      </c>
      <c r="M24" s="68" t="s">
        <v>60</v>
      </c>
      <c r="N24" s="68" t="s">
        <v>61</v>
      </c>
      <c r="O24" s="69" t="s">
        <v>62</v>
      </c>
      <c r="U24" s="3"/>
    </row>
    <row r="25" spans="1:21" ht="14.25" hidden="1" customHeight="1" x14ac:dyDescent="0.25">
      <c r="A25" s="71">
        <v>1</v>
      </c>
      <c r="B25" s="491" t="str">
        <f>Insumos!B9</f>
        <v>Água sanitária galão de 5 litros, composição do produto: hipoclorito de sódio 2,5%, hidróxido de sódio e veículo.,teor de cloro ativo entre 2,0 e 2,5% p/p.</v>
      </c>
      <c r="C25" s="491"/>
      <c r="D25" s="491"/>
      <c r="E25" s="37" t="str">
        <f>Insumos!C9</f>
        <v>Galão</v>
      </c>
      <c r="F25" s="37" t="str">
        <f>Insumos!D9</f>
        <v>Santa Clara</v>
      </c>
      <c r="G25" s="72">
        <f>L25</f>
        <v>1</v>
      </c>
      <c r="H25" s="73">
        <f>G25*Insumos!G9</f>
        <v>15.23</v>
      </c>
      <c r="I25" s="492" t="str">
        <f t="shared" ref="I25:I59" si="0">IF(G25&lt;L25,"Fornecimento inferior ao estimado mensalmente",IF(G25=L25,"Fornecimento igual ao estimado mensalmente",IF(G25&gt;L25,"Fornecimento superior ao estimado mensalmente",)))</f>
        <v>Fornecimento igual ao estimado mensalmente</v>
      </c>
      <c r="J25" s="492"/>
      <c r="K25" s="492"/>
      <c r="L25" s="74">
        <f t="shared" ref="L25:L59" si="1">M25/O25</f>
        <v>1</v>
      </c>
      <c r="M25" s="75">
        <f>Insumos!E9</f>
        <v>1</v>
      </c>
      <c r="N25" s="76" t="str">
        <f>Insumos!F9</f>
        <v>mensal</v>
      </c>
      <c r="O25" s="77">
        <f t="shared" ref="O25:O59" si="2">IF(N25="MENSAL",1,IF(N25="BIMESTRAL",2,IF(N25="TRIMESTRAL",3,IF(N25="QUADRIMESTRAL",4,IF(N25="SEMESTRAL",6,IF(N25="ANUAL",12,IF(N25="BIENAL",24,"")))))))</f>
        <v>1</v>
      </c>
    </row>
    <row r="26" spans="1:21" ht="52.5" hidden="1" customHeight="1" x14ac:dyDescent="0.25">
      <c r="A26" s="78">
        <v>2</v>
      </c>
      <c r="B26" s="491" t="str">
        <f>Insumos!B10</f>
        <v>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v>
      </c>
      <c r="C26" s="491"/>
      <c r="D26" s="491"/>
      <c r="E26" s="37" t="str">
        <f>Insumos!C10</f>
        <v>Galão</v>
      </c>
      <c r="F26" s="37" t="str">
        <f>Insumos!D10</f>
        <v>Asseptgel</v>
      </c>
      <c r="G26" s="72">
        <f t="shared" ref="G26:G59" si="3">L26</f>
        <v>1</v>
      </c>
      <c r="H26" s="73">
        <f>G26*Insumos!G10</f>
        <v>57.39</v>
      </c>
      <c r="I26" s="492" t="str">
        <f t="shared" si="0"/>
        <v>Fornecimento igual ao estimado mensalmente</v>
      </c>
      <c r="J26" s="492"/>
      <c r="K26" s="492"/>
      <c r="L26" s="74">
        <f t="shared" si="1"/>
        <v>1</v>
      </c>
      <c r="M26" s="75">
        <f>Insumos!E10</f>
        <v>1</v>
      </c>
      <c r="N26" s="76" t="str">
        <f>Insumos!F10</f>
        <v>mensal</v>
      </c>
      <c r="O26" s="77">
        <f t="shared" si="2"/>
        <v>1</v>
      </c>
    </row>
    <row r="27" spans="1:21" ht="15" hidden="1" customHeight="1" x14ac:dyDescent="0.25">
      <c r="A27" s="78">
        <v>3</v>
      </c>
      <c r="B27" s="491" t="str">
        <f>Insumos!B11</f>
        <v>Balde plástico em polietileno de alta densidade, alta resistência a impacto, com paredes e fundo reforçados, com reforço no encaixe da alça de aço zincado constando no corpo a marcado fabricante, capacidade de 20 litros.</v>
      </c>
      <c r="C27" s="491"/>
      <c r="D27" s="491"/>
      <c r="E27" s="37" t="str">
        <f>Insumos!C11</f>
        <v>unid.</v>
      </c>
      <c r="F27" s="37" t="str">
        <f>Insumos!D11</f>
        <v>Arqplast</v>
      </c>
      <c r="G27" s="72">
        <f t="shared" si="3"/>
        <v>0.33333333333333331</v>
      </c>
      <c r="H27" s="73">
        <f>G27*Insumos!G11</f>
        <v>8.793333333333333</v>
      </c>
      <c r="I27" s="492" t="str">
        <f t="shared" si="0"/>
        <v>Fornecimento igual ao estimado mensalmente</v>
      </c>
      <c r="J27" s="492"/>
      <c r="K27" s="492"/>
      <c r="L27" s="74">
        <f t="shared" si="1"/>
        <v>0.33333333333333331</v>
      </c>
      <c r="M27" s="75">
        <f>Insumos!E11</f>
        <v>1</v>
      </c>
      <c r="N27" s="76" t="str">
        <f>Insumos!F11</f>
        <v>trimestral</v>
      </c>
      <c r="O27" s="77">
        <f t="shared" si="2"/>
        <v>3</v>
      </c>
    </row>
    <row r="28" spans="1:21" ht="15" hidden="1" customHeight="1" x14ac:dyDescent="0.25">
      <c r="A28" s="78">
        <v>4</v>
      </c>
      <c r="B28" s="491" t="str">
        <f>Insumos!B12</f>
        <v>Balde Material: Plástico , Material Alça: Arame Galvanizado, Capacidade: 10 L, Cor: Preta, Características Adicionais: Reforço Fundo E Borda</v>
      </c>
      <c r="C28" s="491"/>
      <c r="D28" s="491"/>
      <c r="E28" s="37" t="str">
        <f>Insumos!C12</f>
        <v>unid.</v>
      </c>
      <c r="F28" s="37" t="str">
        <f>Insumos!D12</f>
        <v>Sanremo</v>
      </c>
      <c r="G28" s="72">
        <f t="shared" si="3"/>
        <v>0.33333333333333331</v>
      </c>
      <c r="H28" s="73">
        <f>G28*Insumos!G12</f>
        <v>4.63</v>
      </c>
      <c r="I28" s="492" t="str">
        <f t="shared" si="0"/>
        <v>Fornecimento igual ao estimado mensalmente</v>
      </c>
      <c r="J28" s="492"/>
      <c r="K28" s="492"/>
      <c r="L28" s="74">
        <f t="shared" si="1"/>
        <v>0.33333333333333331</v>
      </c>
      <c r="M28" s="75">
        <f>Insumos!E12</f>
        <v>1</v>
      </c>
      <c r="N28" s="76" t="str">
        <f>Insumos!F12</f>
        <v>trimestral</v>
      </c>
      <c r="O28" s="77">
        <f t="shared" si="2"/>
        <v>3</v>
      </c>
    </row>
    <row r="29" spans="1:21" ht="15" hidden="1" customHeight="1" x14ac:dyDescent="0.25">
      <c r="A29" s="78">
        <v>5</v>
      </c>
      <c r="B29" s="491" t="str">
        <f>Insumos!B13</f>
        <v>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v>
      </c>
      <c r="C29" s="491"/>
      <c r="D29" s="491"/>
      <c r="E29" s="37" t="str">
        <f>Insumos!C13</f>
        <v>unid.</v>
      </c>
      <c r="F29" s="37" t="str">
        <f>Insumos!D13</f>
        <v>Azulim</v>
      </c>
      <c r="G29" s="72">
        <f t="shared" si="3"/>
        <v>1</v>
      </c>
      <c r="H29" s="73">
        <f>G29*Insumos!G13</f>
        <v>5.46</v>
      </c>
      <c r="I29" s="492" t="str">
        <f t="shared" si="0"/>
        <v>Fornecimento igual ao estimado mensalmente</v>
      </c>
      <c r="J29" s="492"/>
      <c r="K29" s="492"/>
      <c r="L29" s="74">
        <f t="shared" si="1"/>
        <v>1</v>
      </c>
      <c r="M29" s="75">
        <f>Insumos!E13</f>
        <v>1</v>
      </c>
      <c r="N29" s="76" t="str">
        <f>Insumos!F13</f>
        <v>mensal</v>
      </c>
      <c r="O29" s="77">
        <f t="shared" si="2"/>
        <v>1</v>
      </c>
    </row>
    <row r="30" spans="1:21" ht="15" hidden="1" customHeight="1" x14ac:dyDescent="0.25">
      <c r="A30" s="78">
        <v>6</v>
      </c>
      <c r="B30" s="491" t="str">
        <f>Insumos!B14</f>
        <v>Cloro liquido concentrado com teor ativo de no minimo 10 a 12% para limpeza pesada embalagem com 5 litros</v>
      </c>
      <c r="C30" s="491"/>
      <c r="D30" s="491"/>
      <c r="E30" s="37" t="str">
        <f>Insumos!C14</f>
        <v>Galão</v>
      </c>
      <c r="F30" s="37">
        <f>Insumos!D14</f>
        <v>0</v>
      </c>
      <c r="G30" s="72">
        <f t="shared" si="3"/>
        <v>0.5</v>
      </c>
      <c r="H30" s="73">
        <f>G30*Insumos!G14</f>
        <v>6.2149999999999999</v>
      </c>
      <c r="I30" s="492" t="str">
        <f t="shared" si="0"/>
        <v>Fornecimento igual ao estimado mensalmente</v>
      </c>
      <c r="J30" s="492"/>
      <c r="K30" s="492"/>
      <c r="L30" s="74">
        <f t="shared" si="1"/>
        <v>0.5</v>
      </c>
      <c r="M30" s="75">
        <f>Insumos!E14</f>
        <v>1</v>
      </c>
      <c r="N30" s="76" t="str">
        <f>Insumos!F14</f>
        <v>bimestral</v>
      </c>
      <c r="O30" s="77">
        <f t="shared" si="2"/>
        <v>2</v>
      </c>
    </row>
    <row r="31" spans="1:21" ht="15" hidden="1" customHeight="1" x14ac:dyDescent="0.25">
      <c r="A31" s="78">
        <v>7</v>
      </c>
      <c r="B31" s="491" t="str">
        <f>Insumos!B15</f>
        <v>Desentupidor Pia: Tipo: Sanfonado, Com Alto Poder De Sucção. Material: Borracha Flexível, Composto Por Polipropileno E Borracha Termoplástica. Plástico Resistente, Cabo Longo, mínimo 20 CM.</v>
      </c>
      <c r="C31" s="491"/>
      <c r="D31" s="491"/>
      <c r="E31" s="37" t="str">
        <f>Insumos!C15</f>
        <v>unid.</v>
      </c>
      <c r="F31" s="37" t="str">
        <f>Insumos!D15</f>
        <v>Oliveira e Azevedo</v>
      </c>
      <c r="G31" s="72">
        <f t="shared" si="3"/>
        <v>0.16666666666666666</v>
      </c>
      <c r="H31" s="73">
        <f>G31*Insumos!G15</f>
        <v>1.7349999999999999</v>
      </c>
      <c r="I31" s="492" t="str">
        <f t="shared" si="0"/>
        <v>Fornecimento igual ao estimado mensalmente</v>
      </c>
      <c r="J31" s="492"/>
      <c r="K31" s="492"/>
      <c r="L31" s="74">
        <f t="shared" si="1"/>
        <v>0.16666666666666666</v>
      </c>
      <c r="M31" s="75">
        <f>Insumos!E15</f>
        <v>1</v>
      </c>
      <c r="N31" s="76" t="str">
        <f>Insumos!F15</f>
        <v>semestral</v>
      </c>
      <c r="O31" s="77">
        <f t="shared" si="2"/>
        <v>6</v>
      </c>
    </row>
    <row r="32" spans="1:21" ht="15" hidden="1" customHeight="1" x14ac:dyDescent="0.25">
      <c r="A32" s="78">
        <v>8</v>
      </c>
      <c r="B32" s="491" t="str">
        <f>Insumos!B16</f>
        <v>Desentupidor Vaso Sanitário Material: Borracha Flexível, Comprimento Cabo: 50 CM, Altura: 10 CM, Cor: Preta , Diâmetro: 16 CM, MaterialCabo: Madeira</v>
      </c>
      <c r="C32" s="491"/>
      <c r="D32" s="491"/>
      <c r="E32" s="37" t="str">
        <f>Insumos!C16</f>
        <v>unid.</v>
      </c>
      <c r="F32" s="37" t="str">
        <f>Insumos!D16</f>
        <v>Canada</v>
      </c>
      <c r="G32" s="72">
        <f t="shared" si="3"/>
        <v>0.16666666666666666</v>
      </c>
      <c r="H32" s="73">
        <f>G32*Insumos!G16</f>
        <v>1.8466666666666667</v>
      </c>
      <c r="I32" s="492" t="str">
        <f t="shared" si="0"/>
        <v>Fornecimento igual ao estimado mensalmente</v>
      </c>
      <c r="J32" s="492"/>
      <c r="K32" s="492"/>
      <c r="L32" s="74">
        <f t="shared" si="1"/>
        <v>0.16666666666666666</v>
      </c>
      <c r="M32" s="75">
        <f>Insumos!E16</f>
        <v>1</v>
      </c>
      <c r="N32" s="76" t="str">
        <f>Insumos!F16</f>
        <v>semestral</v>
      </c>
      <c r="O32" s="77">
        <f t="shared" si="2"/>
        <v>6</v>
      </c>
    </row>
    <row r="33" spans="1:15" hidden="1" x14ac:dyDescent="0.25">
      <c r="A33" s="78">
        <v>9</v>
      </c>
      <c r="B33" s="491" t="str">
        <f>Insumos!B17</f>
        <v>Desinfetante concentrado líquido. Aroma floral. Embalagem com 5 litros.</v>
      </c>
      <c r="C33" s="491"/>
      <c r="D33" s="491"/>
      <c r="E33" s="37" t="str">
        <f>Insumos!C17</f>
        <v>Galão</v>
      </c>
      <c r="F33" s="37" t="str">
        <f>Insumos!D17</f>
        <v>Mirax Floral Bouquet</v>
      </c>
      <c r="G33" s="72">
        <f t="shared" si="3"/>
        <v>1</v>
      </c>
      <c r="H33" s="73">
        <f>G33*Insumos!G17</f>
        <v>44.79</v>
      </c>
      <c r="I33" s="492" t="str">
        <f t="shared" si="0"/>
        <v>Fornecimento igual ao estimado mensalmente</v>
      </c>
      <c r="J33" s="492"/>
      <c r="K33" s="492"/>
      <c r="L33" s="74">
        <f t="shared" si="1"/>
        <v>1</v>
      </c>
      <c r="M33" s="75">
        <f>Insumos!E17</f>
        <v>1</v>
      </c>
      <c r="N33" s="76" t="str">
        <f>Insumos!F17</f>
        <v>mensal</v>
      </c>
      <c r="O33" s="77">
        <f t="shared" si="2"/>
        <v>1</v>
      </c>
    </row>
    <row r="34" spans="1:15" ht="14.25" hidden="1" customHeight="1" x14ac:dyDescent="0.25">
      <c r="A34" s="79">
        <v>10</v>
      </c>
      <c r="B34" s="491" t="str">
        <f>Insumos!B18</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34" s="491"/>
      <c r="D34" s="491"/>
      <c r="E34" s="37" t="str">
        <f>Insumos!C18</f>
        <v>unid.</v>
      </c>
      <c r="F34" s="37" t="str">
        <f>Insumos!D18</f>
        <v>Limpol</v>
      </c>
      <c r="G34" s="72">
        <f t="shared" si="3"/>
        <v>5</v>
      </c>
      <c r="H34" s="73">
        <f>G34*Insumos!G18</f>
        <v>14.950000000000001</v>
      </c>
      <c r="I34" s="492" t="str">
        <f t="shared" si="0"/>
        <v>Fornecimento igual ao estimado mensalmente</v>
      </c>
      <c r="J34" s="492"/>
      <c r="K34" s="492"/>
      <c r="L34" s="74">
        <f t="shared" si="1"/>
        <v>5</v>
      </c>
      <c r="M34" s="75">
        <f>Insumos!E18</f>
        <v>5</v>
      </c>
      <c r="N34" s="76" t="str">
        <f>Insumos!F18</f>
        <v>mensal</v>
      </c>
      <c r="O34" s="77">
        <f t="shared" si="2"/>
        <v>1</v>
      </c>
    </row>
    <row r="35" spans="1:15" ht="15" hidden="1" customHeight="1" x14ac:dyDescent="0.25">
      <c r="A35" s="78">
        <v>11</v>
      </c>
      <c r="B35" s="491" t="str">
        <f>Insumos!B19</f>
        <v>Escova para lavar multiuso, oval, base plástica e cerdas de escova para lavar multiuso, oval, base plástica e cerdas de nylon.</v>
      </c>
      <c r="C35" s="491"/>
      <c r="D35" s="491"/>
      <c r="E35" s="37" t="str">
        <f>Insumos!C19</f>
        <v>unid.</v>
      </c>
      <c r="F35" s="37" t="str">
        <f>Insumos!D19</f>
        <v>Condor</v>
      </c>
      <c r="G35" s="72">
        <f t="shared" si="3"/>
        <v>0.33333333333333331</v>
      </c>
      <c r="H35" s="73">
        <f>G35*Insumos!G19</f>
        <v>1.8566666666666667</v>
      </c>
      <c r="I35" s="492" t="str">
        <f t="shared" si="0"/>
        <v>Fornecimento igual ao estimado mensalmente</v>
      </c>
      <c r="J35" s="492"/>
      <c r="K35" s="492"/>
      <c r="L35" s="74">
        <f t="shared" si="1"/>
        <v>0.33333333333333331</v>
      </c>
      <c r="M35" s="75">
        <f>Insumos!E19</f>
        <v>1</v>
      </c>
      <c r="N35" s="76" t="str">
        <f>Insumos!F19</f>
        <v>trimestral</v>
      </c>
      <c r="O35" s="77">
        <f t="shared" si="2"/>
        <v>3</v>
      </c>
    </row>
    <row r="36" spans="1:15" ht="14.25" hidden="1" customHeight="1" x14ac:dyDescent="0.25">
      <c r="A36" s="78">
        <v>12</v>
      </c>
      <c r="B36" s="491" t="str">
        <f>Insumos!B20</f>
        <v>Escova Sanitária Redonda em plástico Branco contendo 01 escova para vaso sanitário e 01 suporte redondo: Branco Tamanho: 14 x 42 cm</v>
      </c>
      <c r="C36" s="491"/>
      <c r="D36" s="491"/>
      <c r="E36" s="37" t="str">
        <f>Insumos!C20</f>
        <v>unid.</v>
      </c>
      <c r="F36" s="37" t="str">
        <f>Insumos!D20</f>
        <v>Limpamania</v>
      </c>
      <c r="G36" s="72">
        <f t="shared" si="3"/>
        <v>0.33333333333333331</v>
      </c>
      <c r="H36" s="73">
        <f>G36*Insumos!G20</f>
        <v>5.3699999999999992</v>
      </c>
      <c r="I36" s="492" t="str">
        <f t="shared" si="0"/>
        <v>Fornecimento igual ao estimado mensalmente</v>
      </c>
      <c r="J36" s="492"/>
      <c r="K36" s="492"/>
      <c r="L36" s="74">
        <f t="shared" si="1"/>
        <v>0.33333333333333331</v>
      </c>
      <c r="M36" s="75">
        <f>Insumos!E20</f>
        <v>1</v>
      </c>
      <c r="N36" s="76" t="str">
        <f>Insumos!F20</f>
        <v>trimestral</v>
      </c>
      <c r="O36" s="77">
        <f t="shared" si="2"/>
        <v>3</v>
      </c>
    </row>
    <row r="37" spans="1:15" ht="14.25" hidden="1" customHeight="1" x14ac:dyDescent="0.25">
      <c r="A37" s="79">
        <v>13</v>
      </c>
      <c r="B37" s="491" t="str">
        <f>Insumos!B21</f>
        <v>Esponja Para Lavagem De Louças E Limpeza Em Geral, Dupla Face Sintética, Um Lado Em Espuma Poliuretano E Outro Em Fibra Sintética Abrasiva, Antibacteriana, Formato Retangular, Medindo Aproximadamente 110mm X 75mm X 20mm De Espessura. Pacote com 4 unidades.</v>
      </c>
      <c r="C37" s="491"/>
      <c r="D37" s="491"/>
      <c r="E37" s="37" t="str">
        <f>Insumos!C21</f>
        <v>pacote</v>
      </c>
      <c r="F37" s="37" t="str">
        <f>Insumos!D21</f>
        <v>Scotch-Brite</v>
      </c>
      <c r="G37" s="72">
        <f t="shared" si="3"/>
        <v>2</v>
      </c>
      <c r="H37" s="73">
        <f>G37*Insumos!G21</f>
        <v>12.8</v>
      </c>
      <c r="I37" s="492" t="str">
        <f t="shared" si="0"/>
        <v>Fornecimento igual ao estimado mensalmente</v>
      </c>
      <c r="J37" s="492"/>
      <c r="K37" s="492"/>
      <c r="L37" s="74">
        <f t="shared" si="1"/>
        <v>2</v>
      </c>
      <c r="M37" s="75">
        <f>Insumos!E21</f>
        <v>2</v>
      </c>
      <c r="N37" s="76" t="str">
        <f>Insumos!F21</f>
        <v>mensal</v>
      </c>
      <c r="O37" s="77">
        <f t="shared" si="2"/>
        <v>1</v>
      </c>
    </row>
    <row r="38" spans="1:15" ht="15" hidden="1" customHeight="1" x14ac:dyDescent="0.25">
      <c r="A38" s="78">
        <v>14</v>
      </c>
      <c r="B38" s="491" t="str">
        <f>Insumos!B22</f>
        <v>Esponja de LÃ DE AÇO, composição básica: aço carbono abrasivo, p/ limpeza em geral, acondicionada em embalagem plástica original do fabricante, peso líquido aproximado de 60g, pacote c/ 08 unidades.</v>
      </c>
      <c r="C38" s="491"/>
      <c r="D38" s="491"/>
      <c r="E38" s="37" t="str">
        <f>Insumos!C22</f>
        <v>pacote</v>
      </c>
      <c r="F38" s="37" t="str">
        <f>Insumos!D22</f>
        <v>Bombril</v>
      </c>
      <c r="G38" s="72">
        <f t="shared" si="3"/>
        <v>1</v>
      </c>
      <c r="H38" s="73">
        <f>G38*Insumos!G22</f>
        <v>2.94</v>
      </c>
      <c r="I38" s="492" t="str">
        <f t="shared" si="0"/>
        <v>Fornecimento igual ao estimado mensalmente</v>
      </c>
      <c r="J38" s="492"/>
      <c r="K38" s="492"/>
      <c r="L38" s="74">
        <f t="shared" si="1"/>
        <v>1</v>
      </c>
      <c r="M38" s="75">
        <f>Insumos!E22</f>
        <v>1</v>
      </c>
      <c r="N38" s="76" t="str">
        <f>Insumos!F22</f>
        <v>mensal</v>
      </c>
      <c r="O38" s="77">
        <f t="shared" si="2"/>
        <v>1</v>
      </c>
    </row>
    <row r="39" spans="1:15" ht="15" hidden="1" customHeight="1" x14ac:dyDescent="0.25">
      <c r="A39" s="78">
        <v>15</v>
      </c>
      <c r="B39" s="491" t="str">
        <f>Insumos!B23</f>
        <v>Extensão elétrica 20 metros 3 tomada 20a cabo pp2x1,5mm reforçada, 2 cabos de som 10m para ligar as caixas xlr/p10, 2cabos xlr para microfones sem fio (especificações mínima)</v>
      </c>
      <c r="C39" s="491"/>
      <c r="D39" s="491"/>
      <c r="E39" s="37" t="str">
        <f>Insumos!C23</f>
        <v>unid.</v>
      </c>
      <c r="F39" s="37" t="str">
        <f>Insumos!D23</f>
        <v>Daneva</v>
      </c>
      <c r="G39" s="72">
        <f t="shared" si="3"/>
        <v>8.3333333333333329E-2</v>
      </c>
      <c r="H39" s="73">
        <f>G39*Insumos!G23</f>
        <v>7.1641666666666666</v>
      </c>
      <c r="I39" s="492" t="str">
        <f t="shared" si="0"/>
        <v>Fornecimento igual ao estimado mensalmente</v>
      </c>
      <c r="J39" s="492"/>
      <c r="K39" s="492"/>
      <c r="L39" s="74">
        <f t="shared" si="1"/>
        <v>8.3333333333333329E-2</v>
      </c>
      <c r="M39" s="75">
        <f>Insumos!E23</f>
        <v>1</v>
      </c>
      <c r="N39" s="76" t="str">
        <f>Insumos!F23</f>
        <v>anual</v>
      </c>
      <c r="O39" s="77">
        <f t="shared" si="2"/>
        <v>12</v>
      </c>
    </row>
    <row r="40" spans="1:15" ht="15" hidden="1" customHeight="1" x14ac:dyDescent="0.25">
      <c r="A40" s="78">
        <v>16</v>
      </c>
      <c r="B40" s="491" t="str">
        <f>Insumos!B24</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40" s="491"/>
      <c r="D40" s="491"/>
      <c r="E40" s="37" t="str">
        <f>Insumos!C24</f>
        <v>unid.</v>
      </c>
      <c r="F40" s="37" t="str">
        <f>Insumos!D24</f>
        <v>Intextil</v>
      </c>
      <c r="G40" s="72">
        <f t="shared" si="3"/>
        <v>3</v>
      </c>
      <c r="H40" s="73">
        <f>G40*Insumos!G24</f>
        <v>12.84</v>
      </c>
      <c r="I40" s="492" t="str">
        <f t="shared" si="0"/>
        <v>Fornecimento igual ao estimado mensalmente</v>
      </c>
      <c r="J40" s="492"/>
      <c r="K40" s="492"/>
      <c r="L40" s="74">
        <f t="shared" si="1"/>
        <v>3</v>
      </c>
      <c r="M40" s="75">
        <f>Insumos!E24</f>
        <v>3</v>
      </c>
      <c r="N40" s="76" t="str">
        <f>Insumos!F24</f>
        <v>mensal</v>
      </c>
      <c r="O40" s="77">
        <f t="shared" si="2"/>
        <v>1</v>
      </c>
    </row>
    <row r="41" spans="1:15" ht="15" hidden="1" customHeight="1" x14ac:dyDescent="0.25">
      <c r="A41" s="78">
        <v>17</v>
      </c>
      <c r="B41" s="491" t="str">
        <f>Insumos!B25</f>
        <v>Inseticida Aerossol, multiinseticida, frasco com mínimo 300 ml. Registro/ Autorização no ministério da saúde.</v>
      </c>
      <c r="C41" s="491"/>
      <c r="D41" s="491"/>
      <c r="E41" s="37" t="str">
        <f>Insumos!C25</f>
        <v>unid.</v>
      </c>
      <c r="F41" s="37" t="str">
        <f>Insumos!D25</f>
        <v>Raid</v>
      </c>
      <c r="G41" s="72">
        <f t="shared" si="3"/>
        <v>0.33333333333333331</v>
      </c>
      <c r="H41" s="73">
        <f>G41*Insumos!G25</f>
        <v>4.6066666666666665</v>
      </c>
      <c r="I41" s="492" t="str">
        <f t="shared" si="0"/>
        <v>Fornecimento igual ao estimado mensalmente</v>
      </c>
      <c r="J41" s="492"/>
      <c r="K41" s="492"/>
      <c r="L41" s="74">
        <f t="shared" si="1"/>
        <v>0.33333333333333331</v>
      </c>
      <c r="M41" s="75">
        <f>Insumos!E25</f>
        <v>1</v>
      </c>
      <c r="N41" s="76" t="str">
        <f>Insumos!F25</f>
        <v>trimestral</v>
      </c>
      <c r="O41" s="77">
        <f t="shared" si="2"/>
        <v>3</v>
      </c>
    </row>
    <row r="42" spans="1:15" ht="15" hidden="1" customHeight="1" x14ac:dyDescent="0.25">
      <c r="A42" s="78">
        <v>18</v>
      </c>
      <c r="B42" s="491" t="str">
        <f>Insumos!B26</f>
        <v>Kit limpador de vidro: Rodo limpa vidros com cabo telescópico extensor de 06 (seis)metros. Extremidade composta por lavador de acrílico e limpador com lâmina de borracha de aproximadamente 35 cm. Utilizado para limpeza de vidros e vidraças.</v>
      </c>
      <c r="C42" s="491"/>
      <c r="D42" s="491"/>
      <c r="E42" s="37" t="str">
        <f>Insumos!C26</f>
        <v>unid.</v>
      </c>
      <c r="F42" s="37" t="str">
        <f>Insumos!D26</f>
        <v>Bralimpia</v>
      </c>
      <c r="G42" s="72">
        <f t="shared" si="3"/>
        <v>8.3333333333333329E-2</v>
      </c>
      <c r="H42" s="73">
        <f>G42*Insumos!G26</f>
        <v>13.804166666666667</v>
      </c>
      <c r="I42" s="492" t="str">
        <f t="shared" si="0"/>
        <v>Fornecimento igual ao estimado mensalmente</v>
      </c>
      <c r="J42" s="492"/>
      <c r="K42" s="492"/>
      <c r="L42" s="74">
        <f t="shared" si="1"/>
        <v>8.3333333333333329E-2</v>
      </c>
      <c r="M42" s="75">
        <f>Insumos!E26</f>
        <v>1</v>
      </c>
      <c r="N42" s="76" t="str">
        <f>Insumos!F26</f>
        <v>anual</v>
      </c>
      <c r="O42" s="77">
        <f t="shared" si="2"/>
        <v>12</v>
      </c>
    </row>
    <row r="43" spans="1:15" ht="15" hidden="1" customHeight="1" x14ac:dyDescent="0.25">
      <c r="A43" s="78">
        <v>19</v>
      </c>
      <c r="B43" s="491" t="str">
        <f>Insumos!B27</f>
        <v>Limpa vidro 500ml (Veja ou similar)</v>
      </c>
      <c r="C43" s="491"/>
      <c r="D43" s="491"/>
      <c r="E43" s="37" t="str">
        <f>Insumos!C27</f>
        <v>unid.</v>
      </c>
      <c r="F43" s="37" t="str">
        <f>Insumos!D27</f>
        <v>Veja</v>
      </c>
      <c r="G43" s="72">
        <f t="shared" si="3"/>
        <v>1</v>
      </c>
      <c r="H43" s="73">
        <f>G43*Insumos!G27</f>
        <v>9.9</v>
      </c>
      <c r="I43" s="492" t="str">
        <f t="shared" si="0"/>
        <v>Fornecimento igual ao estimado mensalmente</v>
      </c>
      <c r="J43" s="492"/>
      <c r="K43" s="492"/>
      <c r="L43" s="74">
        <f t="shared" si="1"/>
        <v>1</v>
      </c>
      <c r="M43" s="75">
        <f>Insumos!E27</f>
        <v>1</v>
      </c>
      <c r="N43" s="76" t="str">
        <f>Insumos!F27</f>
        <v>mensal</v>
      </c>
      <c r="O43" s="77">
        <f t="shared" si="2"/>
        <v>1</v>
      </c>
    </row>
    <row r="44" spans="1:15" ht="15" hidden="1" customHeight="1" x14ac:dyDescent="0.25">
      <c r="A44" s="78">
        <v>20</v>
      </c>
      <c r="B44" s="491" t="str">
        <f>Insumos!B28</f>
        <v>Multiuso limpeza pesada 500ml - composição: alquil benzeno sulfonato de sódio, solvente, coadjuvantes, conservante, sequestrante, corante, fragrância e água. tensoativo biodegradável. frascos de 500 ml de produto (marca de referência: veja).</v>
      </c>
      <c r="C44" s="491"/>
      <c r="D44" s="491"/>
      <c r="E44" s="37" t="str">
        <f>Insumos!C28</f>
        <v>unid.</v>
      </c>
      <c r="F44" s="37" t="str">
        <f>Insumos!D28</f>
        <v>Veja</v>
      </c>
      <c r="G44" s="72">
        <f t="shared" si="3"/>
        <v>1</v>
      </c>
      <c r="H44" s="73">
        <f>G44*Insumos!G28</f>
        <v>7.5</v>
      </c>
      <c r="I44" s="492" t="str">
        <f t="shared" si="0"/>
        <v>Fornecimento igual ao estimado mensalmente</v>
      </c>
      <c r="J44" s="492"/>
      <c r="K44" s="492"/>
      <c r="L44" s="74">
        <f t="shared" si="1"/>
        <v>1</v>
      </c>
      <c r="M44" s="75">
        <f>Insumos!E28</f>
        <v>1</v>
      </c>
      <c r="N44" s="76" t="str">
        <f>Insumos!F28</f>
        <v>mensal</v>
      </c>
      <c r="O44" s="77">
        <f t="shared" si="2"/>
        <v>1</v>
      </c>
    </row>
    <row r="45" spans="1:15" ht="15" hidden="1" customHeight="1" x14ac:dyDescent="0.25">
      <c r="A45" s="78">
        <v>21</v>
      </c>
      <c r="B45" s="491" t="str">
        <f>Insumos!B29</f>
        <v>Luva Segurança Com Forro. Material: 100% Látex Nitrílico , Tamanho: M ou G ,Aplicação: Manuseio Reagente Químico E Radioativo , Características Adicionais: Com Forro, Sem Talco, Pulso Com Bainha , Modelo: Palma Antiderrapante, Cor: Verde, Tipo: Ambidestra</v>
      </c>
      <c r="C45" s="491"/>
      <c r="D45" s="491"/>
      <c r="E45" s="37" t="str">
        <f>Insumos!C29</f>
        <v>Par</v>
      </c>
      <c r="F45" s="37" t="str">
        <f>Insumos!D29</f>
        <v>Bettanin</v>
      </c>
      <c r="G45" s="72">
        <f t="shared" si="3"/>
        <v>1</v>
      </c>
      <c r="H45" s="73">
        <f>G45*Insumos!G29</f>
        <v>13.38</v>
      </c>
      <c r="I45" s="492" t="str">
        <f t="shared" si="0"/>
        <v>Fornecimento igual ao estimado mensalmente</v>
      </c>
      <c r="J45" s="492"/>
      <c r="K45" s="492"/>
      <c r="L45" s="74">
        <f t="shared" si="1"/>
        <v>1</v>
      </c>
      <c r="M45" s="75">
        <f>Insumos!E29</f>
        <v>1</v>
      </c>
      <c r="N45" s="76" t="str">
        <f>Insumos!F29</f>
        <v>mensal</v>
      </c>
      <c r="O45" s="77">
        <f t="shared" si="2"/>
        <v>1</v>
      </c>
    </row>
    <row r="46" spans="1:15" ht="14.25" hidden="1" customHeight="1" x14ac:dyDescent="0.25">
      <c r="A46" s="78">
        <v>22</v>
      </c>
      <c r="B46" s="491" t="str">
        <f>Insumos!B30</f>
        <v>Pá p/ lixo em plástico resistente c/ cabo de madeira de 60cm de altura na vertical.</v>
      </c>
      <c r="C46" s="491"/>
      <c r="D46" s="491"/>
      <c r="E46" s="37" t="str">
        <f>Insumos!C30</f>
        <v>unid.</v>
      </c>
      <c r="F46" s="37" t="str">
        <f>Insumos!D30</f>
        <v>Bettanin</v>
      </c>
      <c r="G46" s="72">
        <f t="shared" si="3"/>
        <v>0.33333333333333331</v>
      </c>
      <c r="H46" s="73">
        <f>G46*Insumos!G30</f>
        <v>4.3633333333333333</v>
      </c>
      <c r="I46" s="492" t="str">
        <f t="shared" si="0"/>
        <v>Fornecimento igual ao estimado mensalmente</v>
      </c>
      <c r="J46" s="492"/>
      <c r="K46" s="492"/>
      <c r="L46" s="74">
        <f t="shared" si="1"/>
        <v>0.33333333333333331</v>
      </c>
      <c r="M46" s="75">
        <f>Insumos!E30</f>
        <v>1</v>
      </c>
      <c r="N46" s="76" t="str">
        <f>Insumos!F30</f>
        <v>trimestral</v>
      </c>
      <c r="O46" s="77">
        <f t="shared" si="2"/>
        <v>3</v>
      </c>
    </row>
    <row r="47" spans="1:15" ht="15" hidden="1" customHeight="1" x14ac:dyDescent="0.25">
      <c r="A47" s="78">
        <v>23</v>
      </c>
      <c r="B47" s="491" t="str">
        <f>Insumos!B31</f>
        <v>Papel higiênico branco, folha dupla, de alta qualidade, com dimensões 10cm X 30m, com a marca do fabricante e indicação na embalagem, absorvente e resistente, fardo com 12 rolos de 30 metros. Tipo Neve ou de melhor qualidade.</v>
      </c>
      <c r="C47" s="491"/>
      <c r="D47" s="491"/>
      <c r="E47" s="37" t="str">
        <f>Insumos!C31</f>
        <v>Fardo com 12 rolos</v>
      </c>
      <c r="F47" s="37" t="str">
        <f>Insumos!D31</f>
        <v>Neve</v>
      </c>
      <c r="G47" s="72">
        <f t="shared" si="3"/>
        <v>7</v>
      </c>
      <c r="H47" s="73">
        <f>G47*Insumos!G31</f>
        <v>112.77</v>
      </c>
      <c r="I47" s="492" t="str">
        <f t="shared" si="0"/>
        <v>Fornecimento igual ao estimado mensalmente</v>
      </c>
      <c r="J47" s="492"/>
      <c r="K47" s="492"/>
      <c r="L47" s="74">
        <f t="shared" si="1"/>
        <v>7</v>
      </c>
      <c r="M47" s="75">
        <f>Insumos!E31</f>
        <v>7</v>
      </c>
      <c r="N47" s="76" t="str">
        <f>Insumos!F31</f>
        <v>mensal</v>
      </c>
      <c r="O47" s="77">
        <f t="shared" si="2"/>
        <v>1</v>
      </c>
    </row>
    <row r="48" spans="1:15" ht="27" hidden="1" customHeight="1" x14ac:dyDescent="0.25">
      <c r="A48" s="78">
        <v>24</v>
      </c>
      <c r="B48" s="491" t="str">
        <f>Insumos!B32</f>
        <v>Papel Toalha Interfolhado, 2 dobras, 100% fibras celulósicas, branco extra luxo, sem pintas ou outros tipos de sujidades, boa qualidade , medindo aproximadamente 23cm x 23 cm , acondicionado em caixa c/1000 folhas.</v>
      </c>
      <c r="C48" s="491"/>
      <c r="D48" s="491"/>
      <c r="E48" s="37" t="str">
        <f>Insumos!C32</f>
        <v>Pacote</v>
      </c>
      <c r="F48" s="37" t="str">
        <f>Insumos!D32</f>
        <v>Economy (Jofel) ou similar</v>
      </c>
      <c r="G48" s="72">
        <f t="shared" si="3"/>
        <v>12</v>
      </c>
      <c r="H48" s="73">
        <f>G48*Insumos!G32</f>
        <v>274.68</v>
      </c>
      <c r="I48" s="492" t="str">
        <f t="shared" si="0"/>
        <v>Fornecimento igual ao estimado mensalmente</v>
      </c>
      <c r="J48" s="492"/>
      <c r="K48" s="492"/>
      <c r="L48" s="74">
        <f t="shared" si="1"/>
        <v>12</v>
      </c>
      <c r="M48" s="75">
        <f>Insumos!E32</f>
        <v>12</v>
      </c>
      <c r="N48" s="76" t="str">
        <f>Insumos!F32</f>
        <v>mensal</v>
      </c>
      <c r="O48" s="77">
        <f t="shared" si="2"/>
        <v>1</v>
      </c>
    </row>
    <row r="49" spans="1:15" ht="15.75" hidden="1" customHeight="1" x14ac:dyDescent="0.25">
      <c r="A49" s="78">
        <v>25</v>
      </c>
      <c r="B49" s="491" t="str">
        <f>Insumos!B33</f>
        <v>Pedra sanitária c/ 25g - com suporte para fixar no vaso sanitário. Desinfetante sanitário em pedra 25 g</v>
      </c>
      <c r="C49" s="491"/>
      <c r="D49" s="491"/>
      <c r="E49" s="37" t="str">
        <f>Insumos!C33</f>
        <v>unid.</v>
      </c>
      <c r="F49" s="37" t="str">
        <f>Insumos!D33</f>
        <v>Harpic, Pato</v>
      </c>
      <c r="G49" s="72">
        <f t="shared" si="3"/>
        <v>10</v>
      </c>
      <c r="H49" s="73">
        <f>G49*Insumos!G33</f>
        <v>24.1</v>
      </c>
      <c r="I49" s="492" t="str">
        <f t="shared" si="0"/>
        <v>Fornecimento igual ao estimado mensalmente</v>
      </c>
      <c r="J49" s="492"/>
      <c r="K49" s="492"/>
      <c r="L49" s="74">
        <f t="shared" si="1"/>
        <v>10</v>
      </c>
      <c r="M49" s="75">
        <f>Insumos!E33</f>
        <v>10</v>
      </c>
      <c r="N49" s="76" t="str">
        <f>Insumos!F33</f>
        <v>mensal</v>
      </c>
      <c r="O49" s="77">
        <f t="shared" si="2"/>
        <v>1</v>
      </c>
    </row>
    <row r="50" spans="1:15" ht="15" hidden="1" customHeight="1" x14ac:dyDescent="0.25">
      <c r="A50" s="78">
        <v>26</v>
      </c>
      <c r="B50" s="491" t="str">
        <f>Insumos!B34</f>
        <v>Rodo Plástico e borracha dupla expandida de 60cm, resistente e durável, que puxa e seca a água, feita em EVA e cepo em polipropileno com garras pontiagudas nas laterais para melhor fixar panos de chão.</v>
      </c>
      <c r="C50" s="491"/>
      <c r="D50" s="491"/>
      <c r="E50" s="37" t="str">
        <f>Insumos!C34</f>
        <v>unid.</v>
      </c>
      <c r="F50" s="37" t="str">
        <f>Insumos!D34</f>
        <v>Brubalar</v>
      </c>
      <c r="G50" s="72">
        <f t="shared" si="3"/>
        <v>0.5</v>
      </c>
      <c r="H50" s="73">
        <f>G50*Insumos!G34</f>
        <v>12.835000000000001</v>
      </c>
      <c r="I50" s="492" t="str">
        <f t="shared" si="0"/>
        <v>Fornecimento igual ao estimado mensalmente</v>
      </c>
      <c r="J50" s="492"/>
      <c r="K50" s="492"/>
      <c r="L50" s="74">
        <f t="shared" si="1"/>
        <v>0.5</v>
      </c>
      <c r="M50" s="75">
        <f>Insumos!E34</f>
        <v>1</v>
      </c>
      <c r="N50" s="76" t="str">
        <f>Insumos!F34</f>
        <v>bimestral</v>
      </c>
      <c r="O50" s="77">
        <f t="shared" si="2"/>
        <v>2</v>
      </c>
    </row>
    <row r="51" spans="1:15" ht="15" hidden="1" customHeight="1" x14ac:dyDescent="0.25">
      <c r="A51" s="78">
        <v>27</v>
      </c>
      <c r="B51" s="491" t="str">
        <f>Insumos!B35</f>
        <v>Sabão em barra glicerinado - cor neutra. Pacote com 5 de 200g cada unidade.</v>
      </c>
      <c r="C51" s="491"/>
      <c r="D51" s="491"/>
      <c r="E51" s="37" t="str">
        <f>Insumos!C35</f>
        <v>pacote</v>
      </c>
      <c r="F51" s="37" t="str">
        <f>Insumos!D35</f>
        <v>Minuano</v>
      </c>
      <c r="G51" s="72">
        <f t="shared" si="3"/>
        <v>4</v>
      </c>
      <c r="H51" s="73">
        <f>G51*Insumos!G35</f>
        <v>48</v>
      </c>
      <c r="I51" s="492" t="str">
        <f t="shared" si="0"/>
        <v>Fornecimento igual ao estimado mensalmente</v>
      </c>
      <c r="J51" s="492"/>
      <c r="K51" s="492"/>
      <c r="L51" s="74">
        <f t="shared" si="1"/>
        <v>4</v>
      </c>
      <c r="M51" s="75">
        <f>Insumos!E35</f>
        <v>4</v>
      </c>
      <c r="N51" s="76" t="str">
        <f>Insumos!F35</f>
        <v>mensal</v>
      </c>
      <c r="O51" s="77">
        <f t="shared" si="2"/>
        <v>1</v>
      </c>
    </row>
    <row r="52" spans="1:15" ht="15" hidden="1" customHeight="1" x14ac:dyDescent="0.25">
      <c r="A52" s="78">
        <v>28</v>
      </c>
      <c r="B52" s="491" t="str">
        <f>Insumos!B36</f>
        <v>Sabão em Pó – Caixa de 0,8 a 1Kg. Sabão em pó, convencional, de primeira linha. Para lavar roupas e limpeza em geral.</v>
      </c>
      <c r="C52" s="491"/>
      <c r="D52" s="491"/>
      <c r="E52" s="37" t="str">
        <f>Insumos!C36</f>
        <v>cx.</v>
      </c>
      <c r="F52" s="37" t="str">
        <f>Insumos!D36</f>
        <v>Omo ou similar</v>
      </c>
      <c r="G52" s="72">
        <f t="shared" si="3"/>
        <v>1</v>
      </c>
      <c r="H52" s="73">
        <f>G52*Insumos!G36</f>
        <v>15.6</v>
      </c>
      <c r="I52" s="492" t="str">
        <f t="shared" si="0"/>
        <v>Fornecimento igual ao estimado mensalmente</v>
      </c>
      <c r="J52" s="492"/>
      <c r="K52" s="492"/>
      <c r="L52" s="74">
        <f t="shared" si="1"/>
        <v>1</v>
      </c>
      <c r="M52" s="75">
        <f>Insumos!E36</f>
        <v>1</v>
      </c>
      <c r="N52" s="76" t="str">
        <f>Insumos!F36</f>
        <v>mensal</v>
      </c>
      <c r="O52" s="77">
        <f t="shared" si="2"/>
        <v>1</v>
      </c>
    </row>
    <row r="53" spans="1:15" ht="15" hidden="1" customHeight="1" x14ac:dyDescent="0.25">
      <c r="A53" s="78">
        <v>29</v>
      </c>
      <c r="B53" s="491" t="str">
        <f>Insumos!B37</f>
        <v>Sapólio em pó 300g</v>
      </c>
      <c r="C53" s="491"/>
      <c r="D53" s="491"/>
      <c r="E53" s="37" t="str">
        <f>Insumos!C37</f>
        <v>unid</v>
      </c>
      <c r="F53" s="37" t="str">
        <f>Insumos!D37</f>
        <v>Bombril</v>
      </c>
      <c r="G53" s="72">
        <f t="shared" si="3"/>
        <v>2</v>
      </c>
      <c r="H53" s="73">
        <f>G53*Insumos!G37</f>
        <v>12.48</v>
      </c>
      <c r="I53" s="492" t="str">
        <f t="shared" si="0"/>
        <v>Fornecimento igual ao estimado mensalmente</v>
      </c>
      <c r="J53" s="492"/>
      <c r="K53" s="492"/>
      <c r="L53" s="74">
        <f t="shared" si="1"/>
        <v>2</v>
      </c>
      <c r="M53" s="75">
        <f>Insumos!E37</f>
        <v>2</v>
      </c>
      <c r="N53" s="76" t="str">
        <f>Insumos!F37</f>
        <v>mensal</v>
      </c>
      <c r="O53" s="77">
        <f t="shared" si="2"/>
        <v>1</v>
      </c>
    </row>
    <row r="54" spans="1:15" ht="15" hidden="1" customHeight="1" x14ac:dyDescent="0.25">
      <c r="A54" s="78">
        <v>30</v>
      </c>
      <c r="B54" s="491" t="str">
        <f>Insumos!B38</f>
        <v>Sabonete líquido Concentrado, cremoso perolizado, pronto pra uso, aroma erva-doce, lavanda ou similar, galão de 05 litros.</v>
      </c>
      <c r="C54" s="491"/>
      <c r="D54" s="491"/>
      <c r="E54" s="37" t="str">
        <f>Insumos!C38</f>
        <v>Galão</v>
      </c>
      <c r="F54" s="37" t="str">
        <f>Insumos!D38</f>
        <v>Nobre, Start, Ikebana</v>
      </c>
      <c r="G54" s="72">
        <f t="shared" si="3"/>
        <v>2</v>
      </c>
      <c r="H54" s="73">
        <f>G54*Insumos!G38</f>
        <v>47.52</v>
      </c>
      <c r="I54" s="492" t="str">
        <f t="shared" si="0"/>
        <v>Fornecimento igual ao estimado mensalmente</v>
      </c>
      <c r="J54" s="492"/>
      <c r="K54" s="492"/>
      <c r="L54" s="74">
        <f t="shared" si="1"/>
        <v>2</v>
      </c>
      <c r="M54" s="75">
        <f>Insumos!E38</f>
        <v>2</v>
      </c>
      <c r="N54" s="76" t="str">
        <f>Insumos!F38</f>
        <v>mensal</v>
      </c>
      <c r="O54" s="77">
        <f t="shared" si="2"/>
        <v>1</v>
      </c>
    </row>
    <row r="55" spans="1:15" ht="15" hidden="1" customHeight="1" x14ac:dyDescent="0.25">
      <c r="A55" s="78">
        <v>31</v>
      </c>
      <c r="B55" s="491" t="str">
        <f>Insumos!B39</f>
        <v>Saco de Algodão Tipo: Alvejado, Tamanho: 60 X 80 CM, Cor: Branco, Características Adicionais: Dupla Face</v>
      </c>
      <c r="C55" s="491"/>
      <c r="D55" s="491"/>
      <c r="E55" s="37" t="str">
        <f>Insumos!C39</f>
        <v>unid.</v>
      </c>
      <c r="F55" s="37" t="str">
        <f>Insumos!D39</f>
        <v>Santa Margarida</v>
      </c>
      <c r="G55" s="72">
        <f t="shared" si="3"/>
        <v>1</v>
      </c>
      <c r="H55" s="73">
        <f>G55*Insumos!G39</f>
        <v>8.23</v>
      </c>
      <c r="I55" s="492" t="str">
        <f t="shared" si="0"/>
        <v>Fornecimento igual ao estimado mensalmente</v>
      </c>
      <c r="J55" s="492"/>
      <c r="K55" s="492"/>
      <c r="L55" s="74">
        <f t="shared" si="1"/>
        <v>1</v>
      </c>
      <c r="M55" s="75">
        <f>Insumos!E39</f>
        <v>1</v>
      </c>
      <c r="N55" s="76" t="str">
        <f>Insumos!F39</f>
        <v>mensal</v>
      </c>
      <c r="O55" s="77">
        <f t="shared" si="2"/>
        <v>1</v>
      </c>
    </row>
    <row r="56" spans="1:15" ht="15" hidden="1" customHeight="1" x14ac:dyDescent="0.25">
      <c r="A56" s="78">
        <v>32</v>
      </c>
      <c r="B56" s="491" t="str">
        <f>Insumos!B40</f>
        <v>Saco plástico reforçado para lixo em polietileno, com capacidade de 100 litros, com estanqueidade suficiente para que não haja vazamento de lixo líquido. com espessura mínima de 10 micra, na cor preta. Pacote com 100 unidades.</v>
      </c>
      <c r="C56" s="491"/>
      <c r="D56" s="491"/>
      <c r="E56" s="37" t="str">
        <f>Insumos!C40</f>
        <v>Pacote</v>
      </c>
      <c r="F56" s="37" t="str">
        <f>Insumos!D40</f>
        <v>Polisac</v>
      </c>
      <c r="G56" s="72">
        <f t="shared" si="3"/>
        <v>2</v>
      </c>
      <c r="H56" s="73">
        <f>G56*Insumos!G40</f>
        <v>120.32</v>
      </c>
      <c r="I56" s="492" t="str">
        <f t="shared" si="0"/>
        <v>Fornecimento igual ao estimado mensalmente</v>
      </c>
      <c r="J56" s="492"/>
      <c r="K56" s="492"/>
      <c r="L56" s="74">
        <f t="shared" si="1"/>
        <v>2</v>
      </c>
      <c r="M56" s="75">
        <f>Insumos!E40</f>
        <v>2</v>
      </c>
      <c r="N56" s="76" t="str">
        <f>Insumos!F40</f>
        <v>mensal</v>
      </c>
      <c r="O56" s="77">
        <f t="shared" si="2"/>
        <v>1</v>
      </c>
    </row>
    <row r="57" spans="1:15" ht="15" hidden="1" customHeight="1" x14ac:dyDescent="0.25">
      <c r="A57" s="78">
        <v>33</v>
      </c>
      <c r="B57" s="491" t="str">
        <f>Insumos!B41</f>
        <v>Saco plástico reforçado para lixo em polietileno, com capacidade de 20 litros, com estanqueidade suficiente para que não haja vazamento de lixo líquido. com espessura mínima de 09 micra, na cor preta. Pacote com 100 unidades.</v>
      </c>
      <c r="C57" s="491"/>
      <c r="D57" s="491"/>
      <c r="E57" s="37" t="str">
        <f>Insumos!C41</f>
        <v>Pacote</v>
      </c>
      <c r="F57" s="37" t="str">
        <f>Insumos!D41</f>
        <v>Altaplast</v>
      </c>
      <c r="G57" s="72">
        <f t="shared" si="3"/>
        <v>1</v>
      </c>
      <c r="H57" s="73">
        <f>G57*Insumos!G41</f>
        <v>16.489999999999998</v>
      </c>
      <c r="I57" s="492" t="str">
        <f t="shared" si="0"/>
        <v>Fornecimento igual ao estimado mensalmente</v>
      </c>
      <c r="J57" s="492"/>
      <c r="K57" s="492"/>
      <c r="L57" s="74">
        <f t="shared" si="1"/>
        <v>1</v>
      </c>
      <c r="M57" s="75">
        <f>Insumos!E41</f>
        <v>1</v>
      </c>
      <c r="N57" s="76" t="str">
        <f>Insumos!F41</f>
        <v>mensal</v>
      </c>
      <c r="O57" s="77">
        <f t="shared" si="2"/>
        <v>1</v>
      </c>
    </row>
    <row r="58" spans="1:15" ht="15" hidden="1" customHeight="1" x14ac:dyDescent="0.25">
      <c r="A58" s="80">
        <v>34</v>
      </c>
      <c r="B58" s="491" t="str">
        <f>Insumos!B42</f>
        <v>Vassoura de nylon, cerdas c/ ponta desfiada, corpo de madeira medindo aproximadamente 25 x 05cm, c/ cabo de no mínimo 1,50m de comprimento</v>
      </c>
      <c r="C58" s="491"/>
      <c r="D58" s="491"/>
      <c r="E58" s="37" t="str">
        <f>Insumos!C42</f>
        <v>unid.</v>
      </c>
      <c r="F58" s="37" t="str">
        <f>Insumos!D42</f>
        <v>Oliveira e Azevedo</v>
      </c>
      <c r="G58" s="72">
        <f t="shared" si="3"/>
        <v>2</v>
      </c>
      <c r="H58" s="73">
        <f>G58*Insumos!G42</f>
        <v>32.92</v>
      </c>
      <c r="I58" s="492" t="str">
        <f t="shared" si="0"/>
        <v>Fornecimento igual ao estimado mensalmente</v>
      </c>
      <c r="J58" s="492"/>
      <c r="K58" s="492"/>
      <c r="L58" s="74">
        <f t="shared" si="1"/>
        <v>2</v>
      </c>
      <c r="M58" s="75">
        <f>Insumos!E42</f>
        <v>2</v>
      </c>
      <c r="N58" s="76" t="str">
        <f>Insumos!F42</f>
        <v>mensal</v>
      </c>
      <c r="O58" s="77">
        <f t="shared" si="2"/>
        <v>1</v>
      </c>
    </row>
    <row r="59" spans="1:15" ht="15" hidden="1" customHeight="1" x14ac:dyDescent="0.25">
      <c r="A59" s="80">
        <v>35</v>
      </c>
      <c r="B59" s="491" t="str">
        <f>Insumos!B43</f>
        <v>Vassoura Material Cerdas: Piaçava, Aplicação: Limpeza, Material Cepa: Madeira, Comprimento Cepa: 40 CM, Comprimento Cerdas: 13 CM, Largura Cepa: 5 CM, Altura Cepa: 4 CM, Material Cabo: Madeira</v>
      </c>
      <c r="C59" s="491"/>
      <c r="D59" s="491"/>
      <c r="E59" s="37" t="str">
        <f>Insumos!C43</f>
        <v>unid.</v>
      </c>
      <c r="F59" s="37" t="str">
        <f>Insumos!D43</f>
        <v>Noviça</v>
      </c>
      <c r="G59" s="72">
        <f t="shared" si="3"/>
        <v>0.33333333333333331</v>
      </c>
      <c r="H59" s="73">
        <f>G59*Insumos!G43</f>
        <v>6.0333333333333332</v>
      </c>
      <c r="I59" s="492" t="str">
        <f t="shared" si="0"/>
        <v>Fornecimento igual ao estimado mensalmente</v>
      </c>
      <c r="J59" s="492"/>
      <c r="K59" s="492"/>
      <c r="L59" s="74">
        <f t="shared" si="1"/>
        <v>0.33333333333333331</v>
      </c>
      <c r="M59" s="75">
        <f>Insumos!E43</f>
        <v>1</v>
      </c>
      <c r="N59" s="76" t="str">
        <f>Insumos!F43</f>
        <v>trimestral</v>
      </c>
      <c r="O59" s="77">
        <f t="shared" si="2"/>
        <v>3</v>
      </c>
    </row>
    <row r="60" spans="1:15" ht="15" hidden="1" customHeight="1" x14ac:dyDescent="0.25">
      <c r="A60" s="493" t="s">
        <v>63</v>
      </c>
      <c r="B60" s="493"/>
      <c r="C60" s="493"/>
      <c r="D60" s="493"/>
      <c r="E60" s="493"/>
      <c r="F60" s="493"/>
      <c r="G60" s="493"/>
      <c r="H60" s="81">
        <f>ROUND(SUM(H25:H59),2)</f>
        <v>989.54</v>
      </c>
      <c r="I60" s="56"/>
      <c r="J60" s="56"/>
      <c r="K60" s="2"/>
      <c r="L60" s="2"/>
      <c r="M60" s="2"/>
      <c r="N60" s="66"/>
      <c r="O60" s="66"/>
    </row>
    <row r="61" spans="1:15" ht="15" hidden="1" customHeight="1" x14ac:dyDescent="0.25">
      <c r="A61" s="494" t="s">
        <v>64</v>
      </c>
      <c r="B61" s="494"/>
      <c r="C61" s="494"/>
      <c r="D61" s="494"/>
      <c r="E61" s="494"/>
      <c r="F61" s="494"/>
      <c r="G61" s="82">
        <f>Dados!G43</f>
        <v>0.03</v>
      </c>
      <c r="H61" s="83">
        <f>ROUND((H60*G61),2)</f>
        <v>29.69</v>
      </c>
      <c r="I61" s="56"/>
      <c r="J61" s="56"/>
      <c r="K61" s="2"/>
      <c r="L61" s="2"/>
      <c r="M61" s="2"/>
      <c r="N61" s="66"/>
      <c r="O61" s="66"/>
    </row>
    <row r="62" spans="1:15" ht="15" hidden="1" customHeight="1" x14ac:dyDescent="0.25">
      <c r="A62" s="494" t="s">
        <v>65</v>
      </c>
      <c r="B62" s="494"/>
      <c r="C62" s="494"/>
      <c r="D62" s="494"/>
      <c r="E62" s="494"/>
      <c r="F62" s="494"/>
      <c r="G62" s="82">
        <f>Dados!G44</f>
        <v>6.7900000000000002E-2</v>
      </c>
      <c r="H62" s="83">
        <f>ROUND((SUM(H60:H61)*G62),2)</f>
        <v>69.209999999999994</v>
      </c>
      <c r="I62" s="56"/>
      <c r="J62" s="56"/>
      <c r="K62" s="2"/>
      <c r="L62" s="2"/>
      <c r="M62" s="2"/>
      <c r="N62" s="66"/>
      <c r="O62" s="66"/>
    </row>
    <row r="63" spans="1:15" ht="15" hidden="1" customHeight="1" x14ac:dyDescent="0.25">
      <c r="A63" s="494" t="s">
        <v>66</v>
      </c>
      <c r="B63" s="494"/>
      <c r="C63" s="494"/>
      <c r="D63" s="494"/>
      <c r="E63" s="494"/>
      <c r="F63" s="494"/>
      <c r="G63" s="82">
        <f>Dados!G55</f>
        <v>0.17249999999999999</v>
      </c>
      <c r="H63" s="83">
        <f>ROUND((H64*G63),2)</f>
        <v>226.9</v>
      </c>
      <c r="I63" s="56"/>
      <c r="J63" s="56"/>
      <c r="K63" s="2"/>
      <c r="L63" s="2"/>
      <c r="M63" s="2"/>
      <c r="N63" s="66"/>
      <c r="O63" s="66"/>
    </row>
    <row r="64" spans="1:15" ht="15.75" hidden="1" customHeight="1" x14ac:dyDescent="0.25">
      <c r="A64" s="495" t="s">
        <v>566</v>
      </c>
      <c r="B64" s="495"/>
      <c r="C64" s="495"/>
      <c r="D64" s="495"/>
      <c r="E64" s="495"/>
      <c r="F64" s="495"/>
      <c r="G64" s="495"/>
      <c r="H64" s="84">
        <f>ROUND((SUM(H60:H62)/(1-G63)),2)</f>
        <v>1315.34</v>
      </c>
      <c r="I64" s="56"/>
      <c r="J64" s="56"/>
      <c r="K64" s="2"/>
      <c r="L64" s="2"/>
      <c r="M64" s="2"/>
      <c r="N64" s="66"/>
      <c r="O64" s="66"/>
    </row>
    <row r="65" spans="1:21" hidden="1" x14ac:dyDescent="0.25">
      <c r="A65" s="61"/>
      <c r="B65" s="58"/>
      <c r="C65" s="66"/>
      <c r="D65" s="66"/>
      <c r="E65" s="66"/>
      <c r="F65" s="66"/>
      <c r="G65" s="61"/>
      <c r="H65" s="66"/>
      <c r="I65" s="66"/>
      <c r="J65" s="66"/>
      <c r="K65" s="2"/>
      <c r="L65" s="2"/>
      <c r="M65" s="2"/>
      <c r="N65" s="66"/>
      <c r="O65" s="66"/>
    </row>
    <row r="66" spans="1:21" ht="25.5" hidden="1" customHeight="1" x14ac:dyDescent="0.25">
      <c r="A66" s="486" t="s">
        <v>52</v>
      </c>
      <c r="B66" s="496" t="s">
        <v>569</v>
      </c>
      <c r="C66" s="496"/>
      <c r="D66" s="496"/>
      <c r="E66" s="496"/>
      <c r="F66" s="497" t="s">
        <v>53</v>
      </c>
      <c r="G66" s="497"/>
      <c r="H66" s="497"/>
      <c r="I66" s="489" t="s">
        <v>568</v>
      </c>
      <c r="J66" s="489"/>
      <c r="K66" s="489"/>
      <c r="L66" s="498" t="s">
        <v>54</v>
      </c>
      <c r="M66" s="498"/>
      <c r="N66" s="498"/>
      <c r="O66" s="498"/>
      <c r="U66" s="2"/>
    </row>
    <row r="67" spans="1:21" ht="38.25" hidden="1" customHeight="1" x14ac:dyDescent="0.25">
      <c r="A67" s="486"/>
      <c r="B67" s="484" t="s">
        <v>570</v>
      </c>
      <c r="C67" s="484"/>
      <c r="D67" s="484"/>
      <c r="E67" s="60" t="s">
        <v>55</v>
      </c>
      <c r="F67" s="60" t="s">
        <v>56</v>
      </c>
      <c r="G67" s="60" t="s">
        <v>57</v>
      </c>
      <c r="H67" s="70" t="s">
        <v>58</v>
      </c>
      <c r="I67" s="489"/>
      <c r="J67" s="489"/>
      <c r="K67" s="489"/>
      <c r="L67" s="67" t="s">
        <v>59</v>
      </c>
      <c r="M67" s="68" t="s">
        <v>60</v>
      </c>
      <c r="N67" s="68" t="s">
        <v>61</v>
      </c>
      <c r="O67" s="69" t="s">
        <v>62</v>
      </c>
      <c r="U67" s="2"/>
    </row>
    <row r="68" spans="1:21" ht="26.25" hidden="1" customHeight="1" x14ac:dyDescent="0.25">
      <c r="A68" s="25">
        <v>1</v>
      </c>
      <c r="B68" s="499" t="str">
        <f>Insumos!B50</f>
        <v>Balde Material: Plástico, Material Alça: Arame Galvanizado, Capacidade: 10 L, Cor: Preta, Características Adicionais: Reforço Fundo E Borda</v>
      </c>
      <c r="C68" s="499"/>
      <c r="D68" s="499"/>
      <c r="E68" s="37" t="str">
        <f>Insumos!C50</f>
        <v>unid.</v>
      </c>
      <c r="F68" s="37" t="str">
        <f>Insumos!D50</f>
        <v>Sanremo</v>
      </c>
      <c r="G68" s="72">
        <f t="shared" ref="G68:G83" si="4">L68</f>
        <v>0.16666666666666666</v>
      </c>
      <c r="H68" s="85">
        <f>G68*Insumos!G50</f>
        <v>2.3149999999999999</v>
      </c>
      <c r="I68" s="492" t="str">
        <f t="shared" ref="I68:I83" si="5">IF(G68&lt;L68,"Fornecimento inferior ao estimado mensalmente",IF(G68=L68,"Fornecimento igual ao estimado mensalmente",IF(G68&gt;L68,"Fornecimento superior ao estimado mensalmente",)))</f>
        <v>Fornecimento igual ao estimado mensalmente</v>
      </c>
      <c r="J68" s="492"/>
      <c r="K68" s="492"/>
      <c r="L68" s="74">
        <f t="shared" ref="L68:L83" si="6">M68/O68</f>
        <v>0.16666666666666666</v>
      </c>
      <c r="M68" s="27">
        <f>Insumos!E50</f>
        <v>1</v>
      </c>
      <c r="N68" s="27" t="str">
        <f>Insumos!F50</f>
        <v>semestral</v>
      </c>
      <c r="O68" s="77">
        <f t="shared" ref="O68:O83" si="7">IF(N68="MENSAL",1,IF(N68="BIMESTRAL",2,IF(N68="TRIMESTRAL",3,IF(N68="QUADRIMESTRAL",4,IF(N68="SEMESTRAL",6,IF(N68="ANUAL",12,IF(N68="BIENAL",24,"")))))))</f>
        <v>6</v>
      </c>
    </row>
    <row r="69" spans="1:21" ht="15" hidden="1" customHeight="1" x14ac:dyDescent="0.25">
      <c r="A69" s="25">
        <v>2</v>
      </c>
      <c r="B69" s="499" t="str">
        <f>Insumos!B51</f>
        <v>Coador de Café. Especificação: Em pano 100% algodão, cor branca, dimensões de 20cm (diâmetro) x 30cm (profundidade), cabo 16 cm de comprimento feito de arame de aço galvanizado revestido com PVC. O rótulo do produto deve estampar o nome do fabricante.</v>
      </c>
      <c r="C69" s="499"/>
      <c r="D69" s="499"/>
      <c r="E69" s="37" t="str">
        <f>Insumos!C51</f>
        <v>unid.</v>
      </c>
      <c r="F69" s="37" t="str">
        <f>Insumos!D51</f>
        <v>Stolf</v>
      </c>
      <c r="G69" s="72">
        <f t="shared" si="4"/>
        <v>1</v>
      </c>
      <c r="H69" s="85">
        <f>G69*Insumos!G51</f>
        <v>9.99</v>
      </c>
      <c r="I69" s="492" t="str">
        <f t="shared" si="5"/>
        <v>Fornecimento igual ao estimado mensalmente</v>
      </c>
      <c r="J69" s="492"/>
      <c r="K69" s="492"/>
      <c r="L69" s="74">
        <f t="shared" si="6"/>
        <v>1</v>
      </c>
      <c r="M69" s="27">
        <f>Insumos!E51</f>
        <v>1</v>
      </c>
      <c r="N69" s="27" t="str">
        <f>Insumos!F51</f>
        <v>mensal</v>
      </c>
      <c r="O69" s="77">
        <f t="shared" si="7"/>
        <v>1</v>
      </c>
    </row>
    <row r="70" spans="1:21" ht="30.75" hidden="1" customHeight="1" x14ac:dyDescent="0.25">
      <c r="A70" s="25">
        <v>3</v>
      </c>
      <c r="B70" s="499" t="str">
        <f>Insumos!B52</f>
        <v>Desentupidor Pia Material: Borracha Flexível, Cor: Preta , Material Cabo: Plástico Resistente , Comprimento Cabo: 20 CM, Tipo: Sanfonado</v>
      </c>
      <c r="C70" s="499"/>
      <c r="D70" s="499"/>
      <c r="E70" s="37" t="str">
        <f>Insumos!C52</f>
        <v>unid.</v>
      </c>
      <c r="F70" s="37" t="str">
        <f>Insumos!D52</f>
        <v>Oliveira e Azevedo</v>
      </c>
      <c r="G70" s="72">
        <f t="shared" si="4"/>
        <v>0.16666666666666666</v>
      </c>
      <c r="H70" s="85">
        <f>G70*Insumos!G52</f>
        <v>1.7349999999999999</v>
      </c>
      <c r="I70" s="492" t="str">
        <f t="shared" si="5"/>
        <v>Fornecimento igual ao estimado mensalmente</v>
      </c>
      <c r="J70" s="492"/>
      <c r="K70" s="492"/>
      <c r="L70" s="74">
        <f t="shared" si="6"/>
        <v>0.16666666666666666</v>
      </c>
      <c r="M70" s="27">
        <f>Insumos!E52</f>
        <v>1</v>
      </c>
      <c r="N70" s="27" t="str">
        <f>Insumos!F52</f>
        <v>semestral</v>
      </c>
      <c r="O70" s="77">
        <f t="shared" si="7"/>
        <v>6</v>
      </c>
    </row>
    <row r="71" spans="1:21" ht="15" hidden="1" customHeight="1" x14ac:dyDescent="0.25">
      <c r="A71" s="25">
        <v>4</v>
      </c>
      <c r="B71" s="499" t="str">
        <f>Insumos!B53</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71" s="499"/>
      <c r="D71" s="499"/>
      <c r="E71" s="37" t="str">
        <f>Insumos!C53</f>
        <v>unid.</v>
      </c>
      <c r="F71" s="37" t="str">
        <f>Insumos!D53</f>
        <v>Limpol ou similar</v>
      </c>
      <c r="G71" s="72">
        <f t="shared" si="4"/>
        <v>4</v>
      </c>
      <c r="H71" s="85">
        <f>G71*Insumos!G53</f>
        <v>11.96</v>
      </c>
      <c r="I71" s="492" t="str">
        <f t="shared" si="5"/>
        <v>Fornecimento igual ao estimado mensalmente</v>
      </c>
      <c r="J71" s="492"/>
      <c r="K71" s="492"/>
      <c r="L71" s="74">
        <f t="shared" si="6"/>
        <v>4</v>
      </c>
      <c r="M71" s="27">
        <f>Insumos!E53</f>
        <v>4</v>
      </c>
      <c r="N71" s="27" t="str">
        <f>Insumos!F53</f>
        <v>mensal</v>
      </c>
      <c r="O71" s="77">
        <f t="shared" si="7"/>
        <v>1</v>
      </c>
    </row>
    <row r="72" spans="1:21" ht="15" hidden="1" customHeight="1" x14ac:dyDescent="0.25">
      <c r="A72" s="25">
        <v>5</v>
      </c>
      <c r="B72" s="499" t="str">
        <f>Insumos!B54</f>
        <v>Escova para lavar multiuso, oval, base plástica e cerdas de escova para lavar multiuso, oval, base plástica e cerdas de nylon.</v>
      </c>
      <c r="C72" s="499"/>
      <c r="D72" s="499"/>
      <c r="E72" s="37" t="str">
        <f>Insumos!C54</f>
        <v>unid.</v>
      </c>
      <c r="F72" s="37" t="str">
        <f>Insumos!D54</f>
        <v>Condor</v>
      </c>
      <c r="G72" s="72">
        <f t="shared" si="4"/>
        <v>0.33333333333333331</v>
      </c>
      <c r="H72" s="85">
        <f>G72*Insumos!G54</f>
        <v>1.8566666666666667</v>
      </c>
      <c r="I72" s="492" t="str">
        <f t="shared" si="5"/>
        <v>Fornecimento igual ao estimado mensalmente</v>
      </c>
      <c r="J72" s="492"/>
      <c r="K72" s="492"/>
      <c r="L72" s="74">
        <f t="shared" si="6"/>
        <v>0.33333333333333331</v>
      </c>
      <c r="M72" s="27">
        <f>Insumos!E54</f>
        <v>1</v>
      </c>
      <c r="N72" s="27" t="str">
        <f>Insumos!F54</f>
        <v>trimestral</v>
      </c>
      <c r="O72" s="77">
        <f t="shared" si="7"/>
        <v>3</v>
      </c>
    </row>
    <row r="73" spans="1:21" ht="15" hidden="1" customHeight="1" x14ac:dyDescent="0.25">
      <c r="A73" s="25">
        <v>6</v>
      </c>
      <c r="B73" s="499" t="str">
        <f>Insumos!B55</f>
        <v>Esponja Para Lavagem De Louças E Limpeza Em Geral, Dupla Face Sintética, Um Lado Em Espuma Poliuretano E Outro Em Fibra Sintética Abrasiva, Antibacteriana, Formato Retangular, Medindo Aproximadamente 110mm X 75mm X 20mm De Espessura. Pacote com 4 unidades.</v>
      </c>
      <c r="C73" s="499"/>
      <c r="D73" s="499"/>
      <c r="E73" s="37" t="str">
        <f>Insumos!C55</f>
        <v>unid.</v>
      </c>
      <c r="F73" s="37" t="str">
        <f>Insumos!D55</f>
        <v>Scotch-Brite</v>
      </c>
      <c r="G73" s="72">
        <f t="shared" si="4"/>
        <v>2</v>
      </c>
      <c r="H73" s="85">
        <f>G73*Insumos!G55</f>
        <v>12.8</v>
      </c>
      <c r="I73" s="492" t="str">
        <f t="shared" si="5"/>
        <v>Fornecimento igual ao estimado mensalmente</v>
      </c>
      <c r="J73" s="492"/>
      <c r="K73" s="492"/>
      <c r="L73" s="74">
        <f t="shared" si="6"/>
        <v>2</v>
      </c>
      <c r="M73" s="27">
        <f>Insumos!E55</f>
        <v>2</v>
      </c>
      <c r="N73" s="27" t="str">
        <f>Insumos!F55</f>
        <v>mensal</v>
      </c>
      <c r="O73" s="77">
        <f t="shared" si="7"/>
        <v>1</v>
      </c>
    </row>
    <row r="74" spans="1:21" ht="15" hidden="1" customHeight="1" x14ac:dyDescent="0.25">
      <c r="A74" s="25">
        <v>7</v>
      </c>
      <c r="B74" s="499" t="str">
        <f>Insumos!B56</f>
        <v>Esponja de LÃ DE AÇO, composição básica: aço carbono abrasivo, p/ limpeza em geral, acondicionada em embalagem plástica original do fabricante, peso líquido aproximado de 60g, pacote c/ 08 unidades</v>
      </c>
      <c r="C74" s="499"/>
      <c r="D74" s="499"/>
      <c r="E74" s="37" t="str">
        <f>Insumos!C56</f>
        <v>Pacote</v>
      </c>
      <c r="F74" s="37" t="str">
        <f>Insumos!D56</f>
        <v>Bombril</v>
      </c>
      <c r="G74" s="72">
        <f t="shared" si="4"/>
        <v>1</v>
      </c>
      <c r="H74" s="85">
        <f>G74*Insumos!G56</f>
        <v>2.94</v>
      </c>
      <c r="I74" s="492" t="str">
        <f t="shared" si="5"/>
        <v>Fornecimento igual ao estimado mensalmente</v>
      </c>
      <c r="J74" s="492"/>
      <c r="K74" s="492"/>
      <c r="L74" s="74">
        <f t="shared" si="6"/>
        <v>1</v>
      </c>
      <c r="M74" s="27">
        <f>Insumos!E56</f>
        <v>1</v>
      </c>
      <c r="N74" s="27" t="str">
        <f>Insumos!F56</f>
        <v>mensal</v>
      </c>
      <c r="O74" s="77">
        <f t="shared" si="7"/>
        <v>1</v>
      </c>
    </row>
    <row r="75" spans="1:21" ht="15" hidden="1" customHeight="1" x14ac:dyDescent="0.25">
      <c r="A75" s="25">
        <v>8</v>
      </c>
      <c r="B75" s="499" t="str">
        <f>Insumos!B57</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75" s="499"/>
      <c r="D75" s="499"/>
      <c r="E75" s="37" t="str">
        <f>Insumos!C57</f>
        <v>unid.</v>
      </c>
      <c r="F75" s="37" t="str">
        <f>Insumos!D57</f>
        <v>Santa Margarida</v>
      </c>
      <c r="G75" s="72">
        <f t="shared" si="4"/>
        <v>2</v>
      </c>
      <c r="H75" s="85">
        <f>G75*Insumos!G57</f>
        <v>8.56</v>
      </c>
      <c r="I75" s="492" t="str">
        <f t="shared" si="5"/>
        <v>Fornecimento igual ao estimado mensalmente</v>
      </c>
      <c r="J75" s="492"/>
      <c r="K75" s="492"/>
      <c r="L75" s="74">
        <f t="shared" si="6"/>
        <v>2</v>
      </c>
      <c r="M75" s="27">
        <f>Insumos!E57</f>
        <v>2</v>
      </c>
      <c r="N75" s="27" t="str">
        <f>Insumos!F57</f>
        <v>mensal</v>
      </c>
      <c r="O75" s="77">
        <f t="shared" si="7"/>
        <v>1</v>
      </c>
    </row>
    <row r="76" spans="1:21" ht="53.25" hidden="1" customHeight="1" x14ac:dyDescent="0.25">
      <c r="A76" s="25">
        <v>9</v>
      </c>
      <c r="B76" s="499" t="str">
        <f>Insumos!B58</f>
        <v>Guardanapo de limpeza, em papel absorvente, folha simples, na cor branca, não gofrado, 4 dobras, dimensões mínimas 24cm x 22cm, 100% fibras naturais, embalado em pacote com 50 unidades, com dados do fabricante, data de fabricação e prazo de validade. Produto fabricado de acordo com as normas da ABNT/NBR. Do tipo Coquetel, Santepel, Snob ou de melhor qualidade</v>
      </c>
      <c r="C76" s="499"/>
      <c r="D76" s="499"/>
      <c r="E76" s="37" t="str">
        <f>Insumos!C58</f>
        <v>Pacote</v>
      </c>
      <c r="F76" s="37" t="str">
        <f>Insumos!D58</f>
        <v>Santepel</v>
      </c>
      <c r="G76" s="72">
        <f t="shared" si="4"/>
        <v>4</v>
      </c>
      <c r="H76" s="85">
        <f>G76*Insumos!G58</f>
        <v>23.8</v>
      </c>
      <c r="I76" s="492" t="str">
        <f t="shared" si="5"/>
        <v>Fornecimento igual ao estimado mensalmente</v>
      </c>
      <c r="J76" s="492"/>
      <c r="K76" s="492"/>
      <c r="L76" s="74">
        <f t="shared" si="6"/>
        <v>4</v>
      </c>
      <c r="M76" s="27">
        <f>Insumos!E58</f>
        <v>4</v>
      </c>
      <c r="N76" s="27" t="str">
        <f>Insumos!F58</f>
        <v>mensal</v>
      </c>
      <c r="O76" s="77">
        <f t="shared" si="7"/>
        <v>1</v>
      </c>
    </row>
    <row r="77" spans="1:21" ht="67.5" hidden="1" customHeight="1" x14ac:dyDescent="0.25">
      <c r="A77" s="25">
        <v>10</v>
      </c>
      <c r="B77" s="499" t="str">
        <f>Insumos!B59</f>
        <v>Luva Segurança Com Forro. Material: 100% Látex Nitrílico , Tamanho: M ou G ,Aplicação: Manuseio Reagente Químico E Radioativo , Características Adicionais: Com Forro, Sem Talco, Pulso Com Bainha , Modelo: Palma Antiderrapante , Cor: Verde ,Tipo: Ambidestra</v>
      </c>
      <c r="C77" s="499"/>
      <c r="D77" s="499"/>
      <c r="E77" s="37" t="str">
        <f>Insumos!C59</f>
        <v>Par</v>
      </c>
      <c r="F77" s="37" t="str">
        <f>Insumos!D59</f>
        <v>Bettanin</v>
      </c>
      <c r="G77" s="72">
        <f t="shared" si="4"/>
        <v>1</v>
      </c>
      <c r="H77" s="85">
        <f>G77*Insumos!G59</f>
        <v>13.38</v>
      </c>
      <c r="I77" s="492" t="str">
        <f t="shared" si="5"/>
        <v>Fornecimento igual ao estimado mensalmente</v>
      </c>
      <c r="J77" s="492"/>
      <c r="K77" s="492"/>
      <c r="L77" s="74">
        <f t="shared" si="6"/>
        <v>1</v>
      </c>
      <c r="M77" s="27">
        <f>Insumos!E59</f>
        <v>1</v>
      </c>
      <c r="N77" s="27" t="str">
        <f>Insumos!F59</f>
        <v>mensal</v>
      </c>
      <c r="O77" s="77">
        <f t="shared" si="7"/>
        <v>1</v>
      </c>
    </row>
    <row r="78" spans="1:21" ht="65.25" hidden="1" customHeight="1" x14ac:dyDescent="0.25">
      <c r="A78" s="25">
        <v>11</v>
      </c>
      <c r="B78" s="499" t="str">
        <f>Insumos!B60</f>
        <v>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v>
      </c>
      <c r="C78" s="499"/>
      <c r="D78" s="499"/>
      <c r="E78" s="37" t="str">
        <f>Insumos!C60</f>
        <v>unid.</v>
      </c>
      <c r="F78" s="37" t="str">
        <f>Insumos!D60</f>
        <v>Veja</v>
      </c>
      <c r="G78" s="72">
        <f t="shared" si="4"/>
        <v>1</v>
      </c>
      <c r="H78" s="85">
        <f>G78*Insumos!G60</f>
        <v>5.08</v>
      </c>
      <c r="I78" s="492" t="str">
        <f t="shared" si="5"/>
        <v>Fornecimento igual ao estimado mensalmente</v>
      </c>
      <c r="J78" s="492"/>
      <c r="K78" s="492"/>
      <c r="L78" s="74">
        <f t="shared" si="6"/>
        <v>1</v>
      </c>
      <c r="M78" s="27">
        <f>Insumos!E60</f>
        <v>1</v>
      </c>
      <c r="N78" s="27" t="str">
        <f>Insumos!F60</f>
        <v>mensal</v>
      </c>
      <c r="O78" s="77">
        <f t="shared" si="7"/>
        <v>1</v>
      </c>
    </row>
    <row r="79" spans="1:21" ht="26.25" hidden="1" customHeight="1" x14ac:dyDescent="0.25">
      <c r="A79" s="25">
        <v>12</v>
      </c>
      <c r="B79" s="499" t="str">
        <f>Insumos!B61</f>
        <v>Pá para lixo, material: plástico com cabo, material cabo: madeira, comprimento cabo: 60cm, tamanho:24x16,5x7cm.</v>
      </c>
      <c r="C79" s="499"/>
      <c r="D79" s="499"/>
      <c r="E79" s="37" t="str">
        <f>Insumos!C61</f>
        <v>unid.</v>
      </c>
      <c r="F79" s="37" t="str">
        <f>Insumos!D61</f>
        <v>Bettanin</v>
      </c>
      <c r="G79" s="72">
        <f t="shared" si="4"/>
        <v>0.16666666666666666</v>
      </c>
      <c r="H79" s="85">
        <f>G79*Insumos!G61</f>
        <v>2.1816666666666666</v>
      </c>
      <c r="I79" s="492" t="str">
        <f t="shared" si="5"/>
        <v>Fornecimento igual ao estimado mensalmente</v>
      </c>
      <c r="J79" s="492"/>
      <c r="K79" s="492"/>
      <c r="L79" s="74">
        <f t="shared" si="6"/>
        <v>0.16666666666666666</v>
      </c>
      <c r="M79" s="27">
        <f>Insumos!E61</f>
        <v>1</v>
      </c>
      <c r="N79" s="27" t="str">
        <f>Insumos!F61</f>
        <v>semestral</v>
      </c>
      <c r="O79" s="77">
        <f t="shared" si="7"/>
        <v>6</v>
      </c>
    </row>
    <row r="80" spans="1:21" ht="15" hidden="1" customHeight="1" x14ac:dyDescent="0.25">
      <c r="A80" s="25">
        <v>13</v>
      </c>
      <c r="B80" s="499" t="str">
        <f>Insumos!B62</f>
        <v>Pano de copa aberto 100%  dimensões mínimas 40x60cm</v>
      </c>
      <c r="C80" s="499"/>
      <c r="D80" s="499"/>
      <c r="E80" s="37" t="str">
        <f>Insumos!C62</f>
        <v>unid.</v>
      </c>
      <c r="F80" s="37" t="str">
        <f>Insumos!D62</f>
        <v>Karsten</v>
      </c>
      <c r="G80" s="72">
        <f t="shared" si="4"/>
        <v>2</v>
      </c>
      <c r="H80" s="85">
        <f>G80*Insumos!G62</f>
        <v>20</v>
      </c>
      <c r="I80" s="492" t="str">
        <f t="shared" si="5"/>
        <v>Fornecimento igual ao estimado mensalmente</v>
      </c>
      <c r="J80" s="492"/>
      <c r="K80" s="492"/>
      <c r="L80" s="74">
        <f t="shared" si="6"/>
        <v>2</v>
      </c>
      <c r="M80" s="27">
        <f>Insumos!E62</f>
        <v>2</v>
      </c>
      <c r="N80" s="27" t="str">
        <f>Insumos!F62</f>
        <v>mensal</v>
      </c>
      <c r="O80" s="77">
        <f t="shared" si="7"/>
        <v>1</v>
      </c>
    </row>
    <row r="81" spans="1:21" ht="15" hidden="1" customHeight="1" x14ac:dyDescent="0.25">
      <c r="A81" s="25">
        <v>14</v>
      </c>
      <c r="B81" s="499" t="str">
        <f>Insumos!B63</f>
        <v>Rodo plástico push 60cm com borracha dupla cabo 120cmespecificação: com cepa de polipropileno; propriedades mínimas; cepa medindo 60cm de comprimento; eva; duplo; com espessura 3,5mm(+/- 0,05mm); cepa pesando 230g, cabo de madeira (cedrinho) revestido de polipropileno; 120cm gancho de polietileno de alta densidade; rosca de polietileno de baixa densidade; embalado em embalagem apropriada.</v>
      </c>
      <c r="C81" s="499"/>
      <c r="D81" s="499"/>
      <c r="E81" s="37" t="str">
        <f>Insumos!C63</f>
        <v>unid.</v>
      </c>
      <c r="F81" s="37" t="str">
        <f>Insumos!D63</f>
        <v>Brubalar</v>
      </c>
      <c r="G81" s="72">
        <f t="shared" si="4"/>
        <v>0.16666666666666666</v>
      </c>
      <c r="H81" s="85">
        <f>G81*Insumos!G63</f>
        <v>4.2783333333333333</v>
      </c>
      <c r="I81" s="492" t="str">
        <f t="shared" si="5"/>
        <v>Fornecimento igual ao estimado mensalmente</v>
      </c>
      <c r="J81" s="492"/>
      <c r="K81" s="492"/>
      <c r="L81" s="74">
        <f t="shared" si="6"/>
        <v>0.16666666666666666</v>
      </c>
      <c r="M81" s="27">
        <f>Insumos!E63</f>
        <v>1</v>
      </c>
      <c r="N81" s="27" t="str">
        <f>Insumos!F63</f>
        <v>semestral</v>
      </c>
      <c r="O81" s="77">
        <f t="shared" si="7"/>
        <v>6</v>
      </c>
    </row>
    <row r="82" spans="1:21" ht="29.25" hidden="1" customHeight="1" x14ac:dyDescent="0.25">
      <c r="A82" s="25">
        <v>15</v>
      </c>
      <c r="B82" s="499" t="str">
        <f>Insumos!B64</f>
        <v>Sabão Glicerinado em Barra Neutro 200g</v>
      </c>
      <c r="C82" s="499"/>
      <c r="D82" s="499"/>
      <c r="E82" s="37" t="str">
        <f>Insumos!C64</f>
        <v>unid.</v>
      </c>
      <c r="F82" s="37"/>
      <c r="G82" s="72">
        <f t="shared" si="4"/>
        <v>2</v>
      </c>
      <c r="H82" s="85">
        <f>G82*Insumos!G64</f>
        <v>4.8</v>
      </c>
      <c r="I82" s="492" t="str">
        <f t="shared" si="5"/>
        <v>Fornecimento igual ao estimado mensalmente</v>
      </c>
      <c r="J82" s="492"/>
      <c r="K82" s="492"/>
      <c r="L82" s="74">
        <f t="shared" si="6"/>
        <v>2</v>
      </c>
      <c r="M82" s="27">
        <f>Insumos!E64</f>
        <v>2</v>
      </c>
      <c r="N82" s="27" t="str">
        <f>Insumos!F64</f>
        <v>mensal</v>
      </c>
      <c r="O82" s="77">
        <f t="shared" si="7"/>
        <v>1</v>
      </c>
    </row>
    <row r="83" spans="1:21" ht="15" hidden="1" customHeight="1" x14ac:dyDescent="0.25">
      <c r="A83" s="25">
        <v>16</v>
      </c>
      <c r="B83" s="499" t="str">
        <f>Insumos!B65</f>
        <v>Saco De Algodão Tipo: Alvejado , Tamanho: 60 X 80 CM, Cor: Branco, Características Adicionais: Dupla Face</v>
      </c>
      <c r="C83" s="499"/>
      <c r="D83" s="499"/>
      <c r="E83" s="37" t="str">
        <f>Insumos!C65</f>
        <v>unid.</v>
      </c>
      <c r="F83" s="37" t="str">
        <f>Insumos!D65</f>
        <v>Uzzilim</v>
      </c>
      <c r="G83" s="72">
        <f t="shared" si="4"/>
        <v>0.5</v>
      </c>
      <c r="H83" s="85">
        <f>G83*Insumos!G65</f>
        <v>4.1150000000000002</v>
      </c>
      <c r="I83" s="492" t="str">
        <f t="shared" si="5"/>
        <v>Fornecimento igual ao estimado mensalmente</v>
      </c>
      <c r="J83" s="492"/>
      <c r="K83" s="492"/>
      <c r="L83" s="74">
        <f t="shared" si="6"/>
        <v>0.5</v>
      </c>
      <c r="M83" s="27">
        <f>Insumos!E65</f>
        <v>1</v>
      </c>
      <c r="N83" s="27" t="str">
        <f>Insumos!F65</f>
        <v>bimestral</v>
      </c>
      <c r="O83" s="77">
        <f t="shared" si="7"/>
        <v>2</v>
      </c>
    </row>
    <row r="84" spans="1:21" ht="15" hidden="1" customHeight="1" x14ac:dyDescent="0.25">
      <c r="A84" s="486" t="s">
        <v>63</v>
      </c>
      <c r="B84" s="486"/>
      <c r="C84" s="486"/>
      <c r="D84" s="486"/>
      <c r="E84" s="486"/>
      <c r="F84" s="486"/>
      <c r="G84" s="486"/>
      <c r="H84" s="86">
        <f>SUM(H68:H83)</f>
        <v>129.79166666666666</v>
      </c>
      <c r="I84" s="56"/>
      <c r="J84" s="56"/>
      <c r="K84" s="2"/>
      <c r="L84" s="66"/>
      <c r="M84" s="66"/>
      <c r="N84" s="66"/>
      <c r="U84" s="2"/>
    </row>
    <row r="85" spans="1:21" ht="15" hidden="1" customHeight="1" x14ac:dyDescent="0.25">
      <c r="A85" s="494" t="s">
        <v>64</v>
      </c>
      <c r="B85" s="494"/>
      <c r="C85" s="494"/>
      <c r="D85" s="494"/>
      <c r="E85" s="494"/>
      <c r="F85" s="494"/>
      <c r="G85" s="82">
        <f>Dados!$G$43</f>
        <v>0.03</v>
      </c>
      <c r="H85" s="83">
        <f>ROUND((H84*G85),2)</f>
        <v>3.89</v>
      </c>
      <c r="I85" s="66"/>
      <c r="J85" s="66"/>
      <c r="K85" s="2"/>
      <c r="L85" s="66"/>
      <c r="M85" s="66"/>
      <c r="N85" s="66"/>
      <c r="U85" s="2"/>
    </row>
    <row r="86" spans="1:21" ht="15" hidden="1" customHeight="1" x14ac:dyDescent="0.25">
      <c r="A86" s="494" t="s">
        <v>65</v>
      </c>
      <c r="B86" s="494"/>
      <c r="C86" s="494"/>
      <c r="D86" s="494"/>
      <c r="E86" s="494"/>
      <c r="F86" s="494"/>
      <c r="G86" s="82">
        <f>Dados!$G$44</f>
        <v>6.7900000000000002E-2</v>
      </c>
      <c r="H86" s="83">
        <f>ROUND((SUM(H84:H85)*G86),2)</f>
        <v>9.08</v>
      </c>
      <c r="I86" s="66"/>
      <c r="J86" s="66"/>
      <c r="K86" s="2"/>
      <c r="L86" s="66"/>
      <c r="M86" s="66"/>
      <c r="N86" s="66"/>
      <c r="U86" s="2"/>
    </row>
    <row r="87" spans="1:21" ht="15" hidden="1" customHeight="1" x14ac:dyDescent="0.25">
      <c r="A87" s="494" t="s">
        <v>66</v>
      </c>
      <c r="B87" s="494"/>
      <c r="C87" s="494"/>
      <c r="D87" s="494"/>
      <c r="E87" s="494"/>
      <c r="F87" s="494"/>
      <c r="G87" s="82">
        <f>Dados!$G$55</f>
        <v>0.17249999999999999</v>
      </c>
      <c r="H87" s="83">
        <f>ROUND((H88*G87),2)</f>
        <v>29.76</v>
      </c>
      <c r="I87" s="66"/>
      <c r="J87" s="66"/>
      <c r="K87" s="2"/>
      <c r="L87" s="66"/>
      <c r="M87" s="66"/>
      <c r="N87" s="66"/>
      <c r="U87" s="2"/>
    </row>
    <row r="88" spans="1:21" ht="15.75" hidden="1" customHeight="1" x14ac:dyDescent="0.25">
      <c r="A88" s="495" t="s">
        <v>567</v>
      </c>
      <c r="B88" s="495"/>
      <c r="C88" s="495"/>
      <c r="D88" s="495"/>
      <c r="E88" s="495"/>
      <c r="F88" s="495"/>
      <c r="G88" s="495"/>
      <c r="H88" s="84">
        <f>ROUND((SUM(H84:H86)/(1-G87)),2)</f>
        <v>172.52</v>
      </c>
      <c r="I88" s="66"/>
      <c r="J88" s="66"/>
      <c r="K88" s="2"/>
      <c r="L88" s="66"/>
      <c r="M88" s="66"/>
      <c r="N88" s="66"/>
      <c r="U88" s="2"/>
    </row>
    <row r="89" spans="1:21" x14ac:dyDescent="0.25">
      <c r="A89" s="61"/>
      <c r="B89" s="58"/>
      <c r="C89" s="66"/>
      <c r="D89" s="66"/>
      <c r="E89" s="66"/>
      <c r="F89" s="66"/>
      <c r="G89" s="61"/>
      <c r="H89" s="66"/>
      <c r="I89" s="66"/>
      <c r="J89" s="66"/>
      <c r="K89" s="2"/>
      <c r="L89" s="66"/>
      <c r="M89" s="66"/>
      <c r="N89" s="66"/>
      <c r="U89" s="2"/>
    </row>
    <row r="90" spans="1:21" hidden="1" x14ac:dyDescent="0.25">
      <c r="L90" s="2"/>
      <c r="M90" s="2"/>
      <c r="P90" s="5"/>
      <c r="Q90" s="5"/>
      <c r="U90" s="2"/>
    </row>
    <row r="91" spans="1:21" hidden="1" x14ac:dyDescent="0.25"/>
    <row r="92" spans="1:21" hidden="1" x14ac:dyDescent="0.25">
      <c r="B92" s="500" t="s">
        <v>67</v>
      </c>
      <c r="C92" s="500"/>
    </row>
    <row r="93" spans="1:21" hidden="1" x14ac:dyDescent="0.25">
      <c r="B93" s="87" t="s">
        <v>68</v>
      </c>
      <c r="C93" s="88">
        <v>22</v>
      </c>
      <c r="D93" s="2" t="s">
        <v>69</v>
      </c>
    </row>
    <row r="94" spans="1:21" hidden="1" x14ac:dyDescent="0.25">
      <c r="B94" s="87" t="s">
        <v>3</v>
      </c>
      <c r="C94" s="89">
        <v>30</v>
      </c>
      <c r="D94" s="2" t="s">
        <v>70</v>
      </c>
    </row>
    <row r="95" spans="1:21" hidden="1" x14ac:dyDescent="0.25">
      <c r="B95" s="87" t="s">
        <v>71</v>
      </c>
      <c r="C95" s="89" t="s">
        <v>72</v>
      </c>
      <c r="D95" s="2" t="s">
        <v>73</v>
      </c>
    </row>
    <row r="96" spans="1:21" hidden="1" x14ac:dyDescent="0.25"/>
    <row r="97" spans="2:3" hidden="1" x14ac:dyDescent="0.25">
      <c r="B97" s="87" t="s">
        <v>74</v>
      </c>
      <c r="C97" s="90" t="s">
        <v>75</v>
      </c>
    </row>
    <row r="98" spans="2:3" hidden="1" x14ac:dyDescent="0.25">
      <c r="B98" s="87">
        <v>220</v>
      </c>
      <c r="C98" s="90">
        <v>8.8000000000000007</v>
      </c>
    </row>
    <row r="99" spans="2:3" hidden="1" x14ac:dyDescent="0.25">
      <c r="B99" s="87">
        <v>200</v>
      </c>
      <c r="C99" s="90">
        <v>8</v>
      </c>
    </row>
    <row r="100" spans="2:3" hidden="1" x14ac:dyDescent="0.25">
      <c r="B100" s="87">
        <v>180</v>
      </c>
      <c r="C100" s="90">
        <v>7.2</v>
      </c>
    </row>
    <row r="101" spans="2:3" hidden="1" x14ac:dyDescent="0.25">
      <c r="B101" s="87">
        <v>150</v>
      </c>
      <c r="C101" s="90">
        <v>6</v>
      </c>
    </row>
    <row r="102" spans="2:3" hidden="1" x14ac:dyDescent="0.25">
      <c r="B102" s="87">
        <v>120</v>
      </c>
      <c r="C102" s="90">
        <v>4.8</v>
      </c>
    </row>
    <row r="103" spans="2:3" hidden="1" x14ac:dyDescent="0.25">
      <c r="B103" s="87">
        <v>100</v>
      </c>
      <c r="C103" s="90">
        <v>4</v>
      </c>
    </row>
    <row r="104" spans="2:3" hidden="1" x14ac:dyDescent="0.25">
      <c r="B104" s="87">
        <v>75</v>
      </c>
      <c r="C104" s="90">
        <v>3</v>
      </c>
    </row>
    <row r="105" spans="2:3" hidden="1" x14ac:dyDescent="0.25"/>
    <row r="106" spans="2:3" hidden="1" x14ac:dyDescent="0.25">
      <c r="B106" s="87" t="s">
        <v>76</v>
      </c>
    </row>
    <row r="107" spans="2:3" hidden="1" x14ac:dyDescent="0.25">
      <c r="B107" s="87">
        <v>0</v>
      </c>
    </row>
    <row r="108" spans="2:3" hidden="1" x14ac:dyDescent="0.25">
      <c r="B108" s="87">
        <v>1</v>
      </c>
    </row>
    <row r="109" spans="2:3" hidden="1" x14ac:dyDescent="0.25">
      <c r="B109" s="87">
        <v>2</v>
      </c>
    </row>
  </sheetData>
  <sheetProtection algorithmName="SHA-512" hashValue="7wMWAWzCnLgbn29wZRV315acC1eknViAo8VIjrvFcm/dEIdBe09uUiqb1mJPr7r1gGNH+3pEidDUMhLLurDnRQ==" saltValue="XSrDHFwcXivHbjkXIWVPYQ==" spinCount="100000" sheet="1" objects="1" scenarios="1"/>
  <mergeCells count="149">
    <mergeCell ref="B92:C92"/>
    <mergeCell ref="B82:D82"/>
    <mergeCell ref="I82:K82"/>
    <mergeCell ref="B83:D83"/>
    <mergeCell ref="I83:K83"/>
    <mergeCell ref="A84:G84"/>
    <mergeCell ref="A85:F85"/>
    <mergeCell ref="A86:F86"/>
    <mergeCell ref="A87:F87"/>
    <mergeCell ref="A88:G88"/>
    <mergeCell ref="B77:D77"/>
    <mergeCell ref="I77:K77"/>
    <mergeCell ref="B78:D78"/>
    <mergeCell ref="I78:K78"/>
    <mergeCell ref="B79:D79"/>
    <mergeCell ref="I79:K79"/>
    <mergeCell ref="B80:D80"/>
    <mergeCell ref="I80:K80"/>
    <mergeCell ref="B81:D81"/>
    <mergeCell ref="I81:K81"/>
    <mergeCell ref="B72:D72"/>
    <mergeCell ref="I72:K72"/>
    <mergeCell ref="B73:D73"/>
    <mergeCell ref="I73:K73"/>
    <mergeCell ref="B74:D74"/>
    <mergeCell ref="I74:K74"/>
    <mergeCell ref="B75:D75"/>
    <mergeCell ref="I75:K75"/>
    <mergeCell ref="B76:D76"/>
    <mergeCell ref="I76:K76"/>
    <mergeCell ref="L66:O66"/>
    <mergeCell ref="B67:D67"/>
    <mergeCell ref="B68:D68"/>
    <mergeCell ref="I68:K68"/>
    <mergeCell ref="B69:D69"/>
    <mergeCell ref="I69:K69"/>
    <mergeCell ref="B70:D70"/>
    <mergeCell ref="I70:K70"/>
    <mergeCell ref="B71:D71"/>
    <mergeCell ref="I71:K71"/>
    <mergeCell ref="A60:G60"/>
    <mergeCell ref="A61:F61"/>
    <mergeCell ref="A62:F62"/>
    <mergeCell ref="A63:F63"/>
    <mergeCell ref="A64:G64"/>
    <mergeCell ref="A66:A67"/>
    <mergeCell ref="B66:E66"/>
    <mergeCell ref="F66:H66"/>
    <mergeCell ref="I66:K67"/>
    <mergeCell ref="B55:D55"/>
    <mergeCell ref="I55:K55"/>
    <mergeCell ref="B56:D56"/>
    <mergeCell ref="I56:K56"/>
    <mergeCell ref="B57:D57"/>
    <mergeCell ref="I57:K57"/>
    <mergeCell ref="B58:D58"/>
    <mergeCell ref="I58:K58"/>
    <mergeCell ref="B59:D59"/>
    <mergeCell ref="I59:K59"/>
    <mergeCell ref="B50:D50"/>
    <mergeCell ref="I50:K50"/>
    <mergeCell ref="B51:D51"/>
    <mergeCell ref="I51:K51"/>
    <mergeCell ref="B52:D52"/>
    <mergeCell ref="I52:K52"/>
    <mergeCell ref="B53:D53"/>
    <mergeCell ref="I53:K53"/>
    <mergeCell ref="B54:D54"/>
    <mergeCell ref="I54:K54"/>
    <mergeCell ref="B45:D45"/>
    <mergeCell ref="I45:K45"/>
    <mergeCell ref="B46:D46"/>
    <mergeCell ref="I46:K46"/>
    <mergeCell ref="B47:D47"/>
    <mergeCell ref="I47:K47"/>
    <mergeCell ref="B48:D48"/>
    <mergeCell ref="I48:K48"/>
    <mergeCell ref="B49:D49"/>
    <mergeCell ref="I49:K49"/>
    <mergeCell ref="B40:D40"/>
    <mergeCell ref="I40:K40"/>
    <mergeCell ref="B41:D41"/>
    <mergeCell ref="I41:K41"/>
    <mergeCell ref="B42:D42"/>
    <mergeCell ref="I42:K42"/>
    <mergeCell ref="B43:D43"/>
    <mergeCell ref="I43:K43"/>
    <mergeCell ref="B44:D44"/>
    <mergeCell ref="I44:K44"/>
    <mergeCell ref="B35:D35"/>
    <mergeCell ref="I35:K35"/>
    <mergeCell ref="B36:D36"/>
    <mergeCell ref="I36:K36"/>
    <mergeCell ref="B37:D37"/>
    <mergeCell ref="I37:K37"/>
    <mergeCell ref="B38:D38"/>
    <mergeCell ref="I38:K38"/>
    <mergeCell ref="B39:D39"/>
    <mergeCell ref="I39:K39"/>
    <mergeCell ref="B30:D30"/>
    <mergeCell ref="I30:K30"/>
    <mergeCell ref="B31:D31"/>
    <mergeCell ref="I31:K31"/>
    <mergeCell ref="B32:D32"/>
    <mergeCell ref="I32:K32"/>
    <mergeCell ref="B33:D33"/>
    <mergeCell ref="I33:K33"/>
    <mergeCell ref="B34:D34"/>
    <mergeCell ref="I34:K34"/>
    <mergeCell ref="B25:D25"/>
    <mergeCell ref="I25:K25"/>
    <mergeCell ref="B26:D26"/>
    <mergeCell ref="I26:K26"/>
    <mergeCell ref="B27:D27"/>
    <mergeCell ref="I27:K27"/>
    <mergeCell ref="B28:D28"/>
    <mergeCell ref="I28:K28"/>
    <mergeCell ref="B29:D29"/>
    <mergeCell ref="I29:K29"/>
    <mergeCell ref="S6:U8"/>
    <mergeCell ref="A14:G14"/>
    <mergeCell ref="I14:J14"/>
    <mergeCell ref="A17:B18"/>
    <mergeCell ref="A19:F20"/>
    <mergeCell ref="A23:A24"/>
    <mergeCell ref="B23:E23"/>
    <mergeCell ref="F23:H23"/>
    <mergeCell ref="I23:K24"/>
    <mergeCell ref="L23:O23"/>
    <mergeCell ref="B24:D24"/>
    <mergeCell ref="C2:R2"/>
    <mergeCell ref="C3:R3"/>
    <mergeCell ref="A4:C4"/>
    <mergeCell ref="A6:C8"/>
    <mergeCell ref="D6:D8"/>
    <mergeCell ref="E6:E8"/>
    <mergeCell ref="F6:F8"/>
    <mergeCell ref="G6:G8"/>
    <mergeCell ref="H6:H8"/>
    <mergeCell ref="I6:I8"/>
    <mergeCell ref="J6:J8"/>
    <mergeCell ref="K6:K8"/>
    <mergeCell ref="L6:L8"/>
    <mergeCell ref="M6:M8"/>
    <mergeCell ref="N6:N8"/>
    <mergeCell ref="O6:O8"/>
    <mergeCell ref="P6:P8"/>
    <mergeCell ref="Q6:Q8"/>
    <mergeCell ref="R6:R8"/>
  </mergeCells>
  <conditionalFormatting sqref="I25:I59 I68:I83">
    <cfRule type="containsText" dxfId="1" priority="2" operator="containsText" text="inferior">
      <formula>NOT(ISERROR(SEARCH("inferior",I25)))</formula>
    </cfRule>
    <cfRule type="containsText" dxfId="0" priority="3" operator="containsText" text="superior">
      <formula>NOT(ISERROR(SEARCH("superior",I25)))</formula>
    </cfRule>
  </conditionalFormatting>
  <dataValidations disablePrompts="1" count="5">
    <dataValidation type="list" allowBlank="1" showInputMessage="1" showErrorMessage="1" sqref="N25:N59" xr:uid="{00000000-0002-0000-0000-000000000000}">
      <formula1>"Mensal,Bimestral,Trimestral,Quadrimestral,Semestral,Anual,Bienal"</formula1>
      <formula2>0</formula2>
    </dataValidation>
    <dataValidation type="list" allowBlank="1" showInputMessage="1" showErrorMessage="1" sqref="C18" xr:uid="{00000000-0002-0000-0000-000001000000}">
      <formula1>$B$98:$B$104</formula1>
      <formula2>0</formula2>
    </dataValidation>
    <dataValidation type="list" allowBlank="1" showInputMessage="1" showErrorMessage="1" sqref="D4" xr:uid="{00000000-0002-0000-0000-000004000000}">
      <formula1>$B$93:$B$95</formula1>
      <formula2>0</formula2>
    </dataValidation>
    <dataValidation type="list" allowBlank="1" showInputMessage="1" showErrorMessage="1" sqref="E10:E13" xr:uid="{00000000-0002-0000-0000-000005000000}">
      <formula1>"SIM,NÃO"</formula1>
      <formula2>0</formula2>
    </dataValidation>
    <dataValidation type="list" allowBlank="1" showInputMessage="1" showErrorMessage="1" sqref="D10:D13" xr:uid="{00000000-0002-0000-0000-000006000000}">
      <formula1>$B$107:$B$108</formula1>
      <formula2>0</formula2>
    </dataValidation>
  </dataValidations>
  <pageMargins left="0.7" right="0.7" top="0.75" bottom="0.75" header="0.511811023622047" footer="0.511811023622047"/>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249977111117893"/>
    <pageSetUpPr fitToPage="1"/>
  </sheetPr>
  <dimension ref="A1:AMK48"/>
  <sheetViews>
    <sheetView showGridLines="0" tabSelected="1" view="pageBreakPreview" zoomScale="120" zoomScaleNormal="100" zoomScalePageLayoutView="120" workbookViewId="0">
      <selection activeCell="E19" sqref="E19"/>
    </sheetView>
  </sheetViews>
  <sheetFormatPr defaultColWidth="8.7109375" defaultRowHeight="15" x14ac:dyDescent="0.25"/>
  <cols>
    <col min="1" max="1" width="10.5703125" style="66" customWidth="1"/>
    <col min="2" max="2" width="27.7109375" style="66" customWidth="1"/>
    <col min="3" max="3" width="14.42578125" style="66" customWidth="1"/>
    <col min="4" max="5" width="15" style="66" customWidth="1"/>
    <col min="6" max="6" width="16.7109375" style="254" customWidth="1"/>
    <col min="7" max="8" width="13.140625" style="254" customWidth="1"/>
    <col min="9" max="10" width="12.5703125" style="254" customWidth="1"/>
    <col min="11" max="257" width="9.140625" style="66" customWidth="1"/>
    <col min="258" max="258" width="10.5703125" style="66" customWidth="1"/>
    <col min="259" max="259" width="27.7109375" style="66" customWidth="1"/>
    <col min="260" max="260" width="14.42578125" style="66" customWidth="1"/>
    <col min="261" max="262" width="15" style="66" customWidth="1"/>
    <col min="263" max="263" width="16.7109375" style="66" customWidth="1"/>
    <col min="264" max="264" width="13.140625" style="66" customWidth="1"/>
    <col min="265" max="266" width="12.5703125" style="66" customWidth="1"/>
    <col min="267" max="513" width="9.140625" style="66" customWidth="1"/>
    <col min="514" max="514" width="10.5703125" style="66" customWidth="1"/>
    <col min="515" max="515" width="27.7109375" style="66" customWidth="1"/>
    <col min="516" max="516" width="14.42578125" style="66" customWidth="1"/>
    <col min="517" max="518" width="15" style="66" customWidth="1"/>
    <col min="519" max="519" width="16.7109375" style="66" customWidth="1"/>
    <col min="520" max="520" width="13.140625" style="66" customWidth="1"/>
    <col min="521" max="522" width="12.5703125" style="66" customWidth="1"/>
    <col min="523" max="769" width="9.140625" style="66" customWidth="1"/>
    <col min="770" max="770" width="10.5703125" style="66" customWidth="1"/>
    <col min="771" max="771" width="27.7109375" style="66" customWidth="1"/>
    <col min="772" max="772" width="14.42578125" style="66" customWidth="1"/>
    <col min="773" max="774" width="15" style="66" customWidth="1"/>
    <col min="775" max="775" width="16.7109375" style="66" customWidth="1"/>
    <col min="776" max="776" width="13.140625" style="66" customWidth="1"/>
    <col min="777" max="778" width="12.5703125" style="66" customWidth="1"/>
    <col min="779" max="1025" width="9.140625" style="66" customWidth="1"/>
  </cols>
  <sheetData>
    <row r="1" spans="1:10" x14ac:dyDescent="0.25">
      <c r="A1" s="255"/>
      <c r="B1" s="93" t="str">
        <f>INSTRUÇÕES!B1</f>
        <v>Tribunal Regional Federal da 6ª Região</v>
      </c>
      <c r="C1" s="256"/>
      <c r="D1" s="256"/>
      <c r="E1" s="256"/>
      <c r="F1" s="257"/>
      <c r="G1" s="258"/>
      <c r="H1" s="258"/>
      <c r="I1" s="257"/>
      <c r="J1" s="259"/>
    </row>
    <row r="2" spans="1:10" x14ac:dyDescent="0.25">
      <c r="A2" s="260"/>
      <c r="B2" s="95" t="str">
        <f>INSTRUÇÕES!B2</f>
        <v>Seção Judiciária de Minas Gerais</v>
      </c>
      <c r="C2" s="56"/>
      <c r="D2" s="56"/>
      <c r="E2" s="56"/>
      <c r="F2" s="261"/>
      <c r="I2" s="261"/>
      <c r="J2" s="262"/>
    </row>
    <row r="3" spans="1:10" x14ac:dyDescent="0.25">
      <c r="A3" s="152"/>
      <c r="B3" s="263" t="str">
        <f>INSTRUÇÕES!B3</f>
        <v>Subseção Judiciária de Lavras</v>
      </c>
      <c r="C3" s="56"/>
      <c r="D3" s="56"/>
      <c r="E3" s="56"/>
      <c r="F3" s="261"/>
      <c r="I3" s="261"/>
      <c r="J3" s="262"/>
    </row>
    <row r="4" spans="1:10" ht="19.5" customHeight="1" x14ac:dyDescent="0.25">
      <c r="A4" s="563" t="s">
        <v>436</v>
      </c>
      <c r="B4" s="563"/>
      <c r="C4" s="563"/>
      <c r="D4" s="563"/>
      <c r="E4" s="563"/>
      <c r="F4" s="563"/>
      <c r="G4" s="563"/>
      <c r="H4" s="563"/>
      <c r="I4" s="563"/>
      <c r="J4" s="563"/>
    </row>
    <row r="5" spans="1:10" ht="19.5" customHeight="1" x14ac:dyDescent="0.25">
      <c r="A5" s="567" t="s">
        <v>593</v>
      </c>
      <c r="B5" s="567"/>
      <c r="C5" s="567"/>
      <c r="D5" s="567"/>
      <c r="E5" s="567"/>
      <c r="F5" s="567"/>
      <c r="G5" s="567"/>
      <c r="H5" s="567"/>
      <c r="I5" s="567"/>
      <c r="J5" s="567"/>
    </row>
    <row r="6" spans="1:10" ht="36" customHeight="1" x14ac:dyDescent="0.25">
      <c r="A6" s="568" t="str">
        <f>Dados!A4</f>
        <v>Sindicato utilizado - SINTAPPI x SINSERHT. Vigência: 2025/2026. Sendo a data base da categoria 01° de Abril. Com número de registro no MTE MG001973/2025.</v>
      </c>
      <c r="B6" s="568"/>
      <c r="C6" s="568"/>
      <c r="D6" s="568"/>
      <c r="E6" s="568"/>
      <c r="F6" s="568"/>
      <c r="G6" s="568"/>
      <c r="H6" s="568"/>
      <c r="I6" s="568"/>
      <c r="J6" s="568"/>
    </row>
    <row r="7" spans="1:10" ht="19.5" customHeight="1" x14ac:dyDescent="0.25">
      <c r="A7" s="569" t="str">
        <f>Dados!C8</f>
        <v>Servente de Limpeza  com Acúmulo de função de Copeira</v>
      </c>
      <c r="B7" s="569"/>
      <c r="C7" s="569"/>
      <c r="D7" s="569"/>
      <c r="E7" s="569"/>
      <c r="F7" s="570" t="s">
        <v>584</v>
      </c>
      <c r="G7" s="570" t="s">
        <v>585</v>
      </c>
      <c r="H7" s="570" t="s">
        <v>437</v>
      </c>
      <c r="I7" s="570" t="s">
        <v>438</v>
      </c>
      <c r="J7" s="570" t="s">
        <v>439</v>
      </c>
    </row>
    <row r="8" spans="1:10" ht="19.5" customHeight="1" x14ac:dyDescent="0.25">
      <c r="A8" s="571" t="s">
        <v>440</v>
      </c>
      <c r="B8" s="571"/>
      <c r="C8" s="571"/>
      <c r="D8" s="571"/>
      <c r="E8" s="264" t="s">
        <v>422</v>
      </c>
      <c r="F8" s="570"/>
      <c r="G8" s="570"/>
      <c r="H8" s="570"/>
      <c r="I8" s="570"/>
      <c r="J8" s="570"/>
    </row>
    <row r="9" spans="1:10" ht="19.5" customHeight="1" x14ac:dyDescent="0.25">
      <c r="A9" s="572" t="s">
        <v>441</v>
      </c>
      <c r="B9" s="572"/>
      <c r="C9" s="572"/>
      <c r="D9" s="572"/>
      <c r="E9" s="572"/>
      <c r="F9" s="572"/>
      <c r="G9" s="572"/>
      <c r="H9" s="572"/>
      <c r="I9" s="572"/>
      <c r="J9" s="572"/>
    </row>
    <row r="10" spans="1:10" ht="24" customHeight="1" x14ac:dyDescent="0.25">
      <c r="A10" s="157" t="s">
        <v>423</v>
      </c>
      <c r="B10" s="573" t="s">
        <v>442</v>
      </c>
      <c r="C10" s="573"/>
      <c r="D10" s="208" t="s">
        <v>443</v>
      </c>
      <c r="E10" s="265" t="s">
        <v>444</v>
      </c>
      <c r="F10" s="574" t="s">
        <v>426</v>
      </c>
      <c r="G10" s="574"/>
      <c r="H10" s="574"/>
      <c r="I10" s="574"/>
      <c r="J10" s="574"/>
    </row>
    <row r="11" spans="1:10" ht="19.5" customHeight="1" x14ac:dyDescent="0.25">
      <c r="A11" s="575">
        <v>1</v>
      </c>
      <c r="B11" s="576" t="str">
        <f>A7</f>
        <v>Servente de Limpeza  com Acúmulo de função de Copeira</v>
      </c>
      <c r="C11" s="576"/>
      <c r="D11" s="27">
        <f>Dados!D8</f>
        <v>200</v>
      </c>
      <c r="E11" s="267">
        <f>Dados!E8</f>
        <v>1633.68</v>
      </c>
      <c r="F11" s="268">
        <f>ROUND(E11/220*D11,2)</f>
        <v>1485.16</v>
      </c>
      <c r="G11" s="268">
        <f>F11</f>
        <v>1485.16</v>
      </c>
      <c r="H11" s="268"/>
      <c r="I11" s="268"/>
      <c r="J11" s="269"/>
    </row>
    <row r="12" spans="1:10" ht="19.5" customHeight="1" x14ac:dyDescent="0.25">
      <c r="A12" s="575"/>
      <c r="B12" s="576" t="s">
        <v>445</v>
      </c>
      <c r="C12" s="576"/>
      <c r="D12" s="39">
        <f>Dados!G8</f>
        <v>0</v>
      </c>
      <c r="E12" s="267">
        <f>Dados!G27</f>
        <v>1621</v>
      </c>
      <c r="F12" s="268">
        <f>D12*E12</f>
        <v>0</v>
      </c>
      <c r="G12" s="268">
        <f>F12</f>
        <v>0</v>
      </c>
      <c r="H12" s="268"/>
      <c r="I12" s="268"/>
      <c r="J12" s="269">
        <f>F12</f>
        <v>0</v>
      </c>
    </row>
    <row r="13" spans="1:10" ht="21" customHeight="1" x14ac:dyDescent="0.25">
      <c r="A13" s="575"/>
      <c r="B13" s="271" t="s">
        <v>446</v>
      </c>
      <c r="C13" s="272">
        <f>Dados!I8</f>
        <v>0.12</v>
      </c>
      <c r="D13" s="272">
        <f>Dados!J8</f>
        <v>0.25</v>
      </c>
      <c r="E13" s="273">
        <f>Dados!K8</f>
        <v>1485.16</v>
      </c>
      <c r="F13" s="274">
        <f>ROUND((E13*D13*C13),2)</f>
        <v>44.55</v>
      </c>
      <c r="G13" s="274">
        <f>F13</f>
        <v>44.55</v>
      </c>
      <c r="H13" s="274"/>
      <c r="I13" s="274"/>
      <c r="J13" s="275"/>
    </row>
    <row r="14" spans="1:10" ht="19.5" customHeight="1" x14ac:dyDescent="0.25">
      <c r="A14" s="575"/>
      <c r="B14" s="577" t="s">
        <v>447</v>
      </c>
      <c r="C14" s="577"/>
      <c r="D14" s="577"/>
      <c r="E14" s="577"/>
      <c r="F14" s="276">
        <f>SUM(F11:F13)</f>
        <v>1529.71</v>
      </c>
      <c r="G14" s="276">
        <f>SUM(G11:G13)</f>
        <v>1529.71</v>
      </c>
      <c r="H14" s="276">
        <f>SUM(H11:H13)</f>
        <v>0</v>
      </c>
      <c r="I14" s="276">
        <f>SUM(I11:I13)</f>
        <v>0</v>
      </c>
      <c r="J14" s="277">
        <f>SUM(J11:J13)</f>
        <v>0</v>
      </c>
    </row>
    <row r="15" spans="1:10" ht="19.5" customHeight="1" x14ac:dyDescent="0.25">
      <c r="A15" s="575"/>
      <c r="B15" s="578" t="s">
        <v>448</v>
      </c>
      <c r="C15" s="578"/>
      <c r="D15" s="578"/>
      <c r="E15" s="278">
        <f>Encargos!$C$57</f>
        <v>0.76400000000000001</v>
      </c>
      <c r="F15" s="268">
        <f>ROUND((E15*F14),2)</f>
        <v>1168.7</v>
      </c>
      <c r="G15" s="268">
        <f>F15</f>
        <v>1168.7</v>
      </c>
      <c r="H15" s="268"/>
      <c r="I15" s="268"/>
      <c r="J15" s="269">
        <f>ROUND((E15*J14),2)</f>
        <v>0</v>
      </c>
    </row>
    <row r="16" spans="1:10" ht="19.5" customHeight="1" x14ac:dyDescent="0.25">
      <c r="A16" s="579" t="s">
        <v>449</v>
      </c>
      <c r="B16" s="579"/>
      <c r="C16" s="579"/>
      <c r="D16" s="579"/>
      <c r="E16" s="579"/>
      <c r="F16" s="279">
        <f>SUM(F14:F15)</f>
        <v>2698.41</v>
      </c>
      <c r="G16" s="279">
        <f>SUM(G14:G15)</f>
        <v>2698.41</v>
      </c>
      <c r="H16" s="279">
        <f>SUM(H14:H15)</f>
        <v>0</v>
      </c>
      <c r="I16" s="279">
        <f>SUM(I14:I15)</f>
        <v>0</v>
      </c>
      <c r="J16" s="280">
        <f>SUM(J14:J15)</f>
        <v>0</v>
      </c>
    </row>
    <row r="17" spans="1:12" ht="19.5" customHeight="1" x14ac:dyDescent="0.25">
      <c r="A17" s="580" t="s">
        <v>450</v>
      </c>
      <c r="B17" s="580"/>
      <c r="C17" s="580"/>
      <c r="D17" s="580"/>
      <c r="E17" s="580"/>
      <c r="F17" s="580"/>
      <c r="G17" s="580"/>
      <c r="H17" s="580"/>
      <c r="I17" s="580"/>
      <c r="J17" s="580"/>
    </row>
    <row r="18" spans="1:12" ht="19.5" customHeight="1" x14ac:dyDescent="0.25">
      <c r="A18" s="581" t="s">
        <v>451</v>
      </c>
      <c r="B18" s="581"/>
      <c r="C18" s="37" t="s">
        <v>425</v>
      </c>
      <c r="D18" s="582" t="s">
        <v>469</v>
      </c>
      <c r="E18" s="582"/>
      <c r="F18" s="583" t="s">
        <v>426</v>
      </c>
      <c r="G18" s="583"/>
      <c r="H18" s="583"/>
      <c r="I18" s="583"/>
      <c r="J18" s="583"/>
    </row>
    <row r="19" spans="1:12" ht="19.5" customHeight="1" x14ac:dyDescent="0.25">
      <c r="A19" s="566" t="s">
        <v>453</v>
      </c>
      <c r="B19" s="566"/>
      <c r="C19" s="213"/>
      <c r="D19" s="213"/>
      <c r="E19" s="213"/>
      <c r="F19" s="268">
        <f>Dados!$N$8</f>
        <v>0</v>
      </c>
      <c r="G19" s="268">
        <f t="shared" ref="G19:G23" si="0">F19</f>
        <v>0</v>
      </c>
      <c r="H19" s="268"/>
      <c r="I19" s="268"/>
      <c r="J19" s="269"/>
    </row>
    <row r="20" spans="1:12" ht="19.5" customHeight="1" x14ac:dyDescent="0.25">
      <c r="A20" s="566" t="s">
        <v>454</v>
      </c>
      <c r="B20" s="566"/>
      <c r="C20" s="213"/>
      <c r="D20" s="213"/>
      <c r="E20" s="213"/>
      <c r="F20" s="268">
        <f>Dados!$G$30</f>
        <v>5.27</v>
      </c>
      <c r="G20" s="268">
        <f t="shared" si="0"/>
        <v>5.27</v>
      </c>
      <c r="H20" s="268"/>
      <c r="I20" s="268"/>
      <c r="J20" s="269"/>
    </row>
    <row r="21" spans="1:12" ht="23.25" customHeight="1" x14ac:dyDescent="0.25">
      <c r="A21" s="584" t="s">
        <v>200</v>
      </c>
      <c r="B21" s="584"/>
      <c r="C21" s="213"/>
      <c r="D21" s="213"/>
      <c r="E21" s="213"/>
      <c r="F21" s="268">
        <f>Dados!G31</f>
        <v>0</v>
      </c>
      <c r="G21" s="268">
        <f t="shared" si="0"/>
        <v>0</v>
      </c>
      <c r="H21" s="268"/>
      <c r="I21" s="268"/>
      <c r="J21" s="269"/>
    </row>
    <row r="22" spans="1:12" ht="19.5" customHeight="1" x14ac:dyDescent="0.25">
      <c r="A22" s="566" t="s">
        <v>201</v>
      </c>
      <c r="B22" s="566"/>
      <c r="C22" s="282">
        <f>Dados!$G$34</f>
        <v>22</v>
      </c>
      <c r="D22" s="282">
        <f>Dados!$G$33</f>
        <v>2</v>
      </c>
      <c r="E22" s="213">
        <f>Dados!$G$32</f>
        <v>5</v>
      </c>
      <c r="F22" s="268">
        <f>IF(ROUND((E22*D22*C22)-(F11*Dados!$G$35),2)&lt;0,0,ROUND((E22*D22*C22)-(F11*Dados!$G$35),2))</f>
        <v>130.88999999999999</v>
      </c>
      <c r="G22" s="268">
        <f t="shared" si="0"/>
        <v>130.88999999999999</v>
      </c>
      <c r="H22" s="268"/>
      <c r="I22" s="268">
        <f>F22</f>
        <v>130.88999999999999</v>
      </c>
      <c r="J22" s="269"/>
    </row>
    <row r="23" spans="1:12" ht="19.5" customHeight="1" x14ac:dyDescent="0.25">
      <c r="A23" s="566" t="s">
        <v>210</v>
      </c>
      <c r="B23" s="566"/>
      <c r="C23" s="282">
        <f>Dados!G37</f>
        <v>22</v>
      </c>
      <c r="D23" s="283">
        <f>Dados!G38</f>
        <v>0.2</v>
      </c>
      <c r="E23" s="213">
        <f>Dados!$G$36</f>
        <v>29</v>
      </c>
      <c r="F23" s="249">
        <f>ROUND((IF(D11&gt;150,((C23*E23)-(C23*(D23*E23))),0)),2)</f>
        <v>510.4</v>
      </c>
      <c r="G23" s="268">
        <f t="shared" si="0"/>
        <v>510.4</v>
      </c>
      <c r="H23" s="268">
        <f>$F$23</f>
        <v>510.4</v>
      </c>
      <c r="I23" s="249"/>
      <c r="J23" s="269"/>
    </row>
    <row r="24" spans="1:12" ht="19.5" customHeight="1" x14ac:dyDescent="0.25">
      <c r="A24" s="566" t="s">
        <v>583</v>
      </c>
      <c r="B24" s="566"/>
      <c r="C24" s="282"/>
      <c r="D24" s="213"/>
      <c r="E24" s="213"/>
      <c r="F24" s="268">
        <f>Dados!$O$8</f>
        <v>494.77</v>
      </c>
      <c r="G24" s="268"/>
      <c r="H24" s="268"/>
      <c r="I24" s="268"/>
      <c r="J24" s="269"/>
      <c r="L24" s="56"/>
    </row>
    <row r="25" spans="1:12" ht="19.5" customHeight="1" x14ac:dyDescent="0.25">
      <c r="A25" s="566" t="s">
        <v>582</v>
      </c>
      <c r="B25" s="566"/>
      <c r="C25" s="282"/>
      <c r="D25" s="213"/>
      <c r="E25" s="213"/>
      <c r="F25" s="268">
        <f>Dados!P8</f>
        <v>129.79166666666666</v>
      </c>
      <c r="G25" s="268"/>
      <c r="H25" s="268"/>
      <c r="I25" s="268"/>
      <c r="J25" s="269"/>
    </row>
    <row r="26" spans="1:12" ht="19.5" customHeight="1" x14ac:dyDescent="0.25">
      <c r="A26" s="566" t="s">
        <v>162</v>
      </c>
      <c r="B26" s="566"/>
      <c r="C26" s="282"/>
      <c r="D26" s="213"/>
      <c r="E26" s="213"/>
      <c r="F26" s="268">
        <f>Dados!Q8</f>
        <v>4.9400000000000004</v>
      </c>
      <c r="G26" s="268">
        <f>F26</f>
        <v>4.9400000000000004</v>
      </c>
      <c r="H26" s="268"/>
      <c r="I26" s="268"/>
      <c r="J26" s="269"/>
    </row>
    <row r="27" spans="1:12" ht="19.5" customHeight="1" x14ac:dyDescent="0.25">
      <c r="A27" s="566" t="s">
        <v>455</v>
      </c>
      <c r="B27" s="566"/>
      <c r="C27" s="282"/>
      <c r="D27" s="213"/>
      <c r="E27" s="213"/>
      <c r="F27" s="268">
        <f>Dados!$R$8</f>
        <v>4.18</v>
      </c>
      <c r="G27" s="274">
        <f>F27</f>
        <v>4.18</v>
      </c>
      <c r="H27" s="268"/>
      <c r="I27" s="268"/>
      <c r="J27" s="269"/>
    </row>
    <row r="28" spans="1:12" ht="19.5" customHeight="1" x14ac:dyDescent="0.25">
      <c r="A28" s="566" t="str">
        <f>Dados!B39</f>
        <v>Outros (inserir somente com a justificativa legal)</v>
      </c>
      <c r="B28" s="566"/>
      <c r="C28" s="282"/>
      <c r="D28" s="213">
        <f>Dados!G39</f>
        <v>0</v>
      </c>
      <c r="E28" s="213"/>
      <c r="F28" s="249">
        <f>$D$28</f>
        <v>0</v>
      </c>
      <c r="G28" s="268">
        <f>F28</f>
        <v>0</v>
      </c>
      <c r="H28" s="268"/>
      <c r="I28" s="268"/>
      <c r="J28" s="269"/>
    </row>
    <row r="29" spans="1:12" ht="19.5" customHeight="1" x14ac:dyDescent="0.25">
      <c r="A29" s="566" t="str">
        <f>Dados!B40</f>
        <v>Outros (inserir somente com a justificativa legal)</v>
      </c>
      <c r="B29" s="566"/>
      <c r="C29" s="282"/>
      <c r="D29" s="213">
        <f>Dados!G40</f>
        <v>0</v>
      </c>
      <c r="E29" s="213"/>
      <c r="F29" s="249">
        <f>$D$29</f>
        <v>0</v>
      </c>
      <c r="G29" s="268">
        <f>F29</f>
        <v>0</v>
      </c>
      <c r="H29" s="268"/>
      <c r="I29" s="268"/>
      <c r="J29" s="269"/>
    </row>
    <row r="30" spans="1:12" ht="19.5" customHeight="1" x14ac:dyDescent="0.25">
      <c r="A30" s="585" t="s">
        <v>456</v>
      </c>
      <c r="B30" s="585"/>
      <c r="C30" s="585"/>
      <c r="D30" s="585"/>
      <c r="E30" s="585"/>
      <c r="F30" s="279">
        <f>SUM(F19:F29)</f>
        <v>1280.2416666666668</v>
      </c>
      <c r="G30" s="279">
        <f>SUM(G19:G29)</f>
        <v>655.68</v>
      </c>
      <c r="H30" s="279">
        <f>SUM(H19:H29)</f>
        <v>510.4</v>
      </c>
      <c r="I30" s="279">
        <f>SUM(I19:I29)</f>
        <v>130.88999999999999</v>
      </c>
      <c r="J30" s="280">
        <f>SUM(J19:J29)</f>
        <v>0</v>
      </c>
    </row>
    <row r="31" spans="1:12" ht="19.5" customHeight="1" x14ac:dyDescent="0.25">
      <c r="A31" s="585" t="s">
        <v>457</v>
      </c>
      <c r="B31" s="585"/>
      <c r="C31" s="585"/>
      <c r="D31" s="585"/>
      <c r="E31" s="585"/>
      <c r="F31" s="279">
        <f>F16+F30</f>
        <v>3978.6516666666666</v>
      </c>
      <c r="G31" s="279">
        <f>G16+G30</f>
        <v>3354.0899999999997</v>
      </c>
      <c r="H31" s="279">
        <f>H16+H30</f>
        <v>510.4</v>
      </c>
      <c r="I31" s="279">
        <f>I16+I30</f>
        <v>130.88999999999999</v>
      </c>
      <c r="J31" s="280">
        <f>J16+J30</f>
        <v>0</v>
      </c>
    </row>
    <row r="32" spans="1:12" ht="19.5" customHeight="1" x14ac:dyDescent="0.25">
      <c r="A32" s="572" t="s">
        <v>458</v>
      </c>
      <c r="B32" s="572"/>
      <c r="C32" s="572"/>
      <c r="D32" s="572"/>
      <c r="E32" s="572"/>
      <c r="F32" s="572"/>
      <c r="G32" s="572"/>
      <c r="H32" s="572"/>
      <c r="I32" s="572"/>
      <c r="J32" s="572"/>
    </row>
    <row r="33" spans="1:12" ht="19.5" customHeight="1" x14ac:dyDescent="0.25">
      <c r="A33" s="581" t="s">
        <v>459</v>
      </c>
      <c r="B33" s="581"/>
      <c r="C33" s="581"/>
      <c r="D33" s="216" t="s">
        <v>460</v>
      </c>
      <c r="E33" s="586" t="s">
        <v>426</v>
      </c>
      <c r="F33" s="586"/>
      <c r="G33" s="586"/>
      <c r="H33" s="586"/>
      <c r="I33" s="586"/>
      <c r="J33" s="586"/>
    </row>
    <row r="34" spans="1:12" ht="19.5" customHeight="1" x14ac:dyDescent="0.25">
      <c r="A34" s="286" t="s">
        <v>461</v>
      </c>
      <c r="B34" s="287"/>
      <c r="C34" s="287"/>
      <c r="D34" s="270">
        <f>Dados!$G$43</f>
        <v>0.03</v>
      </c>
      <c r="E34" s="288"/>
      <c r="F34" s="268">
        <f>ROUND((F31*$D$34),2)</f>
        <v>119.36</v>
      </c>
      <c r="G34" s="268">
        <f>ROUND((G31*$D$34),2)</f>
        <v>100.62</v>
      </c>
      <c r="H34" s="268">
        <f>ROUND((H31*$D$34),2)</f>
        <v>15.31</v>
      </c>
      <c r="I34" s="268">
        <f>ROUND((I31*$D$34),2)</f>
        <v>3.93</v>
      </c>
      <c r="J34" s="269">
        <f>ROUND((J31*$D$34),2)</f>
        <v>0</v>
      </c>
    </row>
    <row r="35" spans="1:12" ht="19.5" customHeight="1" x14ac:dyDescent="0.25">
      <c r="A35" s="587" t="s">
        <v>462</v>
      </c>
      <c r="B35" s="587"/>
      <c r="C35" s="587"/>
      <c r="D35" s="270"/>
      <c r="E35" s="288"/>
      <c r="F35" s="268">
        <f>F31+F34</f>
        <v>4098.0116666666663</v>
      </c>
      <c r="G35" s="268">
        <f>G31+G34</f>
        <v>3454.7099999999996</v>
      </c>
      <c r="H35" s="268">
        <f>H31+H34</f>
        <v>525.70999999999992</v>
      </c>
      <c r="I35" s="268">
        <f>I31+I34</f>
        <v>134.82</v>
      </c>
      <c r="J35" s="269">
        <f>J31+J34</f>
        <v>0</v>
      </c>
    </row>
    <row r="36" spans="1:12" ht="19.5" customHeight="1" x14ac:dyDescent="0.25">
      <c r="A36" s="289" t="s">
        <v>218</v>
      </c>
      <c r="B36" s="290"/>
      <c r="C36" s="290"/>
      <c r="D36" s="272">
        <f>Dados!$G$44</f>
        <v>6.7900000000000002E-2</v>
      </c>
      <c r="E36" s="291"/>
      <c r="F36" s="274">
        <f>ROUND((F35*$D$36),2)</f>
        <v>278.25</v>
      </c>
      <c r="G36" s="274">
        <f>ROUND((G35*$D$36),2)</f>
        <v>234.57</v>
      </c>
      <c r="H36" s="274">
        <f>ROUND((H35*$D$36),2)</f>
        <v>35.700000000000003</v>
      </c>
      <c r="I36" s="274">
        <f>ROUND((I35*$D$36),2)</f>
        <v>9.15</v>
      </c>
      <c r="J36" s="275">
        <f>ROUND((J35*$D$36),2)</f>
        <v>0</v>
      </c>
    </row>
    <row r="37" spans="1:12" ht="19.5" customHeight="1" x14ac:dyDescent="0.25">
      <c r="A37" s="292" t="s">
        <v>463</v>
      </c>
      <c r="B37" s="293"/>
      <c r="C37" s="293"/>
      <c r="D37" s="294">
        <f>SUM(D34:D36)</f>
        <v>9.7900000000000001E-2</v>
      </c>
      <c r="E37" s="295"/>
      <c r="F37" s="279">
        <f>F34+F36</f>
        <v>397.61</v>
      </c>
      <c r="G37" s="279">
        <f>G34+G36</f>
        <v>335.19</v>
      </c>
      <c r="H37" s="279">
        <f>H34+H36</f>
        <v>51.010000000000005</v>
      </c>
      <c r="I37" s="279">
        <f>I34+I36</f>
        <v>13.08</v>
      </c>
      <c r="J37" s="280">
        <f>J34+J36</f>
        <v>0</v>
      </c>
    </row>
    <row r="38" spans="1:12" ht="19.5" customHeight="1" x14ac:dyDescent="0.25">
      <c r="A38" s="588" t="s">
        <v>464</v>
      </c>
      <c r="B38" s="588"/>
      <c r="C38" s="588"/>
      <c r="D38" s="588"/>
      <c r="E38" s="588"/>
      <c r="F38" s="296">
        <f>F31+F37</f>
        <v>4376.2616666666663</v>
      </c>
      <c r="G38" s="296">
        <f>G31+G37</f>
        <v>3689.2799999999997</v>
      </c>
      <c r="H38" s="296">
        <f>H31+H37</f>
        <v>561.41</v>
      </c>
      <c r="I38" s="296">
        <f>I31+I37</f>
        <v>143.97</v>
      </c>
      <c r="J38" s="297">
        <f>J31+J37</f>
        <v>0</v>
      </c>
    </row>
    <row r="39" spans="1:12" ht="19.5" customHeight="1" x14ac:dyDescent="0.25">
      <c r="A39" s="589" t="s">
        <v>465</v>
      </c>
      <c r="B39" s="589"/>
      <c r="C39" s="589"/>
      <c r="D39" s="589"/>
      <c r="E39" s="589"/>
      <c r="F39" s="589"/>
      <c r="G39" s="589"/>
      <c r="H39" s="589"/>
      <c r="I39" s="589"/>
      <c r="J39" s="589"/>
    </row>
    <row r="40" spans="1:12" ht="19.5" customHeight="1" x14ac:dyDescent="0.25">
      <c r="A40" s="566" t="s">
        <v>224</v>
      </c>
      <c r="B40" s="566"/>
      <c r="C40" s="566"/>
      <c r="D40" s="270">
        <f>Dados!G51</f>
        <v>7.5999999999999998E-2</v>
      </c>
      <c r="E40" s="268"/>
      <c r="F40" s="268">
        <f>ROUND(($F$46*D40),2)</f>
        <v>379.03</v>
      </c>
      <c r="G40" s="268">
        <f>ROUND((G46*$D$40),2)</f>
        <v>319.52999999999997</v>
      </c>
      <c r="H40" s="268">
        <f>ROUND((H46*$D$40),2)</f>
        <v>48.62</v>
      </c>
      <c r="I40" s="268">
        <f>ROUND((I46*$D$40),2)</f>
        <v>12.47</v>
      </c>
      <c r="J40" s="269">
        <f>ROUND((J46*$D$40),2)</f>
        <v>0</v>
      </c>
    </row>
    <row r="41" spans="1:12" ht="19.5" customHeight="1" x14ac:dyDescent="0.25">
      <c r="A41" s="566" t="s">
        <v>226</v>
      </c>
      <c r="B41" s="566"/>
      <c r="C41" s="566"/>
      <c r="D41" s="270">
        <f>Dados!G52</f>
        <v>1.6500000000000001E-2</v>
      </c>
      <c r="E41" s="268"/>
      <c r="F41" s="268">
        <f>ROUND((F46*$D$41),2)</f>
        <v>82.29</v>
      </c>
      <c r="G41" s="268">
        <f>ROUND((G46*$D$41),2)</f>
        <v>69.37</v>
      </c>
      <c r="H41" s="268">
        <f>ROUND((H46*$D$41),2)</f>
        <v>10.56</v>
      </c>
      <c r="I41" s="268">
        <f>ROUND((I46*$D$41),2)</f>
        <v>2.71</v>
      </c>
      <c r="J41" s="269">
        <f>ROUND((J46*$D$41),2)</f>
        <v>0</v>
      </c>
    </row>
    <row r="42" spans="1:12" ht="19.5" customHeight="1" x14ac:dyDescent="0.25">
      <c r="A42" s="566" t="str">
        <f>Dados!B53</f>
        <v>ISSQN - Limpeza e Conservação</v>
      </c>
      <c r="B42" s="566"/>
      <c r="C42" s="566"/>
      <c r="D42" s="270">
        <f>Dados!G53</f>
        <v>0.03</v>
      </c>
      <c r="E42" s="268"/>
      <c r="F42" s="268">
        <f>ROUND((F46*$D$42),2)</f>
        <v>149.62</v>
      </c>
      <c r="G42" s="268">
        <f>ROUND((G46*$D$42),2)</f>
        <v>126.13</v>
      </c>
      <c r="H42" s="268">
        <f>ROUND((H46*$D$42),2)</f>
        <v>19.190000000000001</v>
      </c>
      <c r="I42" s="268">
        <f>ROUND((I46*$D$42),2)</f>
        <v>4.92</v>
      </c>
      <c r="J42" s="269">
        <f>ROUND((J46*$D$42),2)</f>
        <v>0</v>
      </c>
    </row>
    <row r="43" spans="1:12" ht="19.5" customHeight="1" x14ac:dyDescent="0.25">
      <c r="A43" s="566" t="str">
        <f>Dados!B54</f>
        <v>ISSQN - Serviços Administrativos</v>
      </c>
      <c r="B43" s="566"/>
      <c r="C43" s="566"/>
      <c r="D43" s="270">
        <v>0</v>
      </c>
      <c r="E43" s="268"/>
      <c r="F43" s="268">
        <f>ROUND((F46*$D$43),2)</f>
        <v>0</v>
      </c>
      <c r="G43" s="268">
        <f>ROUND((G46*$D$43),2)</f>
        <v>0</v>
      </c>
      <c r="H43" s="268">
        <f>ROUND((H46*$D$43),2)</f>
        <v>0</v>
      </c>
      <c r="I43" s="268">
        <f>ROUND((I46*$D$43),2)</f>
        <v>0</v>
      </c>
      <c r="J43" s="269">
        <f>ROUND((J46*$D$43),2)</f>
        <v>0</v>
      </c>
    </row>
    <row r="44" spans="1:12" ht="19.5" customHeight="1" x14ac:dyDescent="0.25">
      <c r="A44" s="591" t="s">
        <v>466</v>
      </c>
      <c r="B44" s="591"/>
      <c r="C44" s="591"/>
      <c r="D44" s="298">
        <f>SUM(D40:D43)</f>
        <v>0.1225</v>
      </c>
      <c r="E44" s="299"/>
      <c r="F44" s="300">
        <f>SUM(F40:F43)</f>
        <v>610.94000000000005</v>
      </c>
      <c r="G44" s="300">
        <f>SUM(G40:G43)</f>
        <v>515.03</v>
      </c>
      <c r="H44" s="300">
        <f>SUM(H40:H43)</f>
        <v>78.37</v>
      </c>
      <c r="I44" s="300">
        <f>SUM(I40:I43)</f>
        <v>20.100000000000001</v>
      </c>
      <c r="J44" s="301">
        <f>SUM(J40:J42)</f>
        <v>0</v>
      </c>
    </row>
    <row r="45" spans="1:12" ht="19.5" customHeight="1" x14ac:dyDescent="0.25">
      <c r="A45" s="592" t="str">
        <f>CONCATENATE("Custo Mensal - ",A7)</f>
        <v>Custo Mensal - Servente de Limpeza  com Acúmulo de função de Copeira</v>
      </c>
      <c r="B45" s="592"/>
      <c r="C45" s="592"/>
      <c r="D45" s="592"/>
      <c r="E45" s="592"/>
      <c r="F45" s="302">
        <f>ROUND(F38/(1-D44),2)</f>
        <v>4987.1899999999996</v>
      </c>
      <c r="G45" s="302">
        <f>ROUND(G38/(1-D44),2)</f>
        <v>4204.3100000000004</v>
      </c>
      <c r="H45" s="302">
        <f>ROUND(H38/(1-D44),2)</f>
        <v>639.78</v>
      </c>
      <c r="I45" s="302">
        <f>ROUND(I38/(1-D44),2)</f>
        <v>164.07</v>
      </c>
      <c r="J45" s="303">
        <f>ROUND(J38/(1-D44),2)</f>
        <v>0</v>
      </c>
    </row>
    <row r="46" spans="1:12" ht="19.5" customHeight="1" x14ac:dyDescent="0.25">
      <c r="A46" s="592" t="str">
        <f>CONCATENATE("Valor do Custo Mensal - ",A7)</f>
        <v>Valor do Custo Mensal - Servente de Limpeza  com Acúmulo de função de Copeira</v>
      </c>
      <c r="B46" s="592"/>
      <c r="C46" s="592"/>
      <c r="D46" s="592"/>
      <c r="E46" s="592"/>
      <c r="F46" s="302">
        <f>F45</f>
        <v>4987.1899999999996</v>
      </c>
      <c r="G46" s="302">
        <f>G45</f>
        <v>4204.3100000000004</v>
      </c>
      <c r="H46" s="302">
        <f>H45</f>
        <v>639.78</v>
      </c>
      <c r="I46" s="302">
        <f>I45</f>
        <v>164.07</v>
      </c>
      <c r="J46" s="303">
        <f>J45</f>
        <v>0</v>
      </c>
      <c r="K46" s="304"/>
      <c r="L46" s="304"/>
    </row>
    <row r="47" spans="1:12" ht="27.75" customHeight="1" x14ac:dyDescent="0.25">
      <c r="A47" s="593" t="s">
        <v>467</v>
      </c>
      <c r="B47" s="593"/>
      <c r="C47" s="593"/>
      <c r="D47" s="593"/>
      <c r="E47" s="593"/>
      <c r="F47" s="305">
        <f>(F46/F14)</f>
        <v>3.2602192572448367</v>
      </c>
      <c r="G47" s="305">
        <f>(G46/G14)</f>
        <v>2.7484359780612015</v>
      </c>
      <c r="H47" s="590" t="s">
        <v>468</v>
      </c>
      <c r="I47" s="590"/>
      <c r="J47" s="306">
        <v>0</v>
      </c>
    </row>
    <row r="48" spans="1:12" ht="19.5" customHeight="1" x14ac:dyDescent="0.25"/>
  </sheetData>
  <sheetProtection algorithmName="SHA-512" hashValue="bLsE5uLlhhuEyp9KbPdKKWFZpVRSj7LPHJmm9Etu2GPZElfko+Ib4S/uSPe7eqxSJ48S8LVMGhj4d/DM+4nxkg==" saltValue="SfY/xHPAdiOSju5v8spaLA==" spinCount="100000" sheet="1" objects="1" scenarios="1"/>
  <mergeCells count="51">
    <mergeCell ref="H47:I47"/>
    <mergeCell ref="A43:C43"/>
    <mergeCell ref="A44:C44"/>
    <mergeCell ref="A45:E45"/>
    <mergeCell ref="A46:E46"/>
    <mergeCell ref="A47:E47"/>
    <mergeCell ref="A38:E38"/>
    <mergeCell ref="A39:J39"/>
    <mergeCell ref="A40:C40"/>
    <mergeCell ref="A41:C41"/>
    <mergeCell ref="A42:C42"/>
    <mergeCell ref="A31:E31"/>
    <mergeCell ref="A32:J32"/>
    <mergeCell ref="A33:C33"/>
    <mergeCell ref="E33:J33"/>
    <mergeCell ref="A35:C35"/>
    <mergeCell ref="A26:B26"/>
    <mergeCell ref="A29:B29"/>
    <mergeCell ref="A24:B24"/>
    <mergeCell ref="A27:B27"/>
    <mergeCell ref="A30:E30"/>
    <mergeCell ref="A25:B25"/>
    <mergeCell ref="A28:B28"/>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rintOptions horizontalCentered="1" verticalCentered="1"/>
  <pageMargins left="0.51180555555555596" right="0.51180555555555596" top="0.78749999999999998" bottom="0.78749999999999998" header="0.511811023622047" footer="0.511811023622047"/>
  <pageSetup paperSize="9" scale="61" fitToHeight="2"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pageSetUpPr fitToPage="1"/>
  </sheetPr>
  <dimension ref="A1:AMK48"/>
  <sheetViews>
    <sheetView showGridLines="0" view="pageBreakPreview" zoomScale="120" zoomScaleNormal="100" zoomScalePageLayoutView="120" workbookViewId="0">
      <selection activeCell="G11" sqref="G11:G13"/>
    </sheetView>
  </sheetViews>
  <sheetFormatPr defaultColWidth="8.7109375" defaultRowHeight="15" x14ac:dyDescent="0.25"/>
  <cols>
    <col min="1" max="1" width="10.5703125" style="66" customWidth="1"/>
    <col min="2" max="2" width="27.7109375" style="66" customWidth="1"/>
    <col min="3" max="3" width="14.42578125" style="66" customWidth="1"/>
    <col min="4" max="5" width="15" style="66" customWidth="1"/>
    <col min="6" max="6" width="16.7109375" style="254" customWidth="1"/>
    <col min="7" max="8" width="13.140625" style="254" customWidth="1"/>
    <col min="9" max="10" width="12.5703125" style="254" customWidth="1"/>
    <col min="11" max="257" width="9.140625" style="66" customWidth="1"/>
    <col min="258" max="258" width="10.5703125" style="66" customWidth="1"/>
    <col min="259" max="259" width="27.7109375" style="66" customWidth="1"/>
    <col min="260" max="260" width="14.42578125" style="66" customWidth="1"/>
    <col min="261" max="262" width="15" style="66" customWidth="1"/>
    <col min="263" max="263" width="16.7109375" style="66" customWidth="1"/>
    <col min="264" max="264" width="13.140625" style="66" customWidth="1"/>
    <col min="265" max="266" width="12.5703125" style="66" customWidth="1"/>
    <col min="267" max="513" width="9.140625" style="66" customWidth="1"/>
    <col min="514" max="514" width="10.5703125" style="66" customWidth="1"/>
    <col min="515" max="515" width="27.7109375" style="66" customWidth="1"/>
    <col min="516" max="516" width="14.42578125" style="66" customWidth="1"/>
    <col min="517" max="518" width="15" style="66" customWidth="1"/>
    <col min="519" max="519" width="16.7109375" style="66" customWidth="1"/>
    <col min="520" max="520" width="13.140625" style="66" customWidth="1"/>
    <col min="521" max="522" width="12.5703125" style="66" customWidth="1"/>
    <col min="523" max="769" width="9.140625" style="66" customWidth="1"/>
    <col min="770" max="770" width="10.5703125" style="66" customWidth="1"/>
    <col min="771" max="771" width="27.7109375" style="66" customWidth="1"/>
    <col min="772" max="772" width="14.42578125" style="66" customWidth="1"/>
    <col min="773" max="774" width="15" style="66" customWidth="1"/>
    <col min="775" max="775" width="16.7109375" style="66" customWidth="1"/>
    <col min="776" max="776" width="13.140625" style="66" customWidth="1"/>
    <col min="777" max="778" width="12.5703125" style="66" customWidth="1"/>
    <col min="779" max="1025" width="9.140625" style="66" customWidth="1"/>
  </cols>
  <sheetData>
    <row r="1" spans="1:10" x14ac:dyDescent="0.25">
      <c r="A1" s="255"/>
      <c r="B1" s="93" t="str">
        <f>INSTRUÇÕES!B1</f>
        <v>Tribunal Regional Federal da 6ª Região</v>
      </c>
      <c r="C1" s="256"/>
      <c r="D1" s="256"/>
      <c r="E1" s="256"/>
      <c r="F1" s="257"/>
      <c r="G1" s="258"/>
      <c r="H1" s="258"/>
      <c r="I1" s="257"/>
      <c r="J1" s="259"/>
    </row>
    <row r="2" spans="1:10" x14ac:dyDescent="0.25">
      <c r="A2" s="260"/>
      <c r="B2" s="95" t="str">
        <f>INSTRUÇÕES!B2</f>
        <v>Seção Judiciária de Minas Gerais</v>
      </c>
      <c r="C2" s="56"/>
      <c r="D2" s="56"/>
      <c r="E2" s="56"/>
      <c r="F2" s="261"/>
      <c r="I2" s="261"/>
      <c r="J2" s="262"/>
    </row>
    <row r="3" spans="1:10" x14ac:dyDescent="0.25">
      <c r="A3" s="152"/>
      <c r="B3" s="263" t="str">
        <f>INSTRUÇÕES!B3</f>
        <v>Subseção Judiciária de Lavras</v>
      </c>
      <c r="C3" s="56"/>
      <c r="D3" s="56"/>
      <c r="E3" s="56"/>
      <c r="F3" s="261"/>
      <c r="I3" s="261"/>
      <c r="J3" s="262"/>
    </row>
    <row r="4" spans="1:10" ht="19.5" customHeight="1" x14ac:dyDescent="0.25">
      <c r="A4" s="563" t="s">
        <v>436</v>
      </c>
      <c r="B4" s="563"/>
      <c r="C4" s="563"/>
      <c r="D4" s="563"/>
      <c r="E4" s="563"/>
      <c r="F4" s="563"/>
      <c r="G4" s="563"/>
      <c r="H4" s="563"/>
      <c r="I4" s="563"/>
      <c r="J4" s="563"/>
    </row>
    <row r="5" spans="1:10" ht="19.5" customHeight="1" x14ac:dyDescent="0.25">
      <c r="A5" s="567" t="s">
        <v>593</v>
      </c>
      <c r="B5" s="567"/>
      <c r="C5" s="567"/>
      <c r="D5" s="567"/>
      <c r="E5" s="567"/>
      <c r="F5" s="567"/>
      <c r="G5" s="567"/>
      <c r="H5" s="567"/>
      <c r="I5" s="567"/>
      <c r="J5" s="567"/>
    </row>
    <row r="6" spans="1:10" ht="36" customHeight="1" x14ac:dyDescent="0.25">
      <c r="A6" s="568" t="str">
        <f>Dados!A4</f>
        <v>Sindicato utilizado - SINTAPPI x SINSERHT. Vigência: 2025/2026. Sendo a data base da categoria 01° de Abril. Com número de registro no MTE MG001973/2025.</v>
      </c>
      <c r="B6" s="568"/>
      <c r="C6" s="568"/>
      <c r="D6" s="568"/>
      <c r="E6" s="568"/>
      <c r="F6" s="568"/>
      <c r="G6" s="568"/>
      <c r="H6" s="568"/>
      <c r="I6" s="568"/>
      <c r="J6" s="568"/>
    </row>
    <row r="7" spans="1:10" ht="19.5" customHeight="1" x14ac:dyDescent="0.25">
      <c r="A7" s="569" t="str">
        <f>Dados!C7</f>
        <v>Servente de Limpeza com adicional de 40% de Insalubridade</v>
      </c>
      <c r="B7" s="569"/>
      <c r="C7" s="569"/>
      <c r="D7" s="569"/>
      <c r="E7" s="569"/>
      <c r="F7" s="570" t="s">
        <v>584</v>
      </c>
      <c r="G7" s="570" t="s">
        <v>585</v>
      </c>
      <c r="H7" s="570" t="s">
        <v>437</v>
      </c>
      <c r="I7" s="570" t="s">
        <v>438</v>
      </c>
      <c r="J7" s="570" t="s">
        <v>439</v>
      </c>
    </row>
    <row r="8" spans="1:10" ht="19.5" customHeight="1" x14ac:dyDescent="0.25">
      <c r="A8" s="571" t="s">
        <v>440</v>
      </c>
      <c r="B8" s="571"/>
      <c r="C8" s="571"/>
      <c r="D8" s="571"/>
      <c r="E8" s="264" t="s">
        <v>422</v>
      </c>
      <c r="F8" s="570"/>
      <c r="G8" s="570"/>
      <c r="H8" s="570"/>
      <c r="I8" s="570"/>
      <c r="J8" s="570"/>
    </row>
    <row r="9" spans="1:10" ht="19.5" customHeight="1" x14ac:dyDescent="0.25">
      <c r="A9" s="572" t="s">
        <v>441</v>
      </c>
      <c r="B9" s="572"/>
      <c r="C9" s="572"/>
      <c r="D9" s="572"/>
      <c r="E9" s="572"/>
      <c r="F9" s="572"/>
      <c r="G9" s="572"/>
      <c r="H9" s="572"/>
      <c r="I9" s="572"/>
      <c r="J9" s="572"/>
    </row>
    <row r="10" spans="1:10" ht="24" customHeight="1" x14ac:dyDescent="0.25">
      <c r="A10" s="157" t="s">
        <v>423</v>
      </c>
      <c r="B10" s="573" t="s">
        <v>442</v>
      </c>
      <c r="C10" s="573"/>
      <c r="D10" s="208" t="s">
        <v>443</v>
      </c>
      <c r="E10" s="265" t="s">
        <v>444</v>
      </c>
      <c r="F10" s="574" t="s">
        <v>426</v>
      </c>
      <c r="G10" s="574"/>
      <c r="H10" s="574"/>
      <c r="I10" s="574"/>
      <c r="J10" s="574"/>
    </row>
    <row r="11" spans="1:10" ht="19.5" customHeight="1" x14ac:dyDescent="0.25">
      <c r="A11" s="575">
        <v>1</v>
      </c>
      <c r="B11" s="594" t="str">
        <f>A7</f>
        <v>Servente de Limpeza com adicional de 40% de Insalubridade</v>
      </c>
      <c r="C11" s="594"/>
      <c r="D11" s="27">
        <f>Dados!D7</f>
        <v>200</v>
      </c>
      <c r="E11" s="267">
        <f>Dados!E7</f>
        <v>1633.68</v>
      </c>
      <c r="F11" s="268">
        <f>ROUND(E11/220*D11,2)</f>
        <v>1485.16</v>
      </c>
      <c r="G11" s="268">
        <f>F11</f>
        <v>1485.16</v>
      </c>
      <c r="H11" s="268"/>
      <c r="I11" s="268"/>
      <c r="J11" s="269"/>
    </row>
    <row r="12" spans="1:10" ht="19.5" customHeight="1" x14ac:dyDescent="0.25">
      <c r="A12" s="575"/>
      <c r="B12" s="576" t="s">
        <v>445</v>
      </c>
      <c r="C12" s="576"/>
      <c r="D12" s="270">
        <f>Dados!G7</f>
        <v>0.4</v>
      </c>
      <c r="E12" s="267">
        <f>Dados!G27</f>
        <v>1621</v>
      </c>
      <c r="F12" s="268">
        <f>D12*E12</f>
        <v>648.40000000000009</v>
      </c>
      <c r="G12" s="268">
        <f>F12</f>
        <v>648.40000000000009</v>
      </c>
      <c r="H12" s="268"/>
      <c r="I12" s="268"/>
      <c r="J12" s="269">
        <f>F12</f>
        <v>648.40000000000009</v>
      </c>
    </row>
    <row r="13" spans="1:10" ht="20.25" customHeight="1" x14ac:dyDescent="0.25">
      <c r="A13" s="575"/>
      <c r="B13" s="271" t="s">
        <v>446</v>
      </c>
      <c r="C13" s="272">
        <f>Dados!I7</f>
        <v>0</v>
      </c>
      <c r="D13" s="272">
        <f>Dados!J7</f>
        <v>0</v>
      </c>
      <c r="E13" s="273">
        <f>Dados!K9</f>
        <v>0</v>
      </c>
      <c r="F13" s="274">
        <f>ROUND((E13*D13*C13),2)</f>
        <v>0</v>
      </c>
      <c r="G13" s="274">
        <f>F13</f>
        <v>0</v>
      </c>
      <c r="H13" s="274"/>
      <c r="I13" s="274"/>
      <c r="J13" s="275"/>
    </row>
    <row r="14" spans="1:10" ht="19.5" customHeight="1" x14ac:dyDescent="0.25">
      <c r="A14" s="575"/>
      <c r="B14" s="577" t="s">
        <v>447</v>
      </c>
      <c r="C14" s="577"/>
      <c r="D14" s="577"/>
      <c r="E14" s="577"/>
      <c r="F14" s="276">
        <f>SUM(F11:F13)</f>
        <v>2133.5600000000004</v>
      </c>
      <c r="G14" s="276">
        <f>SUM(G11:G13)</f>
        <v>2133.5600000000004</v>
      </c>
      <c r="H14" s="276">
        <f>SUM(H11:H13)</f>
        <v>0</v>
      </c>
      <c r="I14" s="276">
        <f>SUM(I11:I13)</f>
        <v>0</v>
      </c>
      <c r="J14" s="277">
        <f>SUM(J11:J13)</f>
        <v>648.40000000000009</v>
      </c>
    </row>
    <row r="15" spans="1:10" ht="19.5" customHeight="1" x14ac:dyDescent="0.25">
      <c r="A15" s="575"/>
      <c r="B15" s="578" t="s">
        <v>448</v>
      </c>
      <c r="C15" s="578"/>
      <c r="D15" s="578"/>
      <c r="E15" s="278">
        <f>Encargos!$C$57</f>
        <v>0.76400000000000001</v>
      </c>
      <c r="F15" s="268">
        <f>ROUND((E15*F14),2)</f>
        <v>1630.04</v>
      </c>
      <c r="G15" s="268">
        <f>F15</f>
        <v>1630.04</v>
      </c>
      <c r="H15" s="268"/>
      <c r="I15" s="268"/>
      <c r="J15" s="269">
        <f>ROUND((E15*J14),2)</f>
        <v>495.38</v>
      </c>
    </row>
    <row r="16" spans="1:10" ht="19.5" customHeight="1" x14ac:dyDescent="0.25">
      <c r="A16" s="579" t="s">
        <v>449</v>
      </c>
      <c r="B16" s="579"/>
      <c r="C16" s="579"/>
      <c r="D16" s="579"/>
      <c r="E16" s="579"/>
      <c r="F16" s="279">
        <f>SUM(F14:F15)</f>
        <v>3763.6000000000004</v>
      </c>
      <c r="G16" s="279">
        <f>SUM(G14:G15)</f>
        <v>3763.6000000000004</v>
      </c>
      <c r="H16" s="279">
        <f>SUM(H14:H15)</f>
        <v>0</v>
      </c>
      <c r="I16" s="279">
        <f>SUM(I14:I15)</f>
        <v>0</v>
      </c>
      <c r="J16" s="280">
        <f>SUM(J14:J15)</f>
        <v>1143.7800000000002</v>
      </c>
    </row>
    <row r="17" spans="1:12" ht="19.5" customHeight="1" x14ac:dyDescent="0.25">
      <c r="A17" s="580" t="s">
        <v>450</v>
      </c>
      <c r="B17" s="580"/>
      <c r="C17" s="580"/>
      <c r="D17" s="580"/>
      <c r="E17" s="580"/>
      <c r="F17" s="580"/>
      <c r="G17" s="580"/>
      <c r="H17" s="580"/>
      <c r="I17" s="580"/>
      <c r="J17" s="580"/>
    </row>
    <row r="18" spans="1:12" ht="19.5" customHeight="1" x14ac:dyDescent="0.25">
      <c r="A18" s="581" t="s">
        <v>451</v>
      </c>
      <c r="B18" s="581"/>
      <c r="C18" s="37" t="s">
        <v>425</v>
      </c>
      <c r="D18" s="582" t="s">
        <v>452</v>
      </c>
      <c r="E18" s="582"/>
      <c r="F18" s="583" t="s">
        <v>426</v>
      </c>
      <c r="G18" s="583"/>
      <c r="H18" s="583"/>
      <c r="I18" s="583"/>
      <c r="J18" s="583"/>
    </row>
    <row r="19" spans="1:12" ht="19.5" customHeight="1" x14ac:dyDescent="0.25">
      <c r="A19" s="566" t="s">
        <v>453</v>
      </c>
      <c r="B19" s="566"/>
      <c r="C19" s="213"/>
      <c r="D19" s="213"/>
      <c r="E19" s="213"/>
      <c r="F19" s="268">
        <f>Dados!$N$7</f>
        <v>0</v>
      </c>
      <c r="G19" s="268">
        <f t="shared" ref="G19:G23" si="0">F19</f>
        <v>0</v>
      </c>
      <c r="H19" s="268"/>
      <c r="I19" s="268"/>
      <c r="J19" s="269"/>
    </row>
    <row r="20" spans="1:12" ht="19.5" customHeight="1" x14ac:dyDescent="0.25">
      <c r="A20" s="566" t="s">
        <v>454</v>
      </c>
      <c r="B20" s="566"/>
      <c r="C20" s="213"/>
      <c r="D20" s="213"/>
      <c r="E20" s="213"/>
      <c r="F20" s="268">
        <f>Dados!$G$30</f>
        <v>5.27</v>
      </c>
      <c r="G20" s="268">
        <f t="shared" si="0"/>
        <v>5.27</v>
      </c>
      <c r="H20" s="268"/>
      <c r="I20" s="268"/>
      <c r="J20" s="269"/>
    </row>
    <row r="21" spans="1:12" ht="23.25" customHeight="1" x14ac:dyDescent="0.25">
      <c r="A21" s="584" t="s">
        <v>200</v>
      </c>
      <c r="B21" s="584"/>
      <c r="C21" s="213"/>
      <c r="D21" s="213"/>
      <c r="E21" s="213"/>
      <c r="F21" s="268">
        <f>Dados!G31</f>
        <v>0</v>
      </c>
      <c r="G21" s="268">
        <f t="shared" si="0"/>
        <v>0</v>
      </c>
      <c r="H21" s="268"/>
      <c r="I21" s="268"/>
      <c r="J21" s="269"/>
    </row>
    <row r="22" spans="1:12" ht="19.5" customHeight="1" x14ac:dyDescent="0.25">
      <c r="A22" s="566" t="s">
        <v>201</v>
      </c>
      <c r="B22" s="566"/>
      <c r="C22" s="282">
        <f>Dados!$G$34</f>
        <v>22</v>
      </c>
      <c r="D22" s="282">
        <f>Dados!$G$33</f>
        <v>2</v>
      </c>
      <c r="E22" s="213">
        <f>Dados!$G$32</f>
        <v>5</v>
      </c>
      <c r="F22" s="268">
        <f>IF(ROUND((E22*D22*C22)-(F11*Dados!$G$35),2)&lt;0,0,ROUND((E22*D22*C22)-(F11*Dados!$G$35),2))</f>
        <v>130.88999999999999</v>
      </c>
      <c r="G22" s="268">
        <f t="shared" si="0"/>
        <v>130.88999999999999</v>
      </c>
      <c r="H22" s="268"/>
      <c r="I22" s="268">
        <f>F22</f>
        <v>130.88999999999999</v>
      </c>
      <c r="J22" s="269"/>
    </row>
    <row r="23" spans="1:12" ht="19.5" customHeight="1" x14ac:dyDescent="0.25">
      <c r="A23" s="566" t="s">
        <v>210</v>
      </c>
      <c r="B23" s="566"/>
      <c r="C23" s="282">
        <f>Dados!$G$37</f>
        <v>22</v>
      </c>
      <c r="D23" s="283">
        <f>Dados!$G$38</f>
        <v>0.2</v>
      </c>
      <c r="E23" s="213">
        <f>Dados!$G$36</f>
        <v>29</v>
      </c>
      <c r="F23" s="249">
        <f>ROUND((IF(D11&gt;150,((C23*E23)-(C23*(D23*E23))),0)),2)</f>
        <v>510.4</v>
      </c>
      <c r="G23" s="268">
        <f t="shared" si="0"/>
        <v>510.4</v>
      </c>
      <c r="H23" s="268">
        <f>$F$23</f>
        <v>510.4</v>
      </c>
      <c r="I23" s="249"/>
      <c r="J23" s="269"/>
    </row>
    <row r="24" spans="1:12" ht="19.5" customHeight="1" x14ac:dyDescent="0.25">
      <c r="A24" s="566" t="s">
        <v>583</v>
      </c>
      <c r="B24" s="566"/>
      <c r="C24" s="282"/>
      <c r="D24" s="213"/>
      <c r="E24" s="213"/>
      <c r="F24" s="268">
        <f>Dados!$O$7</f>
        <v>494.77</v>
      </c>
      <c r="G24" s="268"/>
      <c r="H24" s="268"/>
      <c r="I24" s="268"/>
      <c r="J24" s="269"/>
      <c r="L24" s="56"/>
    </row>
    <row r="25" spans="1:12" ht="19.5" customHeight="1" x14ac:dyDescent="0.25">
      <c r="A25" s="281" t="s">
        <v>582</v>
      </c>
      <c r="B25" s="26"/>
      <c r="C25" s="282"/>
      <c r="D25" s="213"/>
      <c r="E25" s="213"/>
      <c r="F25" s="268">
        <f>Dados!P7</f>
        <v>0</v>
      </c>
      <c r="G25" s="268"/>
      <c r="H25" s="268"/>
      <c r="I25" s="268"/>
      <c r="J25" s="269"/>
    </row>
    <row r="26" spans="1:12" ht="19.5" customHeight="1" x14ac:dyDescent="0.25">
      <c r="A26" s="566" t="s">
        <v>162</v>
      </c>
      <c r="B26" s="566"/>
      <c r="C26" s="282"/>
      <c r="D26" s="282"/>
      <c r="E26" s="213"/>
      <c r="F26" s="249">
        <f>Dados!Q7</f>
        <v>4.9400000000000004</v>
      </c>
      <c r="G26" s="268">
        <f>F26</f>
        <v>4.9400000000000004</v>
      </c>
      <c r="H26" s="268"/>
      <c r="I26" s="249"/>
      <c r="J26" s="269"/>
    </row>
    <row r="27" spans="1:12" ht="19.5" customHeight="1" x14ac:dyDescent="0.25">
      <c r="A27" s="595" t="s">
        <v>455</v>
      </c>
      <c r="B27" s="595"/>
      <c r="C27" s="284"/>
      <c r="D27" s="285"/>
      <c r="E27" s="285"/>
      <c r="F27" s="274">
        <f>Dados!$R$7</f>
        <v>4.18</v>
      </c>
      <c r="G27" s="274">
        <f>F27</f>
        <v>4.18</v>
      </c>
      <c r="H27" s="274"/>
      <c r="I27" s="274"/>
      <c r="J27" s="275"/>
    </row>
    <row r="28" spans="1:12" ht="19.5" customHeight="1" x14ac:dyDescent="0.25">
      <c r="A28" s="566" t="str">
        <f>Dados!B39</f>
        <v>Outros (inserir somente com a justificativa legal)</v>
      </c>
      <c r="B28" s="566"/>
      <c r="C28" s="282"/>
      <c r="D28" s="282">
        <f>Dados!G39</f>
        <v>0</v>
      </c>
      <c r="E28" s="213"/>
      <c r="F28" s="249">
        <f>$D$28</f>
        <v>0</v>
      </c>
      <c r="G28" s="268">
        <f>F28</f>
        <v>0</v>
      </c>
      <c r="H28" s="268"/>
      <c r="I28" s="249"/>
      <c r="J28" s="269"/>
    </row>
    <row r="29" spans="1:12" ht="19.5" customHeight="1" x14ac:dyDescent="0.25">
      <c r="A29" s="566" t="str">
        <f>Dados!B40</f>
        <v>Outros (inserir somente com a justificativa legal)</v>
      </c>
      <c r="B29" s="566"/>
      <c r="C29" s="282"/>
      <c r="D29" s="282">
        <f>Dados!G40</f>
        <v>0</v>
      </c>
      <c r="E29" s="213"/>
      <c r="F29" s="249">
        <f>$D$29</f>
        <v>0</v>
      </c>
      <c r="G29" s="268">
        <f>F29</f>
        <v>0</v>
      </c>
      <c r="H29" s="268"/>
      <c r="I29" s="249"/>
      <c r="J29" s="269"/>
    </row>
    <row r="30" spans="1:12" ht="19.5" customHeight="1" x14ac:dyDescent="0.25">
      <c r="A30" s="585" t="s">
        <v>456</v>
      </c>
      <c r="B30" s="585"/>
      <c r="C30" s="585"/>
      <c r="D30" s="585"/>
      <c r="E30" s="585"/>
      <c r="F30" s="279">
        <f>SUM(F19:F29)</f>
        <v>1150.45</v>
      </c>
      <c r="G30" s="279">
        <f>SUM(G19:G29)</f>
        <v>655.68</v>
      </c>
      <c r="H30" s="279">
        <f>SUM(H19:H29)</f>
        <v>510.4</v>
      </c>
      <c r="I30" s="279">
        <f>SUM(I19:I29)</f>
        <v>130.88999999999999</v>
      </c>
      <c r="J30" s="280">
        <f>SUM(J19:J29)</f>
        <v>0</v>
      </c>
    </row>
    <row r="31" spans="1:12" ht="19.5" customHeight="1" x14ac:dyDescent="0.25">
      <c r="A31" s="585" t="s">
        <v>457</v>
      </c>
      <c r="B31" s="585"/>
      <c r="C31" s="585"/>
      <c r="D31" s="585"/>
      <c r="E31" s="585"/>
      <c r="F31" s="279">
        <f>F16+F30</f>
        <v>4914.05</v>
      </c>
      <c r="G31" s="279">
        <f>G16+G30</f>
        <v>4419.2800000000007</v>
      </c>
      <c r="H31" s="279">
        <f>H16+H30</f>
        <v>510.4</v>
      </c>
      <c r="I31" s="279">
        <f>I16+I30</f>
        <v>130.88999999999999</v>
      </c>
      <c r="J31" s="280">
        <f>J16+J30</f>
        <v>1143.7800000000002</v>
      </c>
    </row>
    <row r="32" spans="1:12" ht="19.5" customHeight="1" x14ac:dyDescent="0.25">
      <c r="A32" s="572" t="s">
        <v>458</v>
      </c>
      <c r="B32" s="572"/>
      <c r="C32" s="572"/>
      <c r="D32" s="572"/>
      <c r="E32" s="572"/>
      <c r="F32" s="572"/>
      <c r="G32" s="572"/>
      <c r="H32" s="572"/>
      <c r="I32" s="572"/>
      <c r="J32" s="572"/>
    </row>
    <row r="33" spans="1:12" ht="19.5" customHeight="1" x14ac:dyDescent="0.25">
      <c r="A33" s="581" t="s">
        <v>459</v>
      </c>
      <c r="B33" s="581"/>
      <c r="C33" s="581"/>
      <c r="D33" s="216" t="s">
        <v>460</v>
      </c>
      <c r="E33" s="586" t="s">
        <v>426</v>
      </c>
      <c r="F33" s="586"/>
      <c r="G33" s="586"/>
      <c r="H33" s="586"/>
      <c r="I33" s="586"/>
      <c r="J33" s="586"/>
    </row>
    <row r="34" spans="1:12" ht="19.5" customHeight="1" x14ac:dyDescent="0.25">
      <c r="A34" s="286" t="s">
        <v>461</v>
      </c>
      <c r="B34" s="287"/>
      <c r="C34" s="287"/>
      <c r="D34" s="270">
        <f>Dados!$G$43</f>
        <v>0.03</v>
      </c>
      <c r="E34" s="288"/>
      <c r="F34" s="268">
        <f>ROUND((F31*$D$34),2)</f>
        <v>147.41999999999999</v>
      </c>
      <c r="G34" s="268">
        <f>ROUND((G31*$D$34),2)</f>
        <v>132.58000000000001</v>
      </c>
      <c r="H34" s="268">
        <f>ROUND((H31*$D$34),2)</f>
        <v>15.31</v>
      </c>
      <c r="I34" s="268">
        <f>ROUND((I31*$D$34),2)</f>
        <v>3.93</v>
      </c>
      <c r="J34" s="269">
        <f>ROUND((J31*$D$34),2)</f>
        <v>34.31</v>
      </c>
    </row>
    <row r="35" spans="1:12" ht="19.5" customHeight="1" x14ac:dyDescent="0.25">
      <c r="A35" s="587" t="s">
        <v>462</v>
      </c>
      <c r="B35" s="587"/>
      <c r="C35" s="587"/>
      <c r="D35" s="270"/>
      <c r="E35" s="288"/>
      <c r="F35" s="268">
        <f>F31+F34</f>
        <v>5061.47</v>
      </c>
      <c r="G35" s="268">
        <f>G31+G34</f>
        <v>4551.8600000000006</v>
      </c>
      <c r="H35" s="268">
        <f>H31+H34</f>
        <v>525.70999999999992</v>
      </c>
      <c r="I35" s="268">
        <f>I31+I34</f>
        <v>134.82</v>
      </c>
      <c r="J35" s="269">
        <f>J31+J34</f>
        <v>1178.0900000000001</v>
      </c>
    </row>
    <row r="36" spans="1:12" ht="19.5" customHeight="1" x14ac:dyDescent="0.25">
      <c r="A36" s="289" t="s">
        <v>218</v>
      </c>
      <c r="B36" s="290"/>
      <c r="C36" s="290"/>
      <c r="D36" s="272">
        <f>Dados!$G$44</f>
        <v>6.7900000000000002E-2</v>
      </c>
      <c r="E36" s="291"/>
      <c r="F36" s="274">
        <f>ROUND((F35*$D$36),2)</f>
        <v>343.67</v>
      </c>
      <c r="G36" s="274">
        <f>ROUND((G35*$D$36),2)</f>
        <v>309.07</v>
      </c>
      <c r="H36" s="274">
        <f>ROUND((H35*$D$36),2)</f>
        <v>35.700000000000003</v>
      </c>
      <c r="I36" s="274">
        <f>ROUND((I35*$D$36),2)</f>
        <v>9.15</v>
      </c>
      <c r="J36" s="275">
        <f>ROUND((J35*$D$36),2)</f>
        <v>79.989999999999995</v>
      </c>
    </row>
    <row r="37" spans="1:12" ht="19.5" customHeight="1" x14ac:dyDescent="0.25">
      <c r="A37" s="292" t="s">
        <v>463</v>
      </c>
      <c r="B37" s="293"/>
      <c r="C37" s="293"/>
      <c r="D37" s="294">
        <f>SUM(D34:D36)</f>
        <v>9.7900000000000001E-2</v>
      </c>
      <c r="E37" s="295"/>
      <c r="F37" s="279">
        <f>F34+F36</f>
        <v>491.09000000000003</v>
      </c>
      <c r="G37" s="279">
        <f>G34+G36</f>
        <v>441.65</v>
      </c>
      <c r="H37" s="279">
        <f>H34+H36</f>
        <v>51.010000000000005</v>
      </c>
      <c r="I37" s="279">
        <f>I34+I36</f>
        <v>13.08</v>
      </c>
      <c r="J37" s="280">
        <f>J34+J36</f>
        <v>114.3</v>
      </c>
    </row>
    <row r="38" spans="1:12" ht="19.5" customHeight="1" x14ac:dyDescent="0.25">
      <c r="A38" s="588" t="s">
        <v>464</v>
      </c>
      <c r="B38" s="588"/>
      <c r="C38" s="588"/>
      <c r="D38" s="588"/>
      <c r="E38" s="588"/>
      <c r="F38" s="296">
        <f>F31+F37</f>
        <v>5405.14</v>
      </c>
      <c r="G38" s="296">
        <f>G31+G37</f>
        <v>4860.93</v>
      </c>
      <c r="H38" s="296">
        <f>H31+H37</f>
        <v>561.41</v>
      </c>
      <c r="I38" s="296">
        <f>I31+I37</f>
        <v>143.97</v>
      </c>
      <c r="J38" s="297">
        <f>J31+J37</f>
        <v>1258.0800000000002</v>
      </c>
    </row>
    <row r="39" spans="1:12" ht="19.5" customHeight="1" x14ac:dyDescent="0.25">
      <c r="A39" s="589" t="s">
        <v>465</v>
      </c>
      <c r="B39" s="589"/>
      <c r="C39" s="589"/>
      <c r="D39" s="589"/>
      <c r="E39" s="589"/>
      <c r="F39" s="589"/>
      <c r="G39" s="589"/>
      <c r="H39" s="589"/>
      <c r="I39" s="589"/>
      <c r="J39" s="589"/>
    </row>
    <row r="40" spans="1:12" ht="19.5" customHeight="1" x14ac:dyDescent="0.25">
      <c r="A40" s="566" t="s">
        <v>224</v>
      </c>
      <c r="B40" s="566"/>
      <c r="C40" s="566"/>
      <c r="D40" s="270">
        <f>Dados!G51</f>
        <v>7.5999999999999998E-2</v>
      </c>
      <c r="E40" s="268"/>
      <c r="F40" s="268">
        <f>ROUND(($F$46*D40),2)</f>
        <v>468.14</v>
      </c>
      <c r="G40" s="268">
        <f>ROUND((G46*$D$40),2)</f>
        <v>421</v>
      </c>
      <c r="H40" s="268">
        <f>ROUND((H46*$D$40),2)</f>
        <v>48.62</v>
      </c>
      <c r="I40" s="268">
        <f>ROUND((I46*$D$40),2)</f>
        <v>12.47</v>
      </c>
      <c r="J40" s="269">
        <f>ROUND((J46*$D$40),2)</f>
        <v>108.96</v>
      </c>
    </row>
    <row r="41" spans="1:12" ht="19.5" customHeight="1" x14ac:dyDescent="0.25">
      <c r="A41" s="566" t="s">
        <v>226</v>
      </c>
      <c r="B41" s="566"/>
      <c r="C41" s="566"/>
      <c r="D41" s="270">
        <f>Dados!G52</f>
        <v>1.6500000000000001E-2</v>
      </c>
      <c r="E41" s="268"/>
      <c r="F41" s="268">
        <f>ROUND((F46*$D$41),2)</f>
        <v>101.64</v>
      </c>
      <c r="G41" s="268">
        <f>ROUND((G46*$D$41),2)</f>
        <v>91.4</v>
      </c>
      <c r="H41" s="268">
        <f>ROUND((H46*$D$41),2)</f>
        <v>10.56</v>
      </c>
      <c r="I41" s="268">
        <f>ROUND((I46*$D$41),2)</f>
        <v>2.71</v>
      </c>
      <c r="J41" s="269">
        <f>ROUND((J46*$D$41),2)</f>
        <v>23.66</v>
      </c>
    </row>
    <row r="42" spans="1:12" ht="19.5" customHeight="1" x14ac:dyDescent="0.25">
      <c r="A42" s="566" t="str">
        <f>Dados!B53</f>
        <v>ISSQN - Limpeza e Conservação</v>
      </c>
      <c r="B42" s="566"/>
      <c r="C42" s="566"/>
      <c r="D42" s="270">
        <f>Dados!G53</f>
        <v>0.03</v>
      </c>
      <c r="E42" s="268"/>
      <c r="F42" s="268">
        <f>ROUND((F46*$D$42),2)</f>
        <v>184.79</v>
      </c>
      <c r="G42" s="268">
        <f>ROUND((G46*$D$42),2)</f>
        <v>166.19</v>
      </c>
      <c r="H42" s="268">
        <f>ROUND((H46*$D$42),2)</f>
        <v>19.190000000000001</v>
      </c>
      <c r="I42" s="268">
        <f>ROUND((I46*$D$42),2)</f>
        <v>4.92</v>
      </c>
      <c r="J42" s="269">
        <f>ROUND((J46*$D$42),2)</f>
        <v>43.01</v>
      </c>
    </row>
    <row r="43" spans="1:12" ht="19.5" customHeight="1" x14ac:dyDescent="0.25">
      <c r="A43" s="566" t="str">
        <f>Dados!B54</f>
        <v>ISSQN - Serviços Administrativos</v>
      </c>
      <c r="B43" s="566"/>
      <c r="C43" s="566"/>
      <c r="D43" s="270">
        <v>0</v>
      </c>
      <c r="E43" s="268"/>
      <c r="F43" s="268">
        <f>ROUND((F46*$D$43),2)</f>
        <v>0</v>
      </c>
      <c r="G43" s="268">
        <f>ROUND((G46*$D$43),2)</f>
        <v>0</v>
      </c>
      <c r="H43" s="268">
        <f>ROUND((H46*$D$43),2)</f>
        <v>0</v>
      </c>
      <c r="I43" s="268">
        <f>ROUND((I46*$D$43),2)</f>
        <v>0</v>
      </c>
      <c r="J43" s="269">
        <f>ROUND((J46*$D$43),2)</f>
        <v>0</v>
      </c>
    </row>
    <row r="44" spans="1:12" ht="19.5" customHeight="1" x14ac:dyDescent="0.25">
      <c r="A44" s="591" t="s">
        <v>466</v>
      </c>
      <c r="B44" s="591"/>
      <c r="C44" s="591"/>
      <c r="D44" s="298">
        <f>SUM(D40:D43)</f>
        <v>0.1225</v>
      </c>
      <c r="E44" s="299"/>
      <c r="F44" s="300">
        <f>SUM(F40:F43)</f>
        <v>754.56999999999994</v>
      </c>
      <c r="G44" s="300">
        <f>SUM(G40:G43)</f>
        <v>678.58999999999992</v>
      </c>
      <c r="H44" s="300">
        <f>SUM(H40:H43)</f>
        <v>78.37</v>
      </c>
      <c r="I44" s="300">
        <f>SUM(I40:I43)</f>
        <v>20.100000000000001</v>
      </c>
      <c r="J44" s="301">
        <f>SUM(J40:J42)</f>
        <v>175.63</v>
      </c>
    </row>
    <row r="45" spans="1:12" ht="19.5" customHeight="1" x14ac:dyDescent="0.25">
      <c r="A45" s="592" t="str">
        <f>CONCATENATE("Custo Mensal - ",A7)</f>
        <v>Custo Mensal - Servente de Limpeza com adicional de 40% de Insalubridade</v>
      </c>
      <c r="B45" s="592"/>
      <c r="C45" s="592"/>
      <c r="D45" s="592"/>
      <c r="E45" s="592"/>
      <c r="F45" s="302">
        <f>ROUND(F38/(1-D44),2)</f>
        <v>6159.7</v>
      </c>
      <c r="G45" s="302">
        <f>ROUND(G38/(1-D44),2)</f>
        <v>5539.52</v>
      </c>
      <c r="H45" s="302">
        <f>ROUND(H38/(1-D44),2)</f>
        <v>639.78</v>
      </c>
      <c r="I45" s="302">
        <f>ROUND(I38/(1-D44),2)</f>
        <v>164.07</v>
      </c>
      <c r="J45" s="303">
        <f>ROUND(J38/(1-D44),2)</f>
        <v>1433.71</v>
      </c>
    </row>
    <row r="46" spans="1:12" ht="19.5" customHeight="1" x14ac:dyDescent="0.25">
      <c r="A46" s="592" t="str">
        <f>CONCATENATE("Valor do Custo Mensal - ",A7)</f>
        <v>Valor do Custo Mensal - Servente de Limpeza com adicional de 40% de Insalubridade</v>
      </c>
      <c r="B46" s="592"/>
      <c r="C46" s="592"/>
      <c r="D46" s="592"/>
      <c r="E46" s="592"/>
      <c r="F46" s="302">
        <f>F45</f>
        <v>6159.7</v>
      </c>
      <c r="G46" s="302">
        <f>G45</f>
        <v>5539.52</v>
      </c>
      <c r="H46" s="302">
        <f>H45</f>
        <v>639.78</v>
      </c>
      <c r="I46" s="302">
        <f>I45</f>
        <v>164.07</v>
      </c>
      <c r="J46" s="303">
        <f>J45</f>
        <v>1433.71</v>
      </c>
      <c r="K46" s="304"/>
      <c r="L46" s="304"/>
    </row>
    <row r="47" spans="1:12" ht="27.75" customHeight="1" x14ac:dyDescent="0.25">
      <c r="A47" s="593" t="s">
        <v>467</v>
      </c>
      <c r="B47" s="593"/>
      <c r="C47" s="593"/>
      <c r="D47" s="593"/>
      <c r="E47" s="593"/>
      <c r="F47" s="305">
        <f>(F46/F14)</f>
        <v>2.8870526256585229</v>
      </c>
      <c r="G47" s="305">
        <f>(G46/G14)</f>
        <v>2.5963741352481295</v>
      </c>
      <c r="H47" s="590" t="s">
        <v>468</v>
      </c>
      <c r="I47" s="590"/>
      <c r="J47" s="306">
        <f>ROUND((J46/30),2)</f>
        <v>47.79</v>
      </c>
    </row>
    <row r="48" spans="1:12" ht="19.5" customHeight="1" x14ac:dyDescent="0.25"/>
  </sheetData>
  <sheetProtection algorithmName="SHA-512" hashValue="kiK+42TahLIWdH4DNP0SVOAgnr4dJgPgaeTKHCa4L8mCNJTrLDIEO0wP7EMyKwSh7jdXq3Wx9PluCg0LL3Y6hA==" saltValue="v3XUeBS6oT3MTjVab7Qinw==" spinCount="100000" sheet="1" objects="1" scenarios="1"/>
  <mergeCells count="50">
    <mergeCell ref="H47:I47"/>
    <mergeCell ref="A43:C43"/>
    <mergeCell ref="A44:C44"/>
    <mergeCell ref="A45:E45"/>
    <mergeCell ref="A46:E46"/>
    <mergeCell ref="A47:E47"/>
    <mergeCell ref="A38:E38"/>
    <mergeCell ref="A39:J39"/>
    <mergeCell ref="A40:C40"/>
    <mergeCell ref="A41:C41"/>
    <mergeCell ref="A42:C42"/>
    <mergeCell ref="A31:E31"/>
    <mergeCell ref="A32:J32"/>
    <mergeCell ref="A33:C33"/>
    <mergeCell ref="E33:J33"/>
    <mergeCell ref="A35:C35"/>
    <mergeCell ref="A26:B26"/>
    <mergeCell ref="A28:B28"/>
    <mergeCell ref="A24:B24"/>
    <mergeCell ref="A27:B27"/>
    <mergeCell ref="A30:E30"/>
    <mergeCell ref="A29:B29"/>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rintOptions horizontalCentered="1" verticalCentered="1"/>
  <pageMargins left="0.51180555555555596" right="0.51180555555555596" top="0.78749999999999998" bottom="0.78749999999999998" header="0.511811023622047" footer="0.511811023622047"/>
  <pageSetup paperSize="9" scale="61" fitToHeight="2"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249977111117893"/>
    <pageSetUpPr fitToPage="1"/>
  </sheetPr>
  <dimension ref="A1:AMK48"/>
  <sheetViews>
    <sheetView showGridLines="0" view="pageBreakPreview" zoomScale="120" zoomScaleNormal="100" zoomScalePageLayoutView="120" workbookViewId="0">
      <selection activeCell="A5" sqref="A5:J5"/>
    </sheetView>
  </sheetViews>
  <sheetFormatPr defaultColWidth="8.7109375" defaultRowHeight="15" x14ac:dyDescent="0.25"/>
  <cols>
    <col min="1" max="1" width="10.5703125" style="66" customWidth="1"/>
    <col min="2" max="2" width="27.7109375" style="66" customWidth="1"/>
    <col min="3" max="3" width="14.42578125" style="66" customWidth="1"/>
    <col min="4" max="5" width="15" style="66" customWidth="1"/>
    <col min="6" max="6" width="16.7109375" style="254" customWidth="1"/>
    <col min="7" max="8" width="13.140625" style="254" customWidth="1"/>
    <col min="9" max="10" width="12.5703125" style="254" customWidth="1"/>
    <col min="11" max="257" width="9.140625" style="66" customWidth="1"/>
    <col min="258" max="258" width="10.5703125" style="66" customWidth="1"/>
    <col min="259" max="259" width="27.7109375" style="66" customWidth="1"/>
    <col min="260" max="260" width="14.42578125" style="66" customWidth="1"/>
    <col min="261" max="262" width="15" style="66" customWidth="1"/>
    <col min="263" max="263" width="16.7109375" style="66" customWidth="1"/>
    <col min="264" max="264" width="13.140625" style="66" customWidth="1"/>
    <col min="265" max="266" width="12.5703125" style="66" customWidth="1"/>
    <col min="267" max="513" width="9.140625" style="66" customWidth="1"/>
    <col min="514" max="514" width="10.5703125" style="66" customWidth="1"/>
    <col min="515" max="515" width="27.7109375" style="66" customWidth="1"/>
    <col min="516" max="516" width="14.42578125" style="66" customWidth="1"/>
    <col min="517" max="518" width="15" style="66" customWidth="1"/>
    <col min="519" max="519" width="16.7109375" style="66" customWidth="1"/>
    <col min="520" max="520" width="13.140625" style="66" customWidth="1"/>
    <col min="521" max="522" width="12.5703125" style="66" customWidth="1"/>
    <col min="523" max="769" width="9.140625" style="66" customWidth="1"/>
    <col min="770" max="770" width="10.5703125" style="66" customWidth="1"/>
    <col min="771" max="771" width="27.7109375" style="66" customWidth="1"/>
    <col min="772" max="772" width="14.42578125" style="66" customWidth="1"/>
    <col min="773" max="774" width="15" style="66" customWidth="1"/>
    <col min="775" max="775" width="16.7109375" style="66" customWidth="1"/>
    <col min="776" max="776" width="13.140625" style="66" customWidth="1"/>
    <col min="777" max="778" width="12.5703125" style="66" customWidth="1"/>
    <col min="779" max="1025" width="9.140625" style="66" customWidth="1"/>
  </cols>
  <sheetData>
    <row r="1" spans="1:10" x14ac:dyDescent="0.25">
      <c r="A1" s="255"/>
      <c r="B1" s="93" t="str">
        <f>INSTRUÇÕES!B1</f>
        <v>Tribunal Regional Federal da 6ª Região</v>
      </c>
      <c r="C1" s="256"/>
      <c r="D1" s="256"/>
      <c r="E1" s="256"/>
      <c r="F1" s="257"/>
      <c r="G1" s="258"/>
      <c r="H1" s="258"/>
      <c r="I1" s="257"/>
      <c r="J1" s="259"/>
    </row>
    <row r="2" spans="1:10" x14ac:dyDescent="0.25">
      <c r="A2" s="260"/>
      <c r="B2" s="95" t="str">
        <f>INSTRUÇÕES!B2</f>
        <v>Seção Judiciária de Minas Gerais</v>
      </c>
      <c r="C2" s="56"/>
      <c r="D2" s="56"/>
      <c r="E2" s="56"/>
      <c r="F2" s="261"/>
      <c r="I2" s="261"/>
      <c r="J2" s="262"/>
    </row>
    <row r="3" spans="1:10" x14ac:dyDescent="0.25">
      <c r="A3" s="152"/>
      <c r="B3" s="263" t="str">
        <f>INSTRUÇÕES!B3</f>
        <v>Subseção Judiciária de Lavras</v>
      </c>
      <c r="C3" s="56"/>
      <c r="D3" s="56"/>
      <c r="E3" s="56"/>
      <c r="F3" s="261"/>
      <c r="I3" s="261"/>
      <c r="J3" s="262"/>
    </row>
    <row r="4" spans="1:10" ht="19.5" customHeight="1" x14ac:dyDescent="0.25">
      <c r="A4" s="563" t="s">
        <v>436</v>
      </c>
      <c r="B4" s="563"/>
      <c r="C4" s="563"/>
      <c r="D4" s="563"/>
      <c r="E4" s="563"/>
      <c r="F4" s="563"/>
      <c r="G4" s="563"/>
      <c r="H4" s="563"/>
      <c r="I4" s="563"/>
      <c r="J4" s="563"/>
    </row>
    <row r="5" spans="1:10" ht="19.5" customHeight="1" x14ac:dyDescent="0.25">
      <c r="A5" s="567" t="s">
        <v>593</v>
      </c>
      <c r="B5" s="567"/>
      <c r="C5" s="567"/>
      <c r="D5" s="567"/>
      <c r="E5" s="567"/>
      <c r="F5" s="567"/>
      <c r="G5" s="567"/>
      <c r="H5" s="567"/>
      <c r="I5" s="567"/>
      <c r="J5" s="567"/>
    </row>
    <row r="6" spans="1:10" ht="36" customHeight="1" x14ac:dyDescent="0.25">
      <c r="A6" s="568" t="str">
        <f>Dados!A4</f>
        <v>Sindicato utilizado - SINTAPPI x SINSERHT. Vigência: 2025/2026. Sendo a data base da categoria 01° de Abril. Com número de registro no MTE MG001973/2025.</v>
      </c>
      <c r="B6" s="568"/>
      <c r="C6" s="568"/>
      <c r="D6" s="568"/>
      <c r="E6" s="568"/>
      <c r="F6" s="568"/>
      <c r="G6" s="568"/>
      <c r="H6" s="568"/>
      <c r="I6" s="568"/>
      <c r="J6" s="568"/>
    </row>
    <row r="7" spans="1:10" ht="19.5" customHeight="1" x14ac:dyDescent="0.25">
      <c r="A7" s="569" t="str">
        <f>Dados!C9</f>
        <v>Zelador</v>
      </c>
      <c r="B7" s="569"/>
      <c r="C7" s="569"/>
      <c r="D7" s="569"/>
      <c r="E7" s="569"/>
      <c r="F7" s="570" t="s">
        <v>584</v>
      </c>
      <c r="G7" s="570" t="s">
        <v>585</v>
      </c>
      <c r="H7" s="570" t="s">
        <v>437</v>
      </c>
      <c r="I7" s="570" t="s">
        <v>438</v>
      </c>
      <c r="J7" s="570" t="s">
        <v>439</v>
      </c>
    </row>
    <row r="8" spans="1:10" ht="19.5" customHeight="1" x14ac:dyDescent="0.25">
      <c r="A8" s="571" t="s">
        <v>440</v>
      </c>
      <c r="B8" s="571"/>
      <c r="C8" s="571"/>
      <c r="D8" s="571"/>
      <c r="E8" s="264" t="s">
        <v>422</v>
      </c>
      <c r="F8" s="570"/>
      <c r="G8" s="570"/>
      <c r="H8" s="570"/>
      <c r="I8" s="570"/>
      <c r="J8" s="570"/>
    </row>
    <row r="9" spans="1:10" ht="19.5" customHeight="1" x14ac:dyDescent="0.25">
      <c r="A9" s="572" t="s">
        <v>441</v>
      </c>
      <c r="B9" s="572"/>
      <c r="C9" s="572"/>
      <c r="D9" s="572"/>
      <c r="E9" s="572"/>
      <c r="F9" s="572"/>
      <c r="G9" s="572"/>
      <c r="H9" s="572"/>
      <c r="I9" s="572"/>
      <c r="J9" s="572"/>
    </row>
    <row r="10" spans="1:10" ht="24" customHeight="1" x14ac:dyDescent="0.25">
      <c r="A10" s="157" t="s">
        <v>423</v>
      </c>
      <c r="B10" s="573" t="s">
        <v>442</v>
      </c>
      <c r="C10" s="573"/>
      <c r="D10" s="208" t="s">
        <v>443</v>
      </c>
      <c r="E10" s="265" t="s">
        <v>444</v>
      </c>
      <c r="F10" s="574" t="s">
        <v>426</v>
      </c>
      <c r="G10" s="574"/>
      <c r="H10" s="574"/>
      <c r="I10" s="574"/>
      <c r="J10" s="574"/>
    </row>
    <row r="11" spans="1:10" ht="19.5" customHeight="1" x14ac:dyDescent="0.25">
      <c r="A11" s="575">
        <v>1</v>
      </c>
      <c r="B11" s="576" t="str">
        <f>A7</f>
        <v>Zelador</v>
      </c>
      <c r="C11" s="576"/>
      <c r="D11" s="27">
        <f>Dados!$D$9</f>
        <v>150</v>
      </c>
      <c r="E11" s="267">
        <f>Dados!$E$9</f>
        <v>2441.1</v>
      </c>
      <c r="F11" s="268">
        <f>ROUND(E11/220*D11,2)</f>
        <v>1664.39</v>
      </c>
      <c r="G11" s="268">
        <f>F11</f>
        <v>1664.39</v>
      </c>
      <c r="H11" s="268"/>
      <c r="I11" s="268"/>
      <c r="J11" s="269"/>
    </row>
    <row r="12" spans="1:10" ht="18" customHeight="1" x14ac:dyDescent="0.25">
      <c r="A12" s="575"/>
      <c r="B12" s="576" t="s">
        <v>445</v>
      </c>
      <c r="C12" s="576"/>
      <c r="D12" s="39">
        <f>Dados!G8</f>
        <v>0</v>
      </c>
      <c r="E12" s="267">
        <f>Dados!$G$27</f>
        <v>1621</v>
      </c>
      <c r="F12" s="268">
        <f>D12*E12</f>
        <v>0</v>
      </c>
      <c r="G12" s="268">
        <f>F12</f>
        <v>0</v>
      </c>
      <c r="H12" s="268"/>
      <c r="I12" s="268"/>
      <c r="J12" s="269">
        <f>F12</f>
        <v>0</v>
      </c>
    </row>
    <row r="13" spans="1:10" ht="18" customHeight="1" x14ac:dyDescent="0.25">
      <c r="A13" s="575"/>
      <c r="B13" s="271" t="s">
        <v>446</v>
      </c>
      <c r="C13" s="272">
        <f>Dados!$I$9</f>
        <v>0</v>
      </c>
      <c r="D13" s="272">
        <f>Dados!$J$9</f>
        <v>0</v>
      </c>
      <c r="E13" s="273">
        <f>Dados!$K$9</f>
        <v>0</v>
      </c>
      <c r="F13" s="274">
        <f>ROUND((E13*D13*C13),2)</f>
        <v>0</v>
      </c>
      <c r="G13" s="274">
        <f>F13</f>
        <v>0</v>
      </c>
      <c r="H13" s="274"/>
      <c r="I13" s="274"/>
      <c r="J13" s="275"/>
    </row>
    <row r="14" spans="1:10" ht="19.5" customHeight="1" x14ac:dyDescent="0.25">
      <c r="A14" s="575"/>
      <c r="B14" s="577" t="s">
        <v>447</v>
      </c>
      <c r="C14" s="577"/>
      <c r="D14" s="577"/>
      <c r="E14" s="577"/>
      <c r="F14" s="276">
        <f>SUM(F11:F13)</f>
        <v>1664.39</v>
      </c>
      <c r="G14" s="276">
        <f>SUM(G11:G13)</f>
        <v>1664.39</v>
      </c>
      <c r="H14" s="276">
        <f>SUM(H11:H13)</f>
        <v>0</v>
      </c>
      <c r="I14" s="276">
        <f>SUM(I11:I13)</f>
        <v>0</v>
      </c>
      <c r="J14" s="277">
        <f>SUM(J11:J13)</f>
        <v>0</v>
      </c>
    </row>
    <row r="15" spans="1:10" ht="19.5" customHeight="1" x14ac:dyDescent="0.25">
      <c r="A15" s="575"/>
      <c r="B15" s="578" t="s">
        <v>448</v>
      </c>
      <c r="C15" s="578"/>
      <c r="D15" s="578"/>
      <c r="E15" s="278">
        <f>Encargos!$C$57</f>
        <v>0.76400000000000001</v>
      </c>
      <c r="F15" s="268">
        <f>ROUND((E15*F14),2)</f>
        <v>1271.5899999999999</v>
      </c>
      <c r="G15" s="268">
        <f>F15</f>
        <v>1271.5899999999999</v>
      </c>
      <c r="H15" s="268"/>
      <c r="I15" s="268"/>
      <c r="J15" s="269">
        <f>ROUND((E15*J14),2)</f>
        <v>0</v>
      </c>
    </row>
    <row r="16" spans="1:10" ht="19.5" customHeight="1" x14ac:dyDescent="0.25">
      <c r="A16" s="579" t="s">
        <v>449</v>
      </c>
      <c r="B16" s="579"/>
      <c r="C16" s="579"/>
      <c r="D16" s="579"/>
      <c r="E16" s="579"/>
      <c r="F16" s="279">
        <f>SUM(F14:F15)</f>
        <v>2935.98</v>
      </c>
      <c r="G16" s="279">
        <f>SUM(G14:G15)</f>
        <v>2935.98</v>
      </c>
      <c r="H16" s="279">
        <f>SUM(H14:H15)</f>
        <v>0</v>
      </c>
      <c r="I16" s="279">
        <f>SUM(I14:I15)</f>
        <v>0</v>
      </c>
      <c r="J16" s="280">
        <f>SUM(J14:J15)</f>
        <v>0</v>
      </c>
    </row>
    <row r="17" spans="1:12" ht="19.5" customHeight="1" x14ac:dyDescent="0.25">
      <c r="A17" s="580" t="s">
        <v>450</v>
      </c>
      <c r="B17" s="580"/>
      <c r="C17" s="580"/>
      <c r="D17" s="580"/>
      <c r="E17" s="580"/>
      <c r="F17" s="580"/>
      <c r="G17" s="580"/>
      <c r="H17" s="580"/>
      <c r="I17" s="580"/>
      <c r="J17" s="580"/>
    </row>
    <row r="18" spans="1:12" ht="19.5" customHeight="1" x14ac:dyDescent="0.25">
      <c r="A18" s="581" t="s">
        <v>451</v>
      </c>
      <c r="B18" s="581"/>
      <c r="C18" s="37" t="s">
        <v>425</v>
      </c>
      <c r="D18" s="582" t="s">
        <v>469</v>
      </c>
      <c r="E18" s="582"/>
      <c r="F18" s="583" t="s">
        <v>426</v>
      </c>
      <c r="G18" s="583"/>
      <c r="H18" s="583"/>
      <c r="I18" s="583"/>
      <c r="J18" s="583"/>
    </row>
    <row r="19" spans="1:12" ht="19.5" customHeight="1" x14ac:dyDescent="0.25">
      <c r="A19" s="566" t="s">
        <v>453</v>
      </c>
      <c r="B19" s="566"/>
      <c r="C19" s="213"/>
      <c r="D19" s="213"/>
      <c r="E19" s="213"/>
      <c r="F19" s="268">
        <f>Dados!$N$9</f>
        <v>0</v>
      </c>
      <c r="G19" s="268">
        <f>F19</f>
        <v>0</v>
      </c>
      <c r="H19" s="268"/>
      <c r="I19" s="268"/>
      <c r="J19" s="269"/>
    </row>
    <row r="20" spans="1:12" ht="19.5" customHeight="1" x14ac:dyDescent="0.25">
      <c r="A20" s="566" t="s">
        <v>454</v>
      </c>
      <c r="B20" s="566"/>
      <c r="C20" s="213"/>
      <c r="D20" s="213"/>
      <c r="E20" s="213"/>
      <c r="F20" s="268">
        <f>Dados!$G$30</f>
        <v>5.27</v>
      </c>
      <c r="G20" s="268">
        <f>F20</f>
        <v>5.27</v>
      </c>
      <c r="H20" s="268"/>
      <c r="I20" s="268"/>
      <c r="J20" s="269"/>
    </row>
    <row r="21" spans="1:12" ht="23.25" customHeight="1" x14ac:dyDescent="0.25">
      <c r="A21" s="584" t="s">
        <v>200</v>
      </c>
      <c r="B21" s="584"/>
      <c r="C21" s="213"/>
      <c r="D21" s="213"/>
      <c r="E21" s="213"/>
      <c r="F21" s="268">
        <f>Dados!G31</f>
        <v>0</v>
      </c>
      <c r="G21" s="268">
        <f>F21</f>
        <v>0</v>
      </c>
      <c r="H21" s="268"/>
      <c r="I21" s="268"/>
      <c r="J21" s="269"/>
    </row>
    <row r="22" spans="1:12" ht="19.5" customHeight="1" x14ac:dyDescent="0.25">
      <c r="A22" s="566" t="s">
        <v>201</v>
      </c>
      <c r="B22" s="566"/>
      <c r="C22" s="282">
        <f>Dados!$G$34</f>
        <v>22</v>
      </c>
      <c r="D22" s="282">
        <f>Dados!$G$33</f>
        <v>2</v>
      </c>
      <c r="E22" s="213">
        <f>Dados!$G$32</f>
        <v>5</v>
      </c>
      <c r="F22" s="268">
        <f>IF(ROUND((E22*D22*C22)-(F11*Dados!$G$35),2)&lt;0,0,ROUND((E22*D22*C22)-(F11*Dados!$G$35),2))</f>
        <v>120.14</v>
      </c>
      <c r="G22" s="268">
        <f>F22</f>
        <v>120.14</v>
      </c>
      <c r="H22" s="268"/>
      <c r="I22" s="268">
        <f>F22</f>
        <v>120.14</v>
      </c>
      <c r="J22" s="269"/>
    </row>
    <row r="23" spans="1:12" ht="19.5" customHeight="1" x14ac:dyDescent="0.25">
      <c r="A23" s="566" t="s">
        <v>210</v>
      </c>
      <c r="B23" s="566"/>
      <c r="C23" s="282">
        <f>Dados!G37</f>
        <v>22</v>
      </c>
      <c r="D23" s="283">
        <f>Dados!G38</f>
        <v>0.2</v>
      </c>
      <c r="E23" s="213">
        <f>Dados!$G$36</f>
        <v>29</v>
      </c>
      <c r="F23" s="249">
        <f>ROUND((IF(D11&gt;150,((C23*E23)-(C23*(D23*E23))),0)),2)</f>
        <v>0</v>
      </c>
      <c r="G23" s="268">
        <f>F23</f>
        <v>0</v>
      </c>
      <c r="H23" s="268">
        <f>$F$23</f>
        <v>0</v>
      </c>
      <c r="I23" s="249"/>
      <c r="J23" s="269"/>
    </row>
    <row r="24" spans="1:12" ht="19.5" customHeight="1" x14ac:dyDescent="0.25">
      <c r="A24" s="566" t="s">
        <v>583</v>
      </c>
      <c r="B24" s="566"/>
      <c r="C24" s="282"/>
      <c r="D24" s="283"/>
      <c r="E24" s="213"/>
      <c r="F24" s="249">
        <f>Dados!O9</f>
        <v>0</v>
      </c>
      <c r="G24" s="268"/>
      <c r="H24" s="268"/>
      <c r="I24" s="249"/>
      <c r="J24" s="269"/>
    </row>
    <row r="25" spans="1:12" ht="19.5" customHeight="1" x14ac:dyDescent="0.25">
      <c r="A25" s="281" t="s">
        <v>582</v>
      </c>
      <c r="B25" s="26"/>
      <c r="C25" s="282"/>
      <c r="D25" s="213"/>
      <c r="E25" s="213"/>
      <c r="F25" s="268">
        <f>Dados!P9</f>
        <v>0</v>
      </c>
      <c r="G25" s="268"/>
      <c r="H25" s="268"/>
      <c r="I25" s="268"/>
      <c r="J25" s="269"/>
    </row>
    <row r="26" spans="1:12" ht="19.5" customHeight="1" x14ac:dyDescent="0.25">
      <c r="A26" s="566" t="s">
        <v>162</v>
      </c>
      <c r="B26" s="566"/>
      <c r="C26" s="282"/>
      <c r="D26" s="213"/>
      <c r="E26" s="213"/>
      <c r="F26" s="268">
        <f>Dados!Q9</f>
        <v>0</v>
      </c>
      <c r="G26" s="268">
        <f>F26</f>
        <v>0</v>
      </c>
      <c r="H26" s="268"/>
      <c r="I26" s="268"/>
      <c r="J26" s="269"/>
      <c r="L26" s="56"/>
    </row>
    <row r="27" spans="1:12" ht="19.5" customHeight="1" x14ac:dyDescent="0.25">
      <c r="A27" s="595" t="s">
        <v>455</v>
      </c>
      <c r="B27" s="595"/>
      <c r="C27" s="284"/>
      <c r="D27" s="285"/>
      <c r="E27" s="285"/>
      <c r="F27" s="274">
        <f>Dados!R10</f>
        <v>0</v>
      </c>
      <c r="G27" s="274">
        <f>F27</f>
        <v>0</v>
      </c>
      <c r="H27" s="274"/>
      <c r="I27" s="274"/>
      <c r="J27" s="275"/>
    </row>
    <row r="28" spans="1:12" ht="19.5" customHeight="1" x14ac:dyDescent="0.25">
      <c r="A28" s="566" t="str">
        <f>Dados!B39</f>
        <v>Outros (inserir somente com a justificativa legal)</v>
      </c>
      <c r="B28" s="566"/>
      <c r="C28" s="282"/>
      <c r="D28" s="282">
        <f>Dados!G39</f>
        <v>0</v>
      </c>
      <c r="E28" s="213"/>
      <c r="F28" s="249">
        <f>$D$28</f>
        <v>0</v>
      </c>
      <c r="G28" s="268">
        <f>F28</f>
        <v>0</v>
      </c>
      <c r="H28" s="268"/>
      <c r="I28" s="249"/>
      <c r="J28" s="269"/>
    </row>
    <row r="29" spans="1:12" ht="19.5" customHeight="1" thickBot="1" x14ac:dyDescent="0.3">
      <c r="A29" s="566" t="str">
        <f>Dados!B40</f>
        <v>Outros (inserir somente com a justificativa legal)</v>
      </c>
      <c r="B29" s="566"/>
      <c r="C29" s="282"/>
      <c r="D29" s="282">
        <f>Dados!G40</f>
        <v>0</v>
      </c>
      <c r="E29" s="213"/>
      <c r="F29" s="249">
        <f>$D$29</f>
        <v>0</v>
      </c>
      <c r="G29" s="268">
        <f>F29</f>
        <v>0</v>
      </c>
      <c r="H29" s="268"/>
      <c r="I29" s="249"/>
      <c r="J29" s="269"/>
    </row>
    <row r="30" spans="1:12" ht="19.5" customHeight="1" thickBot="1" x14ac:dyDescent="0.3">
      <c r="A30" s="585" t="s">
        <v>456</v>
      </c>
      <c r="B30" s="585"/>
      <c r="C30" s="585"/>
      <c r="D30" s="585"/>
      <c r="E30" s="585"/>
      <c r="F30" s="279">
        <f>SUM(F19:F29)</f>
        <v>125.41</v>
      </c>
      <c r="G30" s="279">
        <f>SUM(G19:G29)</f>
        <v>125.41</v>
      </c>
      <c r="H30" s="279">
        <f>SUM(H19:H29)</f>
        <v>0</v>
      </c>
      <c r="I30" s="279">
        <f>SUM(I19:I29)</f>
        <v>120.14</v>
      </c>
      <c r="J30" s="280">
        <f>SUM(J19:J29)</f>
        <v>0</v>
      </c>
    </row>
    <row r="31" spans="1:12" ht="19.5" customHeight="1" x14ac:dyDescent="0.25">
      <c r="A31" s="585" t="s">
        <v>457</v>
      </c>
      <c r="B31" s="585"/>
      <c r="C31" s="585"/>
      <c r="D31" s="585"/>
      <c r="E31" s="585"/>
      <c r="F31" s="279">
        <f>F16+F30</f>
        <v>3061.39</v>
      </c>
      <c r="G31" s="279">
        <f>G16+G30</f>
        <v>3061.39</v>
      </c>
      <c r="H31" s="279">
        <f>H16+H30</f>
        <v>0</v>
      </c>
      <c r="I31" s="279">
        <f>I16+I30</f>
        <v>120.14</v>
      </c>
      <c r="J31" s="280">
        <f>J16+J30</f>
        <v>0</v>
      </c>
    </row>
    <row r="32" spans="1:12" ht="19.5" customHeight="1" x14ac:dyDescent="0.25">
      <c r="A32" s="572" t="s">
        <v>458</v>
      </c>
      <c r="B32" s="572"/>
      <c r="C32" s="572"/>
      <c r="D32" s="572"/>
      <c r="E32" s="572"/>
      <c r="F32" s="572"/>
      <c r="G32" s="572"/>
      <c r="H32" s="572"/>
      <c r="I32" s="572"/>
      <c r="J32" s="572"/>
    </row>
    <row r="33" spans="1:12" ht="19.5" customHeight="1" x14ac:dyDescent="0.25">
      <c r="A33" s="581" t="s">
        <v>459</v>
      </c>
      <c r="B33" s="581"/>
      <c r="C33" s="581"/>
      <c r="D33" s="216" t="s">
        <v>460</v>
      </c>
      <c r="E33" s="586" t="s">
        <v>426</v>
      </c>
      <c r="F33" s="586"/>
      <c r="G33" s="586"/>
      <c r="H33" s="586"/>
      <c r="I33" s="586"/>
      <c r="J33" s="586"/>
    </row>
    <row r="34" spans="1:12" ht="19.5" customHeight="1" x14ac:dyDescent="0.25">
      <c r="A34" s="286" t="s">
        <v>461</v>
      </c>
      <c r="B34" s="287"/>
      <c r="C34" s="287"/>
      <c r="D34" s="270">
        <f>Dados!$G$43</f>
        <v>0.03</v>
      </c>
      <c r="E34" s="288"/>
      <c r="F34" s="268">
        <f>ROUND((F31*$D$34),2)</f>
        <v>91.84</v>
      </c>
      <c r="G34" s="268">
        <f>ROUND((G31*$D$34),2)</f>
        <v>91.84</v>
      </c>
      <c r="H34" s="268">
        <f>ROUND((H31*$D$34),2)</f>
        <v>0</v>
      </c>
      <c r="I34" s="268">
        <f>ROUND((I31*$D$34),2)</f>
        <v>3.6</v>
      </c>
      <c r="J34" s="269">
        <f>ROUND((J31*$D$34),2)</f>
        <v>0</v>
      </c>
    </row>
    <row r="35" spans="1:12" ht="19.5" customHeight="1" x14ac:dyDescent="0.25">
      <c r="A35" s="587" t="s">
        <v>462</v>
      </c>
      <c r="B35" s="587"/>
      <c r="C35" s="587"/>
      <c r="D35" s="270"/>
      <c r="E35" s="288"/>
      <c r="F35" s="268">
        <f>F31+F34</f>
        <v>3153.23</v>
      </c>
      <c r="G35" s="268">
        <f>G31+G34</f>
        <v>3153.23</v>
      </c>
      <c r="H35" s="268">
        <f>H31+H34</f>
        <v>0</v>
      </c>
      <c r="I35" s="268">
        <f>I31+I34</f>
        <v>123.74</v>
      </c>
      <c r="J35" s="269">
        <f>J31+J34</f>
        <v>0</v>
      </c>
    </row>
    <row r="36" spans="1:12" ht="19.5" customHeight="1" x14ac:dyDescent="0.25">
      <c r="A36" s="289" t="s">
        <v>218</v>
      </c>
      <c r="B36" s="290"/>
      <c r="C36" s="290"/>
      <c r="D36" s="272">
        <f>Dados!$G$44</f>
        <v>6.7900000000000002E-2</v>
      </c>
      <c r="E36" s="291"/>
      <c r="F36" s="274">
        <f>ROUND((F35*$D$36),2)</f>
        <v>214.1</v>
      </c>
      <c r="G36" s="274">
        <f>ROUND((G35*$D$36),2)</f>
        <v>214.1</v>
      </c>
      <c r="H36" s="274">
        <f>ROUND((H35*$D$36),2)</f>
        <v>0</v>
      </c>
      <c r="I36" s="274">
        <f>ROUND((I35*$D$36),2)</f>
        <v>8.4</v>
      </c>
      <c r="J36" s="275">
        <f>ROUND((J35*$D$36),2)</f>
        <v>0</v>
      </c>
    </row>
    <row r="37" spans="1:12" ht="19.5" customHeight="1" x14ac:dyDescent="0.25">
      <c r="A37" s="292" t="s">
        <v>463</v>
      </c>
      <c r="B37" s="293"/>
      <c r="C37" s="293"/>
      <c r="D37" s="294">
        <f>SUM(D34:D36)</f>
        <v>9.7900000000000001E-2</v>
      </c>
      <c r="E37" s="295"/>
      <c r="F37" s="279">
        <f>F34+F36</f>
        <v>305.94</v>
      </c>
      <c r="G37" s="279">
        <f>G34+G36</f>
        <v>305.94</v>
      </c>
      <c r="H37" s="279">
        <f>H34+H36</f>
        <v>0</v>
      </c>
      <c r="I37" s="279">
        <f>I34+I36</f>
        <v>12</v>
      </c>
      <c r="J37" s="280">
        <f>J34+J36</f>
        <v>0</v>
      </c>
    </row>
    <row r="38" spans="1:12" ht="19.5" customHeight="1" x14ac:dyDescent="0.25">
      <c r="A38" s="588" t="s">
        <v>464</v>
      </c>
      <c r="B38" s="588"/>
      <c r="C38" s="588"/>
      <c r="D38" s="588"/>
      <c r="E38" s="588"/>
      <c r="F38" s="296">
        <f>F31+F37</f>
        <v>3367.33</v>
      </c>
      <c r="G38" s="296">
        <f>G31+G37</f>
        <v>3367.33</v>
      </c>
      <c r="H38" s="296">
        <f>H31+H37</f>
        <v>0</v>
      </c>
      <c r="I38" s="296">
        <f>I31+I37</f>
        <v>132.13999999999999</v>
      </c>
      <c r="J38" s="297">
        <f>J31+J37</f>
        <v>0</v>
      </c>
    </row>
    <row r="39" spans="1:12" ht="19.5" customHeight="1" x14ac:dyDescent="0.25">
      <c r="A39" s="589" t="s">
        <v>465</v>
      </c>
      <c r="B39" s="589"/>
      <c r="C39" s="589"/>
      <c r="D39" s="589"/>
      <c r="E39" s="589"/>
      <c r="F39" s="589"/>
      <c r="G39" s="589"/>
      <c r="H39" s="589"/>
      <c r="I39" s="589"/>
      <c r="J39" s="589"/>
    </row>
    <row r="40" spans="1:12" ht="19.5" customHeight="1" x14ac:dyDescent="0.25">
      <c r="A40" s="566" t="s">
        <v>224</v>
      </c>
      <c r="B40" s="566"/>
      <c r="C40" s="566"/>
      <c r="D40" s="270">
        <f>Dados!G51</f>
        <v>7.5999999999999998E-2</v>
      </c>
      <c r="E40" s="268"/>
      <c r="F40" s="268">
        <f>ROUND(($F$46*D40),2)</f>
        <v>291.64</v>
      </c>
      <c r="G40" s="268">
        <f>ROUND((G46*$D$40),2)</f>
        <v>291.64</v>
      </c>
      <c r="H40" s="268">
        <f>ROUND((H46*$D$40),2)</f>
        <v>0</v>
      </c>
      <c r="I40" s="268">
        <f>ROUND((I46*$D$40),2)</f>
        <v>11.44</v>
      </c>
      <c r="J40" s="269">
        <f>ROUND((J46*$D$40),2)</f>
        <v>0</v>
      </c>
    </row>
    <row r="41" spans="1:12" ht="19.5" customHeight="1" x14ac:dyDescent="0.25">
      <c r="A41" s="566" t="s">
        <v>226</v>
      </c>
      <c r="B41" s="566"/>
      <c r="C41" s="566"/>
      <c r="D41" s="270">
        <f>Dados!G52</f>
        <v>1.6500000000000001E-2</v>
      </c>
      <c r="E41" s="268"/>
      <c r="F41" s="268">
        <f>ROUND((F46*$D$41),2)</f>
        <v>63.32</v>
      </c>
      <c r="G41" s="268">
        <f>ROUND((G46*$D$41),2)</f>
        <v>63.32</v>
      </c>
      <c r="H41" s="268">
        <f>ROUND((H46*$D$41),2)</f>
        <v>0</v>
      </c>
      <c r="I41" s="268">
        <f>ROUND((I46*$D$41),2)</f>
        <v>2.48</v>
      </c>
      <c r="J41" s="269">
        <f>ROUND((J46*$D$41),2)</f>
        <v>0</v>
      </c>
    </row>
    <row r="42" spans="1:12" ht="19.5" customHeight="1" x14ac:dyDescent="0.25">
      <c r="A42" s="566" t="str">
        <f>Dados!B53</f>
        <v>ISSQN - Limpeza e Conservação</v>
      </c>
      <c r="B42" s="566"/>
      <c r="C42" s="566"/>
      <c r="D42" s="270">
        <f>Dados!G53</f>
        <v>0.03</v>
      </c>
      <c r="E42" s="268"/>
      <c r="F42" s="268">
        <f>ROUND((F46*$D$42),2)</f>
        <v>115.12</v>
      </c>
      <c r="G42" s="268">
        <f>ROUND((G46*$D$42),2)</f>
        <v>115.12</v>
      </c>
      <c r="H42" s="268">
        <f>ROUND((H46*$D$42),2)</f>
        <v>0</v>
      </c>
      <c r="I42" s="268">
        <f>ROUND((I46*$D$42),2)</f>
        <v>4.5199999999999996</v>
      </c>
      <c r="J42" s="269">
        <f>ROUND((J46*$D$42),2)</f>
        <v>0</v>
      </c>
    </row>
    <row r="43" spans="1:12" ht="19.5" customHeight="1" x14ac:dyDescent="0.25">
      <c r="A43" s="566" t="str">
        <f>Dados!B54</f>
        <v>ISSQN - Serviços Administrativos</v>
      </c>
      <c r="B43" s="566"/>
      <c r="C43" s="566"/>
      <c r="D43" s="270">
        <v>0</v>
      </c>
      <c r="E43" s="268"/>
      <c r="F43" s="268">
        <f>ROUND((F46*$D$43),2)</f>
        <v>0</v>
      </c>
      <c r="G43" s="268">
        <f>ROUND((G46*$D$43),2)</f>
        <v>0</v>
      </c>
      <c r="H43" s="268">
        <f>ROUND((H46*$D$43),2)</f>
        <v>0</v>
      </c>
      <c r="I43" s="268">
        <f>ROUND((I46*$D$43),2)</f>
        <v>0</v>
      </c>
      <c r="J43" s="269">
        <f>ROUND((J46*$D$43),2)</f>
        <v>0</v>
      </c>
    </row>
    <row r="44" spans="1:12" ht="19.5" customHeight="1" x14ac:dyDescent="0.25">
      <c r="A44" s="591" t="s">
        <v>466</v>
      </c>
      <c r="B44" s="591"/>
      <c r="C44" s="591"/>
      <c r="D44" s="298">
        <f>SUM(D40:D43)</f>
        <v>0.1225</v>
      </c>
      <c r="E44" s="299"/>
      <c r="F44" s="300">
        <f>SUM(F40:F43)</f>
        <v>470.08</v>
      </c>
      <c r="G44" s="300">
        <f>SUM(G40:G43)</f>
        <v>470.08</v>
      </c>
      <c r="H44" s="300">
        <f>SUM(H40:H43)</f>
        <v>0</v>
      </c>
      <c r="I44" s="300">
        <f>SUM(I40:I43)</f>
        <v>18.439999999999998</v>
      </c>
      <c r="J44" s="301">
        <f>SUM(J40:J42)</f>
        <v>0</v>
      </c>
    </row>
    <row r="45" spans="1:12" ht="19.5" customHeight="1" x14ac:dyDescent="0.25">
      <c r="A45" s="592" t="str">
        <f>CONCATENATE("Custo Mensal - ",A7)</f>
        <v>Custo Mensal - Zelador</v>
      </c>
      <c r="B45" s="592"/>
      <c r="C45" s="592"/>
      <c r="D45" s="592"/>
      <c r="E45" s="592"/>
      <c r="F45" s="302">
        <f>ROUND(F38/(1-D44),2)</f>
        <v>3837.41</v>
      </c>
      <c r="G45" s="302">
        <f>ROUND(G38/(1-D44),2)</f>
        <v>3837.41</v>
      </c>
      <c r="H45" s="302">
        <f>ROUND(H38/(1-D44),2)</f>
        <v>0</v>
      </c>
      <c r="I45" s="302">
        <f>ROUND(I38/(1-D44),2)</f>
        <v>150.59</v>
      </c>
      <c r="J45" s="303">
        <f>ROUND(J38/(1-D44),2)</f>
        <v>0</v>
      </c>
    </row>
    <row r="46" spans="1:12" ht="19.5" customHeight="1" x14ac:dyDescent="0.25">
      <c r="A46" s="592" t="str">
        <f>CONCATENATE("Valor do Custo Mensal - ",A7)</f>
        <v>Valor do Custo Mensal - Zelador</v>
      </c>
      <c r="B46" s="592"/>
      <c r="C46" s="592"/>
      <c r="D46" s="592"/>
      <c r="E46" s="592"/>
      <c r="F46" s="302">
        <f>F45</f>
        <v>3837.41</v>
      </c>
      <c r="G46" s="302">
        <f>G45</f>
        <v>3837.41</v>
      </c>
      <c r="H46" s="302">
        <f>H45</f>
        <v>0</v>
      </c>
      <c r="I46" s="302">
        <f>I45</f>
        <v>150.59</v>
      </c>
      <c r="J46" s="303">
        <f>J45</f>
        <v>0</v>
      </c>
      <c r="K46" s="304"/>
      <c r="L46" s="304"/>
    </row>
    <row r="47" spans="1:12" ht="27.75" customHeight="1" x14ac:dyDescent="0.25">
      <c r="A47" s="593" t="s">
        <v>467</v>
      </c>
      <c r="B47" s="593"/>
      <c r="C47" s="593"/>
      <c r="D47" s="593"/>
      <c r="E47" s="593"/>
      <c r="F47" s="305">
        <f>(F46/F14)</f>
        <v>2.3055954433756507</v>
      </c>
      <c r="G47" s="305">
        <f>(G46/G14)</f>
        <v>2.3055954433756507</v>
      </c>
      <c r="H47" s="590" t="s">
        <v>468</v>
      </c>
      <c r="I47" s="590"/>
      <c r="J47" s="306">
        <v>0</v>
      </c>
    </row>
    <row r="48" spans="1:12" ht="19.5" customHeight="1" x14ac:dyDescent="0.25"/>
  </sheetData>
  <sheetProtection algorithmName="SHA-512" hashValue="HhrilZaHWffESqWgozKvC3b9WJRSW7gDKmHHkc1ldjeeOSrssVdgYpEbOu3MnYDvPpn/brNemb/88jaqzXdNEQ==" saltValue="Uja1u9ayJfDhA4CkV96UzQ==" spinCount="100000" sheet="1" objects="1" scenarios="1"/>
  <mergeCells count="50">
    <mergeCell ref="A42:C42"/>
    <mergeCell ref="H47:I47"/>
    <mergeCell ref="A43:C43"/>
    <mergeCell ref="A44:C44"/>
    <mergeCell ref="A45:E45"/>
    <mergeCell ref="A46:E46"/>
    <mergeCell ref="A47:E47"/>
    <mergeCell ref="A35:C35"/>
    <mergeCell ref="A38:E38"/>
    <mergeCell ref="A39:J39"/>
    <mergeCell ref="A40:C40"/>
    <mergeCell ref="A41:C41"/>
    <mergeCell ref="A30:E30"/>
    <mergeCell ref="A31:E31"/>
    <mergeCell ref="A32:J32"/>
    <mergeCell ref="A33:C33"/>
    <mergeCell ref="E33:J33"/>
    <mergeCell ref="A28:B28"/>
    <mergeCell ref="A29:B29"/>
    <mergeCell ref="A26:B26"/>
    <mergeCell ref="A27:B27"/>
    <mergeCell ref="A24:B24"/>
    <mergeCell ref="A19:B19"/>
    <mergeCell ref="A20:B20"/>
    <mergeCell ref="A21:B21"/>
    <mergeCell ref="A22:B22"/>
    <mergeCell ref="A23:B23"/>
    <mergeCell ref="A16:E16"/>
    <mergeCell ref="A17:J17"/>
    <mergeCell ref="A18:B18"/>
    <mergeCell ref="D18:E18"/>
    <mergeCell ref="F18:J18"/>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s>
  <printOptions horizontalCentered="1" verticalCentered="1"/>
  <pageMargins left="0.51180555555555596" right="0.51180555555555596" top="0.78749999999999998" bottom="0.78749999999999998" header="0.511811023622047" footer="0.511811023622047"/>
  <pageSetup paperSize="9" scale="61" fitToHeight="2"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249977111117893"/>
    <pageSetUpPr fitToPage="1"/>
  </sheetPr>
  <dimension ref="A1:AMO33"/>
  <sheetViews>
    <sheetView showGridLines="0" view="pageBreakPreview" zoomScale="120" zoomScaleNormal="130" zoomScalePageLayoutView="120" workbookViewId="0">
      <selection activeCell="E12" sqref="E12"/>
    </sheetView>
  </sheetViews>
  <sheetFormatPr defaultColWidth="8.7109375" defaultRowHeight="15" x14ac:dyDescent="0.25"/>
  <cols>
    <col min="1" max="1" width="7.28515625" style="66" customWidth="1"/>
    <col min="2" max="3" width="9.140625" style="66" customWidth="1"/>
    <col min="4" max="4" width="33" style="66" customWidth="1"/>
    <col min="5" max="5" width="9.42578125" style="110" customWidth="1"/>
    <col min="6" max="6" width="12.42578125" style="110" customWidth="1"/>
    <col min="7" max="7" width="8.85546875" style="110" customWidth="1"/>
    <col min="8" max="9" width="8.140625" style="110" customWidth="1"/>
    <col min="10" max="10" width="18.85546875" style="66" customWidth="1"/>
    <col min="11" max="11" width="16" style="66" customWidth="1"/>
    <col min="12" max="12" width="15.5703125" style="66" customWidth="1"/>
    <col min="13" max="13" width="10.140625" style="66" customWidth="1"/>
    <col min="14" max="14" width="13.140625" style="66" customWidth="1"/>
    <col min="15" max="1029" width="9.140625" style="66" customWidth="1"/>
  </cols>
  <sheetData>
    <row r="1" spans="1:18" x14ac:dyDescent="0.25">
      <c r="A1" s="92"/>
      <c r="B1" s="93" t="str">
        <f>INSTRUÇÕES!B1</f>
        <v>Tribunal Regional Federal da 6ª Região</v>
      </c>
      <c r="C1" s="93"/>
      <c r="D1" s="93"/>
      <c r="E1" s="393"/>
      <c r="F1" s="393"/>
      <c r="G1" s="393"/>
      <c r="H1" s="393"/>
      <c r="I1" s="393"/>
      <c r="J1" s="93"/>
      <c r="K1" s="93"/>
      <c r="L1" s="93"/>
      <c r="M1" s="93"/>
      <c r="N1" s="149"/>
    </row>
    <row r="2" spans="1:18" x14ac:dyDescent="0.25">
      <c r="A2" s="94"/>
      <c r="B2" s="95" t="str">
        <f>INSTRUÇÕES!B2</f>
        <v>Seção Judiciária de Minas Gerais</v>
      </c>
      <c r="C2" s="95"/>
      <c r="D2" s="95"/>
      <c r="E2" s="394"/>
      <c r="F2" s="394"/>
      <c r="G2" s="394"/>
      <c r="H2" s="394"/>
      <c r="I2" s="394"/>
      <c r="J2" s="95"/>
      <c r="K2" s="95"/>
      <c r="L2" s="95"/>
      <c r="M2" s="95"/>
      <c r="N2" s="151"/>
    </row>
    <row r="3" spans="1:18" x14ac:dyDescent="0.25">
      <c r="A3" s="94"/>
      <c r="B3" s="66" t="str">
        <f>INSTRUÇÕES!B3</f>
        <v>Subseção Judiciária de Lavras</v>
      </c>
      <c r="C3" s="263"/>
      <c r="D3" s="263"/>
      <c r="E3" s="395"/>
      <c r="F3" s="395"/>
      <c r="G3" s="395"/>
      <c r="H3" s="395"/>
      <c r="I3" s="395"/>
      <c r="J3" s="263"/>
      <c r="K3" s="263"/>
      <c r="L3" s="263"/>
      <c r="M3" s="263"/>
      <c r="N3" s="396"/>
    </row>
    <row r="4" spans="1:18" s="238" customFormat="1" ht="31.5" customHeight="1" x14ac:dyDescent="0.25">
      <c r="A4" s="596" t="s">
        <v>598</v>
      </c>
      <c r="B4" s="596"/>
      <c r="C4" s="596"/>
      <c r="D4" s="596"/>
      <c r="E4" s="596"/>
      <c r="F4" s="596"/>
      <c r="G4" s="596"/>
      <c r="H4" s="596"/>
      <c r="I4" s="596"/>
      <c r="J4" s="596"/>
      <c r="K4" s="596"/>
      <c r="L4" s="596"/>
      <c r="M4" s="596"/>
      <c r="N4" s="596"/>
      <c r="O4" s="397"/>
      <c r="P4" s="397"/>
      <c r="Q4" s="397"/>
      <c r="R4" s="397"/>
    </row>
    <row r="5" spans="1:18" s="399" customFormat="1" ht="41.25" customHeight="1" x14ac:dyDescent="0.25">
      <c r="A5" s="597" t="s">
        <v>506</v>
      </c>
      <c r="B5" s="597"/>
      <c r="C5" s="597"/>
      <c r="D5" s="597"/>
      <c r="E5" s="598" t="s">
        <v>460</v>
      </c>
      <c r="F5" s="469" t="str">
        <f>Dados!C7</f>
        <v>Servente de Limpeza com adicional de 40% de Insalubridade</v>
      </c>
      <c r="G5" s="470" t="str">
        <f>Dados!C8</f>
        <v>Servente de Limpeza  com Acúmulo de função de Copeira</v>
      </c>
      <c r="H5" s="470" t="str">
        <f>Dados!C9</f>
        <v>Zelador</v>
      </c>
      <c r="I5" s="597" t="s">
        <v>506</v>
      </c>
      <c r="J5" s="597"/>
      <c r="K5" s="597"/>
      <c r="L5" s="597"/>
      <c r="M5" s="598" t="s">
        <v>460</v>
      </c>
      <c r="N5" s="398" t="str">
        <f>Dados!C10</f>
        <v>Auxiliar Administrativo com Acúmulo de função de Mensageiro</v>
      </c>
    </row>
    <row r="6" spans="1:18" s="103" customFormat="1" ht="22.5" customHeight="1" x14ac:dyDescent="0.2">
      <c r="A6" s="400" t="s">
        <v>507</v>
      </c>
      <c r="B6" s="599" t="s">
        <v>281</v>
      </c>
      <c r="C6" s="599"/>
      <c r="D6" s="599"/>
      <c r="E6" s="598"/>
      <c r="F6" s="600" t="s">
        <v>508</v>
      </c>
      <c r="G6" s="600"/>
      <c r="H6" s="600"/>
      <c r="I6" s="400" t="s">
        <v>507</v>
      </c>
      <c r="J6" s="599" t="s">
        <v>281</v>
      </c>
      <c r="K6" s="599"/>
      <c r="L6" s="599"/>
      <c r="M6" s="598"/>
      <c r="N6" s="401"/>
    </row>
    <row r="7" spans="1:18" ht="14.25" customHeight="1" x14ac:dyDescent="0.25">
      <c r="A7" s="402">
        <v>1</v>
      </c>
      <c r="B7" s="601" t="s">
        <v>509</v>
      </c>
      <c r="C7" s="601"/>
      <c r="D7" s="601"/>
      <c r="E7" s="601"/>
      <c r="F7" s="403">
        <f>Dados!M7</f>
        <v>2133.5600000000004</v>
      </c>
      <c r="G7" s="403">
        <f>Dados!M8</f>
        <v>1529.71</v>
      </c>
      <c r="H7" s="403">
        <f>Dados!M9</f>
        <v>1664.39</v>
      </c>
      <c r="I7" s="402">
        <v>1</v>
      </c>
      <c r="J7" s="601" t="s">
        <v>509</v>
      </c>
      <c r="K7" s="601"/>
      <c r="L7" s="601"/>
      <c r="M7" s="601"/>
      <c r="N7" s="404">
        <f>Dados!M10</f>
        <v>1917.6699999999998</v>
      </c>
    </row>
    <row r="8" spans="1:18" x14ac:dyDescent="0.25">
      <c r="A8" s="405" t="s">
        <v>510</v>
      </c>
      <c r="B8" s="602" t="s">
        <v>282</v>
      </c>
      <c r="C8" s="602"/>
      <c r="D8" s="602"/>
      <c r="E8" s="278">
        <f>Encargos!C39</f>
        <v>9.0899999999999995E-2</v>
      </c>
      <c r="F8" s="406">
        <f>ROUND(F7*$E$8,2)</f>
        <v>193.94</v>
      </c>
      <c r="G8" s="406">
        <f>ROUND(G7*$E$8,2)</f>
        <v>139.05000000000001</v>
      </c>
      <c r="H8" s="406">
        <f>ROUND(H7*$E$8,2)</f>
        <v>151.29</v>
      </c>
      <c r="I8" s="405" t="s">
        <v>510</v>
      </c>
      <c r="J8" s="602" t="s">
        <v>282</v>
      </c>
      <c r="K8" s="602"/>
      <c r="L8" s="602"/>
      <c r="M8" s="278">
        <f>Encargos!C39</f>
        <v>9.0899999999999995E-2</v>
      </c>
      <c r="N8" s="407">
        <f>ROUND(N7*$E$8,2)</f>
        <v>174.32</v>
      </c>
    </row>
    <row r="9" spans="1:18" x14ac:dyDescent="0.25">
      <c r="A9" s="206" t="s">
        <v>511</v>
      </c>
      <c r="B9" s="594" t="s">
        <v>288</v>
      </c>
      <c r="C9" s="594"/>
      <c r="D9" s="594"/>
      <c r="E9" s="408">
        <f>E8*Encargos!C18</f>
        <v>3.6178200000000008E-2</v>
      </c>
      <c r="F9" s="409">
        <f>ROUND(F7*$E$9,2)</f>
        <v>77.19</v>
      </c>
      <c r="G9" s="409">
        <f>ROUND(G7*$E$9,2)</f>
        <v>55.34</v>
      </c>
      <c r="H9" s="409">
        <f>ROUND(H7*$E$9,2)</f>
        <v>60.21</v>
      </c>
      <c r="I9" s="206" t="s">
        <v>511</v>
      </c>
      <c r="J9" s="594" t="s">
        <v>288</v>
      </c>
      <c r="K9" s="594"/>
      <c r="L9" s="594"/>
      <c r="M9" s="408">
        <f>M8*Encargos!C18</f>
        <v>3.6178200000000008E-2</v>
      </c>
      <c r="N9" s="410">
        <f>ROUND(N7*$E$9,2)</f>
        <v>69.38</v>
      </c>
    </row>
    <row r="10" spans="1:18" ht="12.75" customHeight="1" x14ac:dyDescent="0.25">
      <c r="A10" s="603" t="s">
        <v>512</v>
      </c>
      <c r="B10" s="603"/>
      <c r="C10" s="603"/>
      <c r="D10" s="603"/>
      <c r="E10" s="411">
        <f>SUM(E8:E9)</f>
        <v>0.1270782</v>
      </c>
      <c r="F10" s="412">
        <f>SUM(F8:F9)</f>
        <v>271.13</v>
      </c>
      <c r="G10" s="412">
        <f>SUM(G8:G9)</f>
        <v>194.39000000000001</v>
      </c>
      <c r="H10" s="412">
        <f>SUM(H8:H9)</f>
        <v>211.5</v>
      </c>
      <c r="I10" s="603" t="s">
        <v>512</v>
      </c>
      <c r="J10" s="603"/>
      <c r="K10" s="603"/>
      <c r="L10" s="603"/>
      <c r="M10" s="411">
        <f>SUM(M8:M9)</f>
        <v>0.1270782</v>
      </c>
      <c r="N10" s="413">
        <f>SUM(N8:N9)</f>
        <v>243.7</v>
      </c>
    </row>
    <row r="11" spans="1:18" ht="12.75" customHeight="1" x14ac:dyDescent="0.25">
      <c r="A11" s="603" t="s">
        <v>513</v>
      </c>
      <c r="B11" s="603"/>
      <c r="C11" s="603"/>
      <c r="D11" s="603"/>
      <c r="E11" s="603"/>
      <c r="F11" s="412">
        <f>F10*12</f>
        <v>3253.56</v>
      </c>
      <c r="G11" s="412">
        <f>G10*12</f>
        <v>2332.6800000000003</v>
      </c>
      <c r="H11" s="412">
        <f>H10*12</f>
        <v>2538</v>
      </c>
      <c r="I11" s="603" t="s">
        <v>513</v>
      </c>
      <c r="J11" s="603"/>
      <c r="K11" s="603"/>
      <c r="L11" s="603"/>
      <c r="M11" s="603"/>
      <c r="N11" s="413">
        <f>N10*12</f>
        <v>2924.3999999999996</v>
      </c>
    </row>
    <row r="12" spans="1:18" x14ac:dyDescent="0.25">
      <c r="A12" s="414">
        <v>2</v>
      </c>
      <c r="B12" s="415" t="s">
        <v>514</v>
      </c>
      <c r="C12" s="415"/>
      <c r="D12" s="415"/>
      <c r="E12" s="416"/>
      <c r="F12" s="604" t="s">
        <v>422</v>
      </c>
      <c r="G12" s="604"/>
      <c r="H12" s="604"/>
      <c r="I12" s="414">
        <v>2</v>
      </c>
      <c r="J12" s="605" t="s">
        <v>514</v>
      </c>
      <c r="K12" s="605"/>
      <c r="L12" s="605"/>
      <c r="M12" s="417"/>
      <c r="N12" s="417"/>
    </row>
    <row r="13" spans="1:18" x14ac:dyDescent="0.25">
      <c r="A13" s="206" t="s">
        <v>510</v>
      </c>
      <c r="B13" s="594" t="s">
        <v>515</v>
      </c>
      <c r="C13" s="594"/>
      <c r="D13" s="594"/>
      <c r="E13" s="37"/>
      <c r="F13" s="268">
        <f>'Servente Insalubre'!$F$23</f>
        <v>510.4</v>
      </c>
      <c r="G13" s="268">
        <f>'Servente - Copeira'!$F$23</f>
        <v>510.4</v>
      </c>
      <c r="H13" s="268">
        <f>Zelador!$F$23</f>
        <v>0</v>
      </c>
      <c r="I13" s="206" t="s">
        <v>510</v>
      </c>
      <c r="J13" s="594" t="s">
        <v>515</v>
      </c>
      <c r="K13" s="594"/>
      <c r="L13" s="594"/>
      <c r="M13" s="418"/>
      <c r="N13" s="419">
        <f>'Auxiliar Adm - Mensageiro'!$F$23</f>
        <v>510.4</v>
      </c>
    </row>
    <row r="14" spans="1:18" x14ac:dyDescent="0.25">
      <c r="A14" s="206" t="s">
        <v>516</v>
      </c>
      <c r="B14" s="594" t="s">
        <v>517</v>
      </c>
      <c r="C14" s="594"/>
      <c r="D14" s="594"/>
      <c r="E14" s="37"/>
      <c r="F14" s="268">
        <f>'Servente Insalubre'!$F$22</f>
        <v>130.88999999999999</v>
      </c>
      <c r="G14" s="268">
        <f>'Servente - Copeira'!$F$22</f>
        <v>130.88999999999999</v>
      </c>
      <c r="H14" s="268">
        <f>Zelador!$F$22</f>
        <v>120.14</v>
      </c>
      <c r="I14" s="206" t="s">
        <v>516</v>
      </c>
      <c r="J14" s="594" t="s">
        <v>517</v>
      </c>
      <c r="K14" s="594"/>
      <c r="L14" s="594"/>
      <c r="M14" s="418"/>
      <c r="N14" s="419">
        <f>'Auxiliar Adm - Mensageiro'!$F$22</f>
        <v>108.29</v>
      </c>
    </row>
    <row r="15" spans="1:18" x14ac:dyDescent="0.25">
      <c r="A15" s="206" t="s">
        <v>518</v>
      </c>
      <c r="B15" s="420" t="s">
        <v>519</v>
      </c>
      <c r="C15" s="420"/>
      <c r="D15" s="420"/>
      <c r="E15" s="37"/>
      <c r="F15" s="268">
        <v>0</v>
      </c>
      <c r="G15" s="268">
        <v>0</v>
      </c>
      <c r="H15" s="268">
        <v>0</v>
      </c>
      <c r="I15" s="206" t="s">
        <v>518</v>
      </c>
      <c r="J15" s="420" t="s">
        <v>519</v>
      </c>
      <c r="K15" s="420"/>
      <c r="L15" s="420"/>
      <c r="M15" s="418"/>
      <c r="N15" s="419">
        <v>0</v>
      </c>
    </row>
    <row r="16" spans="1:18" x14ac:dyDescent="0.25">
      <c r="A16" s="606" t="s">
        <v>520</v>
      </c>
      <c r="B16" s="606"/>
      <c r="C16" s="606"/>
      <c r="D16" s="606"/>
      <c r="E16" s="606"/>
      <c r="F16" s="421">
        <f>SUM(F13:F15)</f>
        <v>641.29</v>
      </c>
      <c r="G16" s="421">
        <f>SUM(G13:G15)</f>
        <v>641.29</v>
      </c>
      <c r="H16" s="421">
        <f>SUM(H13:H15)</f>
        <v>120.14</v>
      </c>
      <c r="I16" s="606" t="s">
        <v>520</v>
      </c>
      <c r="J16" s="606"/>
      <c r="K16" s="606"/>
      <c r="L16" s="606"/>
      <c r="M16" s="606"/>
      <c r="N16" s="422">
        <f>SUM(N13:N15)</f>
        <v>618.68999999999994</v>
      </c>
    </row>
    <row r="17" spans="1:14" ht="12.75" customHeight="1" x14ac:dyDescent="0.25">
      <c r="A17" s="414">
        <v>5</v>
      </c>
      <c r="B17" s="607" t="s">
        <v>521</v>
      </c>
      <c r="C17" s="607"/>
      <c r="D17" s="607"/>
      <c r="E17" s="423" t="s">
        <v>460</v>
      </c>
      <c r="F17" s="604" t="s">
        <v>422</v>
      </c>
      <c r="G17" s="604"/>
      <c r="H17" s="604"/>
      <c r="I17" s="414">
        <v>5</v>
      </c>
      <c r="J17" s="607" t="s">
        <v>521</v>
      </c>
      <c r="K17" s="607"/>
      <c r="L17" s="607"/>
      <c r="M17" s="417"/>
      <c r="N17" s="417"/>
    </row>
    <row r="18" spans="1:14" ht="12.75" customHeight="1" x14ac:dyDescent="0.25">
      <c r="A18" s="206" t="s">
        <v>510</v>
      </c>
      <c r="B18" s="576" t="s">
        <v>522</v>
      </c>
      <c r="C18" s="576"/>
      <c r="D18" s="576"/>
      <c r="E18" s="270">
        <f>Dados!$G$43</f>
        <v>0.03</v>
      </c>
      <c r="F18" s="424">
        <f>ROUND(($E$18*F31),2)</f>
        <v>116.85</v>
      </c>
      <c r="G18" s="424">
        <f>ROUND(($E$18*G31),2)</f>
        <v>89.22</v>
      </c>
      <c r="H18" s="424">
        <f>ROUND(($E$18*H31),2)</f>
        <v>79.739999999999995</v>
      </c>
      <c r="I18" s="206" t="s">
        <v>510</v>
      </c>
      <c r="J18" s="576" t="s">
        <v>522</v>
      </c>
      <c r="K18" s="576"/>
      <c r="L18" s="576"/>
      <c r="M18" s="425">
        <f>Dados!$G$43</f>
        <v>0.03</v>
      </c>
      <c r="N18" s="426">
        <f>ROUND(($E$18*N31),2)</f>
        <v>106.29</v>
      </c>
    </row>
    <row r="19" spans="1:14" ht="12.75" customHeight="1" x14ac:dyDescent="0.25">
      <c r="A19" s="206" t="s">
        <v>516</v>
      </c>
      <c r="B19" s="576" t="s">
        <v>218</v>
      </c>
      <c r="C19" s="576"/>
      <c r="D19" s="576"/>
      <c r="E19" s="270">
        <f>Dados!$G$44</f>
        <v>6.7900000000000002E-2</v>
      </c>
      <c r="F19" s="424">
        <f>ROUND(($E$19*(F18+F31)),2)</f>
        <v>272.39</v>
      </c>
      <c r="G19" s="424">
        <f>ROUND(($E$19*(G18+G31)),2)</f>
        <v>207.99</v>
      </c>
      <c r="H19" s="424">
        <f>ROUND(($E$19*(H18+H31)),2)</f>
        <v>185.9</v>
      </c>
      <c r="I19" s="206" t="s">
        <v>516</v>
      </c>
      <c r="J19" s="576" t="s">
        <v>218</v>
      </c>
      <c r="K19" s="576"/>
      <c r="L19" s="576"/>
      <c r="M19" s="425">
        <f>Dados!$G$44</f>
        <v>6.7900000000000002E-2</v>
      </c>
      <c r="N19" s="426">
        <f>ROUND(($E$19*(N18+N31)),2)</f>
        <v>247.79</v>
      </c>
    </row>
    <row r="20" spans="1:14" ht="12.75" customHeight="1" x14ac:dyDescent="0.25">
      <c r="A20" s="427" t="s">
        <v>518</v>
      </c>
      <c r="B20" s="608" t="s">
        <v>523</v>
      </c>
      <c r="C20" s="608"/>
      <c r="D20" s="608"/>
      <c r="E20" s="411">
        <f>SUM(E21:E24)</f>
        <v>0.1225</v>
      </c>
      <c r="F20" s="428">
        <f>ROUND((((F31+F18+F19)/(1-$E$20))-(F31+F18+F19)),2)</f>
        <v>598.05999999999995</v>
      </c>
      <c r="G20" s="428">
        <f>ROUND((((G31+G18+G19)/(1-$E$20))-(G31+G18+G19)),2)</f>
        <v>456.66</v>
      </c>
      <c r="H20" s="428">
        <f>ROUND((((H31+H18+H19)/(1-$E$20))-(H31+H18+H19)),2)</f>
        <v>408.16</v>
      </c>
      <c r="I20" s="427" t="s">
        <v>518</v>
      </c>
      <c r="J20" s="608" t="s">
        <v>523</v>
      </c>
      <c r="K20" s="608"/>
      <c r="L20" s="608"/>
      <c r="M20" s="429">
        <f>SUM(M21:M24)</f>
        <v>0.05</v>
      </c>
      <c r="N20" s="430">
        <f>ROUND((((N31+N18+N19)/(1-$E$20))-(N31+N18+N19)),2)</f>
        <v>544.04999999999995</v>
      </c>
    </row>
    <row r="21" spans="1:14" ht="12.75" customHeight="1" x14ac:dyDescent="0.25">
      <c r="A21" s="71" t="s">
        <v>524</v>
      </c>
      <c r="B21" s="576" t="s">
        <v>525</v>
      </c>
      <c r="C21" s="576"/>
      <c r="D21" s="576"/>
      <c r="E21" s="270">
        <f>Dados!G51+Dados!G52</f>
        <v>9.2499999999999999E-2</v>
      </c>
      <c r="F21" s="424">
        <f>ROUND($E$21*F33,2)</f>
        <v>451.6</v>
      </c>
      <c r="G21" s="424">
        <f>ROUND($E$21*G33,2)</f>
        <v>344.83</v>
      </c>
      <c r="H21" s="424">
        <f>ROUND($E$21*H33,2)</f>
        <v>308.2</v>
      </c>
      <c r="I21" s="71" t="s">
        <v>524</v>
      </c>
      <c r="J21" s="576" t="s">
        <v>525</v>
      </c>
      <c r="K21" s="576"/>
      <c r="L21" s="576"/>
      <c r="M21" s="425">
        <f>Dados!P51+Dados!P52</f>
        <v>0</v>
      </c>
      <c r="N21" s="426">
        <f>ROUND($E$21*N33,2)</f>
        <v>410.81</v>
      </c>
    </row>
    <row r="22" spans="1:14" ht="12.75" customHeight="1" x14ac:dyDescent="0.25">
      <c r="A22" s="206" t="s">
        <v>526</v>
      </c>
      <c r="B22" s="576" t="s">
        <v>527</v>
      </c>
      <c r="C22" s="576"/>
      <c r="D22" s="576"/>
      <c r="E22" s="270">
        <v>0</v>
      </c>
      <c r="F22" s="424">
        <f>ROUND($E$22*F33,2)</f>
        <v>0</v>
      </c>
      <c r="G22" s="424">
        <f>ROUND($E$22*G33,2)</f>
        <v>0</v>
      </c>
      <c r="H22" s="424">
        <f>ROUND($E$22*H33,2)</f>
        <v>0</v>
      </c>
      <c r="I22" s="206" t="s">
        <v>526</v>
      </c>
      <c r="J22" s="576" t="s">
        <v>527</v>
      </c>
      <c r="K22" s="576"/>
      <c r="L22" s="576"/>
      <c r="M22" s="425">
        <v>0</v>
      </c>
      <c r="N22" s="426">
        <f>ROUND($E$22*N33,2)</f>
        <v>0</v>
      </c>
    </row>
    <row r="23" spans="1:14" ht="12.75" customHeight="1" x14ac:dyDescent="0.25">
      <c r="A23" s="206" t="s">
        <v>528</v>
      </c>
      <c r="B23" s="576" t="str">
        <f>Dados!B53</f>
        <v>ISSQN - Limpeza e Conservação</v>
      </c>
      <c r="C23" s="576"/>
      <c r="D23" s="576"/>
      <c r="E23" s="270">
        <f>Dados!G53</f>
        <v>0.03</v>
      </c>
      <c r="F23" s="424">
        <f>ROUND($E$23*F33,2)</f>
        <v>146.46</v>
      </c>
      <c r="G23" s="424">
        <f>ROUND($E$23*G33,2)</f>
        <v>111.84</v>
      </c>
      <c r="H23" s="424">
        <f>ROUND($E$23*H33,2)</f>
        <v>99.96</v>
      </c>
      <c r="I23" s="206" t="s">
        <v>528</v>
      </c>
      <c r="J23" s="576" t="str">
        <f>Dados!B53</f>
        <v>ISSQN - Limpeza e Conservação</v>
      </c>
      <c r="K23" s="576"/>
      <c r="L23" s="576"/>
      <c r="M23" s="425">
        <v>0</v>
      </c>
      <c r="N23" s="426">
        <f>ROUND(M23*N33,2)</f>
        <v>0</v>
      </c>
    </row>
    <row r="24" spans="1:14" x14ac:dyDescent="0.25">
      <c r="A24" s="206" t="s">
        <v>529</v>
      </c>
      <c r="B24" s="576" t="str">
        <f>Dados!B54</f>
        <v>ISSQN - Serviços Administrativos</v>
      </c>
      <c r="C24" s="576"/>
      <c r="D24" s="576"/>
      <c r="E24" s="270">
        <v>0</v>
      </c>
      <c r="F24" s="424">
        <f>ROUND($E$24*F33,2)</f>
        <v>0</v>
      </c>
      <c r="G24" s="424">
        <f>ROUND($E$24*G33,2)</f>
        <v>0</v>
      </c>
      <c r="H24" s="424">
        <f>ROUND($E$24*H33,2)</f>
        <v>0</v>
      </c>
      <c r="I24" s="206" t="s">
        <v>529</v>
      </c>
      <c r="J24" s="576" t="str">
        <f>Dados!B54</f>
        <v>ISSQN - Serviços Administrativos</v>
      </c>
      <c r="K24" s="576"/>
      <c r="L24" s="576"/>
      <c r="M24" s="425">
        <f>Dados!G54</f>
        <v>0.05</v>
      </c>
      <c r="N24" s="426">
        <f>ROUND(M24*N33,2)</f>
        <v>222.06</v>
      </c>
    </row>
    <row r="25" spans="1:14" x14ac:dyDescent="0.25">
      <c r="A25" s="431" t="s">
        <v>530</v>
      </c>
      <c r="B25" s="271"/>
      <c r="C25" s="271"/>
      <c r="D25" s="271"/>
      <c r="E25" s="432"/>
      <c r="F25" s="433">
        <f>SUM(F18:F20)</f>
        <v>987.3</v>
      </c>
      <c r="G25" s="433">
        <f>SUM(G18:G20)</f>
        <v>753.87000000000012</v>
      </c>
      <c r="H25" s="433">
        <f>SUM(H18:H20)</f>
        <v>673.8</v>
      </c>
      <c r="I25" s="609" t="s">
        <v>530</v>
      </c>
      <c r="J25" s="609"/>
      <c r="K25" s="609"/>
      <c r="L25" s="609"/>
      <c r="M25" s="434"/>
      <c r="N25" s="435">
        <f>SUM(N18:N20)</f>
        <v>898.12999999999988</v>
      </c>
    </row>
    <row r="26" spans="1:14" ht="19.5" customHeight="1" x14ac:dyDescent="0.25">
      <c r="A26" s="610" t="s">
        <v>531</v>
      </c>
      <c r="B26" s="610"/>
      <c r="C26" s="610"/>
      <c r="D26" s="610"/>
      <c r="E26" s="610"/>
      <c r="F26" s="610"/>
      <c r="G26" s="610"/>
      <c r="H26" s="610"/>
      <c r="I26" s="610"/>
      <c r="J26" s="610"/>
      <c r="K26" s="610"/>
      <c r="L26" s="610"/>
      <c r="M26" s="610"/>
      <c r="N26" s="610"/>
    </row>
    <row r="27" spans="1:14" ht="18" customHeight="1" x14ac:dyDescent="0.25">
      <c r="A27" s="611" t="s">
        <v>532</v>
      </c>
      <c r="B27" s="611"/>
      <c r="C27" s="611"/>
      <c r="D27" s="611"/>
      <c r="E27" s="611"/>
      <c r="F27" s="611"/>
      <c r="G27" s="611"/>
      <c r="H27" s="611"/>
      <c r="I27" s="611"/>
      <c r="J27" s="611"/>
      <c r="K27" s="611"/>
      <c r="L27" s="611"/>
      <c r="M27" s="611"/>
      <c r="N27" s="611"/>
    </row>
    <row r="28" spans="1:14" ht="14.25" customHeight="1" x14ac:dyDescent="0.25">
      <c r="A28" s="436" t="s">
        <v>533</v>
      </c>
      <c r="B28" s="437"/>
      <c r="C28" s="437"/>
      <c r="D28" s="437"/>
      <c r="E28" s="438"/>
      <c r="F28" s="612" t="s">
        <v>422</v>
      </c>
      <c r="G28" s="612"/>
      <c r="H28" s="612"/>
      <c r="I28" s="439" t="s">
        <v>533</v>
      </c>
      <c r="J28" s="437"/>
      <c r="K28" s="437"/>
      <c r="L28" s="437"/>
      <c r="M28" s="440"/>
      <c r="N28" s="440"/>
    </row>
    <row r="29" spans="1:14" x14ac:dyDescent="0.25">
      <c r="A29" s="206" t="s">
        <v>510</v>
      </c>
      <c r="B29" s="420" t="s">
        <v>534</v>
      </c>
      <c r="C29" s="420"/>
      <c r="D29" s="420"/>
      <c r="E29" s="37"/>
      <c r="F29" s="441">
        <f>F11</f>
        <v>3253.56</v>
      </c>
      <c r="G29" s="441">
        <f>G11</f>
        <v>2332.6800000000003</v>
      </c>
      <c r="H29" s="441">
        <f>H11</f>
        <v>2538</v>
      </c>
      <c r="I29" s="206" t="s">
        <v>510</v>
      </c>
      <c r="J29" s="420" t="s">
        <v>534</v>
      </c>
      <c r="K29" s="420"/>
      <c r="L29" s="420"/>
      <c r="M29" s="442"/>
      <c r="N29" s="443">
        <f>N11</f>
        <v>2924.3999999999996</v>
      </c>
    </row>
    <row r="30" spans="1:14" x14ac:dyDescent="0.25">
      <c r="A30" s="206" t="s">
        <v>516</v>
      </c>
      <c r="B30" s="420" t="s">
        <v>514</v>
      </c>
      <c r="C30" s="420"/>
      <c r="D30" s="420"/>
      <c r="E30" s="37"/>
      <c r="F30" s="441">
        <f>F16</f>
        <v>641.29</v>
      </c>
      <c r="G30" s="441">
        <f>G16</f>
        <v>641.29</v>
      </c>
      <c r="H30" s="441">
        <f>H16</f>
        <v>120.14</v>
      </c>
      <c r="I30" s="206" t="s">
        <v>516</v>
      </c>
      <c r="J30" s="420" t="s">
        <v>514</v>
      </c>
      <c r="K30" s="420"/>
      <c r="L30" s="420"/>
      <c r="M30" s="444"/>
      <c r="N30" s="443">
        <f>N16</f>
        <v>618.68999999999994</v>
      </c>
    </row>
    <row r="31" spans="1:14" x14ac:dyDescent="0.25">
      <c r="A31" s="606" t="s">
        <v>535</v>
      </c>
      <c r="B31" s="606"/>
      <c r="C31" s="606"/>
      <c r="D31" s="606"/>
      <c r="E31" s="445"/>
      <c r="F31" s="428">
        <f>SUM(F29:F30)</f>
        <v>3894.85</v>
      </c>
      <c r="G31" s="428">
        <f>SUM(G29:G30)</f>
        <v>2973.9700000000003</v>
      </c>
      <c r="H31" s="428">
        <f>SUM(H29:H30)</f>
        <v>2658.14</v>
      </c>
      <c r="I31" s="606" t="s">
        <v>535</v>
      </c>
      <c r="J31" s="606"/>
      <c r="K31" s="606"/>
      <c r="L31" s="606"/>
      <c r="M31" s="444"/>
      <c r="N31" s="446">
        <f>SUM(N29:N30)</f>
        <v>3543.0899999999997</v>
      </c>
    </row>
    <row r="32" spans="1:14" x14ac:dyDescent="0.25">
      <c r="A32" s="266" t="s">
        <v>536</v>
      </c>
      <c r="B32" s="447" t="s">
        <v>537</v>
      </c>
      <c r="C32" s="447"/>
      <c r="D32" s="447"/>
      <c r="E32" s="432"/>
      <c r="F32" s="448">
        <f>F25</f>
        <v>987.3</v>
      </c>
      <c r="G32" s="448">
        <f>G25</f>
        <v>753.87000000000012</v>
      </c>
      <c r="H32" s="448">
        <f>H25</f>
        <v>673.8</v>
      </c>
      <c r="I32" s="266" t="s">
        <v>536</v>
      </c>
      <c r="J32" s="447" t="s">
        <v>537</v>
      </c>
      <c r="K32" s="447"/>
      <c r="L32" s="447"/>
      <c r="M32" s="449"/>
      <c r="N32" s="450">
        <f>N25</f>
        <v>898.12999999999988</v>
      </c>
    </row>
    <row r="33" spans="1:14" ht="19.5" customHeight="1" x14ac:dyDescent="0.25">
      <c r="A33" s="451" t="s">
        <v>538</v>
      </c>
      <c r="B33" s="452"/>
      <c r="C33" s="452"/>
      <c r="D33" s="452"/>
      <c r="E33" s="453"/>
      <c r="F33" s="454">
        <f>SUM(F31:F32)</f>
        <v>4882.1499999999996</v>
      </c>
      <c r="G33" s="454">
        <f>SUM(G31:G32)</f>
        <v>3727.84</v>
      </c>
      <c r="H33" s="454">
        <f>SUM(H31:H32)</f>
        <v>3331.9399999999996</v>
      </c>
      <c r="I33" s="455" t="s">
        <v>538</v>
      </c>
      <c r="J33" s="452"/>
      <c r="K33" s="452"/>
      <c r="L33" s="452"/>
      <c r="M33" s="456"/>
      <c r="N33" s="457">
        <f>SUM(N31:N32)</f>
        <v>4441.2199999999993</v>
      </c>
    </row>
  </sheetData>
  <sheetProtection algorithmName="SHA-512" hashValue="1cjrvHM+8AIchVJNIn0OvMStq8O3fzZl/FPtZR2mLmpB8EeXoOxNHg397CoHXQ9F/qcvEQgavgA0D3kWG54mNQ==" saltValue="pK5A2OG5JO/m/JF7nXceYA==" spinCount="100000" sheet="1" objects="1" scenarios="1"/>
  <mergeCells count="49">
    <mergeCell ref="I25:L25"/>
    <mergeCell ref="A26:N26"/>
    <mergeCell ref="A27:N27"/>
    <mergeCell ref="F28:H28"/>
    <mergeCell ref="A31:D31"/>
    <mergeCell ref="I31:L31"/>
    <mergeCell ref="B22:D22"/>
    <mergeCell ref="J22:L22"/>
    <mergeCell ref="B23:D23"/>
    <mergeCell ref="J23:L23"/>
    <mergeCell ref="B24:D24"/>
    <mergeCell ref="J24:L24"/>
    <mergeCell ref="B19:D19"/>
    <mergeCell ref="J19:L19"/>
    <mergeCell ref="B20:D20"/>
    <mergeCell ref="J20:L20"/>
    <mergeCell ref="B21:D21"/>
    <mergeCell ref="J21:L21"/>
    <mergeCell ref="B17:D17"/>
    <mergeCell ref="F17:H17"/>
    <mergeCell ref="J17:L17"/>
    <mergeCell ref="B18:D18"/>
    <mergeCell ref="J18:L18"/>
    <mergeCell ref="B13:D13"/>
    <mergeCell ref="J13:L13"/>
    <mergeCell ref="B14:D14"/>
    <mergeCell ref="J14:L14"/>
    <mergeCell ref="A16:E16"/>
    <mergeCell ref="I16:M16"/>
    <mergeCell ref="A10:D10"/>
    <mergeCell ref="I10:L10"/>
    <mergeCell ref="A11:E11"/>
    <mergeCell ref="I11:M11"/>
    <mergeCell ref="F12:H12"/>
    <mergeCell ref="J12:L12"/>
    <mergeCell ref="B7:E7"/>
    <mergeCell ref="J7:M7"/>
    <mergeCell ref="B8:D8"/>
    <mergeCell ref="J8:L8"/>
    <mergeCell ref="B9:D9"/>
    <mergeCell ref="J9:L9"/>
    <mergeCell ref="A4:N4"/>
    <mergeCell ref="A5:D5"/>
    <mergeCell ref="E5:E6"/>
    <mergeCell ref="I5:L5"/>
    <mergeCell ref="M5:M6"/>
    <mergeCell ref="B6:D6"/>
    <mergeCell ref="F6:H6"/>
    <mergeCell ref="J6:L6"/>
  </mergeCells>
  <printOptions horizontalCentered="1" verticalCentered="1"/>
  <pageMargins left="0.51180555555555596" right="0.51180555555555596" top="0.78749999999999998" bottom="0.78749999999999998" header="0.511811023622047" footer="0.511811023622047"/>
  <pageSetup paperSize="9" scale="46" fitToHeight="2"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I23"/>
  <sheetViews>
    <sheetView showGridLines="0" view="pageBreakPreview" zoomScale="120" zoomScaleNormal="100" zoomScalePageLayoutView="120" workbookViewId="0"/>
  </sheetViews>
  <sheetFormatPr defaultColWidth="8.7109375" defaultRowHeight="15" x14ac:dyDescent="0.25"/>
  <cols>
    <col min="1" max="1" width="7.85546875" customWidth="1"/>
    <col min="2" max="2" width="7.28515625" customWidth="1"/>
    <col min="3" max="3" width="4.42578125" customWidth="1"/>
    <col min="4" max="4" width="7.5703125" customWidth="1"/>
    <col min="5" max="5" width="5.42578125" customWidth="1"/>
    <col min="6" max="6" width="8.28515625" customWidth="1"/>
    <col min="7" max="7" width="7.42578125" customWidth="1"/>
    <col min="8" max="8" width="3.28515625" customWidth="1"/>
    <col min="9" max="9" width="7.28515625" customWidth="1"/>
    <col min="10" max="10" width="4.42578125" customWidth="1"/>
    <col min="11" max="11" width="7.5703125" customWidth="1"/>
    <col min="12" max="12" width="5.42578125" customWidth="1"/>
    <col min="13" max="13" width="8.28515625" customWidth="1"/>
    <col min="14" max="14" width="7.42578125" customWidth="1"/>
    <col min="15" max="15" width="3" customWidth="1"/>
    <col min="16" max="16" width="7.28515625" customWidth="1"/>
    <col min="17" max="17" width="4.42578125" customWidth="1"/>
    <col min="18" max="18" width="7.5703125" customWidth="1"/>
    <col min="19" max="19" width="5.42578125" customWidth="1"/>
    <col min="20" max="20" width="8.28515625" customWidth="1"/>
    <col min="21" max="21" width="7.42578125" customWidth="1"/>
    <col min="22" max="22" width="3" customWidth="1"/>
    <col min="23" max="23" width="7.28515625" customWidth="1"/>
    <col min="24" max="24" width="4.42578125" customWidth="1"/>
    <col min="25" max="25" width="7.5703125" customWidth="1"/>
    <col min="26" max="26" width="5.42578125" customWidth="1"/>
    <col min="27" max="27" width="8.28515625" customWidth="1"/>
    <col min="28" max="28" width="7.42578125" customWidth="1"/>
    <col min="29" max="29" width="3" customWidth="1"/>
    <col min="30" max="30" width="7.28515625" customWidth="1"/>
    <col min="31" max="31" width="4.42578125" customWidth="1"/>
    <col min="257" max="257" width="1.42578125" customWidth="1"/>
    <col min="258" max="258" width="7.28515625" customWidth="1"/>
    <col min="259" max="259" width="4.42578125" customWidth="1"/>
    <col min="260" max="260" width="7.5703125" customWidth="1"/>
    <col min="261" max="261" width="5.42578125" customWidth="1"/>
    <col min="262" max="262" width="8.28515625" customWidth="1"/>
    <col min="263" max="263" width="7.42578125" customWidth="1"/>
    <col min="264" max="264" width="3.28515625" customWidth="1"/>
    <col min="265" max="265" width="7.28515625" customWidth="1"/>
    <col min="266" max="266" width="4.42578125" customWidth="1"/>
    <col min="267" max="267" width="7.5703125" customWidth="1"/>
    <col min="268" max="268" width="5.42578125" customWidth="1"/>
    <col min="269" max="269" width="8.28515625" customWidth="1"/>
    <col min="270" max="270" width="7.42578125" customWidth="1"/>
    <col min="271" max="271" width="3" customWidth="1"/>
    <col min="272" max="272" width="7.28515625" customWidth="1"/>
    <col min="273" max="273" width="4.42578125" customWidth="1"/>
    <col min="274" max="274" width="7.5703125" customWidth="1"/>
    <col min="275" max="275" width="5.42578125" customWidth="1"/>
    <col min="276" max="276" width="8.28515625" customWidth="1"/>
    <col min="277" max="277" width="7.42578125" customWidth="1"/>
    <col min="278" max="278" width="3" customWidth="1"/>
    <col min="279" max="279" width="7.28515625" customWidth="1"/>
    <col min="280" max="280" width="4.42578125" customWidth="1"/>
    <col min="281" max="281" width="7.5703125" customWidth="1"/>
    <col min="282" max="282" width="5.42578125" customWidth="1"/>
    <col min="283" max="283" width="8.28515625" customWidth="1"/>
    <col min="284" max="284" width="7.42578125" customWidth="1"/>
    <col min="285" max="285" width="3" customWidth="1"/>
    <col min="286" max="286" width="7.28515625" customWidth="1"/>
    <col min="287" max="287" width="4.42578125" customWidth="1"/>
    <col min="513" max="513" width="1.42578125" customWidth="1"/>
    <col min="514" max="514" width="7.28515625" customWidth="1"/>
    <col min="515" max="515" width="4.42578125" customWidth="1"/>
    <col min="516" max="516" width="7.5703125" customWidth="1"/>
    <col min="517" max="517" width="5.42578125" customWidth="1"/>
    <col min="518" max="518" width="8.28515625" customWidth="1"/>
    <col min="519" max="519" width="7.42578125" customWidth="1"/>
    <col min="520" max="520" width="3.28515625" customWidth="1"/>
    <col min="521" max="521" width="7.28515625" customWidth="1"/>
    <col min="522" max="522" width="4.42578125" customWidth="1"/>
    <col min="523" max="523" width="7.5703125" customWidth="1"/>
    <col min="524" max="524" width="5.42578125" customWidth="1"/>
    <col min="525" max="525" width="8.28515625" customWidth="1"/>
    <col min="526" max="526" width="7.42578125" customWidth="1"/>
    <col min="527" max="527" width="3" customWidth="1"/>
    <col min="528" max="528" width="7.28515625" customWidth="1"/>
    <col min="529" max="529" width="4.42578125" customWidth="1"/>
    <col min="530" max="530" width="7.5703125" customWidth="1"/>
    <col min="531" max="531" width="5.42578125" customWidth="1"/>
    <col min="532" max="532" width="8.28515625" customWidth="1"/>
    <col min="533" max="533" width="7.42578125" customWidth="1"/>
    <col min="534" max="534" width="3" customWidth="1"/>
    <col min="535" max="535" width="7.28515625" customWidth="1"/>
    <col min="536" max="536" width="4.42578125" customWidth="1"/>
    <col min="537" max="537" width="7.5703125" customWidth="1"/>
    <col min="538" max="538" width="5.42578125" customWidth="1"/>
    <col min="539" max="539" width="8.28515625" customWidth="1"/>
    <col min="540" max="540" width="7.42578125" customWidth="1"/>
    <col min="541" max="541" width="3" customWidth="1"/>
    <col min="542" max="542" width="7.28515625" customWidth="1"/>
    <col min="543" max="543" width="4.42578125" customWidth="1"/>
    <col min="769" max="769" width="1.42578125" customWidth="1"/>
    <col min="770" max="770" width="7.28515625" customWidth="1"/>
    <col min="771" max="771" width="4.42578125" customWidth="1"/>
    <col min="772" max="772" width="7.5703125" customWidth="1"/>
    <col min="773" max="773" width="5.42578125" customWidth="1"/>
    <col min="774" max="774" width="8.28515625" customWidth="1"/>
    <col min="775" max="775" width="7.42578125" customWidth="1"/>
    <col min="776" max="776" width="3.28515625" customWidth="1"/>
    <col min="777" max="777" width="7.28515625" customWidth="1"/>
    <col min="778" max="778" width="4.42578125" customWidth="1"/>
    <col min="779" max="779" width="7.5703125" customWidth="1"/>
    <col min="780" max="780" width="5.42578125" customWidth="1"/>
    <col min="781" max="781" width="8.28515625" customWidth="1"/>
    <col min="782" max="782" width="7.42578125" customWidth="1"/>
    <col min="783" max="783" width="3" customWidth="1"/>
    <col min="784" max="784" width="7.28515625" customWidth="1"/>
    <col min="785" max="785" width="4.42578125" customWidth="1"/>
    <col min="786" max="786" width="7.5703125" customWidth="1"/>
    <col min="787" max="787" width="5.42578125" customWidth="1"/>
    <col min="788" max="788" width="8.28515625" customWidth="1"/>
    <col min="789" max="789" width="7.42578125" customWidth="1"/>
    <col min="790" max="790" width="3" customWidth="1"/>
    <col min="791" max="791" width="7.28515625" customWidth="1"/>
    <col min="792" max="792" width="4.42578125" customWidth="1"/>
    <col min="793" max="793" width="7.5703125" customWidth="1"/>
    <col min="794" max="794" width="5.42578125" customWidth="1"/>
    <col min="795" max="795" width="8.28515625" customWidth="1"/>
    <col min="796" max="796" width="7.42578125" customWidth="1"/>
    <col min="797" max="797" width="3" customWidth="1"/>
    <col min="798" max="798" width="7.28515625" customWidth="1"/>
    <col min="799" max="799" width="4.42578125" customWidth="1"/>
  </cols>
  <sheetData>
    <row r="1" spans="1:35" x14ac:dyDescent="0.25">
      <c r="A1" s="95"/>
      <c r="B1" s="95" t="s">
        <v>77</v>
      </c>
    </row>
    <row r="2" spans="1:35" x14ac:dyDescent="0.25">
      <c r="A2" s="95"/>
      <c r="B2" s="95" t="s">
        <v>78</v>
      </c>
    </row>
    <row r="3" spans="1:35" x14ac:dyDescent="0.25">
      <c r="A3" s="263"/>
      <c r="B3" s="66" t="s">
        <v>539</v>
      </c>
    </row>
    <row r="4" spans="1:35" ht="6" customHeight="1" x14ac:dyDescent="0.25"/>
    <row r="5" spans="1:35" ht="6" customHeight="1" x14ac:dyDescent="0.25"/>
    <row r="6" spans="1:35" ht="15.75" customHeight="1" x14ac:dyDescent="0.25">
      <c r="B6" s="613" t="s">
        <v>232</v>
      </c>
      <c r="C6" s="613"/>
      <c r="D6" s="613"/>
      <c r="E6" s="613"/>
      <c r="F6" s="613"/>
      <c r="G6" s="613"/>
      <c r="I6" s="613" t="s">
        <v>233</v>
      </c>
      <c r="J6" s="613"/>
      <c r="K6" s="613"/>
      <c r="L6" s="613"/>
      <c r="M6" s="613"/>
      <c r="N6" s="613"/>
      <c r="P6" s="613" t="s">
        <v>234</v>
      </c>
      <c r="Q6" s="613"/>
      <c r="R6" s="613"/>
      <c r="S6" s="613"/>
      <c r="T6" s="613"/>
      <c r="U6" s="613"/>
      <c r="W6" s="613" t="s">
        <v>235</v>
      </c>
      <c r="X6" s="613"/>
      <c r="Y6" s="613"/>
      <c r="Z6" s="613"/>
      <c r="AA6" s="613"/>
      <c r="AB6" s="613"/>
      <c r="AD6" s="613" t="s">
        <v>236</v>
      </c>
      <c r="AE6" s="613"/>
      <c r="AF6" s="613"/>
      <c r="AG6" s="613"/>
      <c r="AH6" s="613"/>
      <c r="AI6" s="613"/>
    </row>
    <row r="7" spans="1:35" x14ac:dyDescent="0.25">
      <c r="B7" s="458" t="s">
        <v>540</v>
      </c>
      <c r="C7" s="614"/>
      <c r="D7" s="614"/>
      <c r="E7" s="614"/>
      <c r="F7" s="614"/>
      <c r="G7" s="614"/>
      <c r="I7" s="458" t="s">
        <v>540</v>
      </c>
      <c r="J7" s="614"/>
      <c r="K7" s="614"/>
      <c r="L7" s="614"/>
      <c r="M7" s="614"/>
      <c r="N7" s="614"/>
      <c r="P7" s="458" t="s">
        <v>540</v>
      </c>
      <c r="Q7" s="614"/>
      <c r="R7" s="614"/>
      <c r="S7" s="614"/>
      <c r="T7" s="614"/>
      <c r="U7" s="614"/>
      <c r="W7" s="458" t="s">
        <v>540</v>
      </c>
      <c r="X7" s="614"/>
      <c r="Y7" s="614"/>
      <c r="Z7" s="614"/>
      <c r="AA7" s="614"/>
      <c r="AB7" s="614"/>
      <c r="AD7" s="458" t="s">
        <v>540</v>
      </c>
      <c r="AE7" s="614"/>
      <c r="AF7" s="614"/>
      <c r="AG7" s="614"/>
      <c r="AH7" s="614"/>
      <c r="AI7" s="614"/>
    </row>
    <row r="8" spans="1:35" ht="25.5" customHeight="1" x14ac:dyDescent="0.25">
      <c r="B8" s="534" t="s">
        <v>541</v>
      </c>
      <c r="C8" s="534"/>
      <c r="D8" s="201" t="s">
        <v>542</v>
      </c>
      <c r="E8" s="201" t="s">
        <v>543</v>
      </c>
      <c r="F8" s="201" t="s">
        <v>544</v>
      </c>
      <c r="G8" s="201" t="s">
        <v>545</v>
      </c>
      <c r="I8" s="534" t="s">
        <v>541</v>
      </c>
      <c r="J8" s="534"/>
      <c r="K8" s="201" t="s">
        <v>542</v>
      </c>
      <c r="L8" s="201" t="s">
        <v>543</v>
      </c>
      <c r="M8" s="201" t="s">
        <v>544</v>
      </c>
      <c r="N8" s="201" t="s">
        <v>545</v>
      </c>
      <c r="P8" s="534" t="s">
        <v>541</v>
      </c>
      <c r="Q8" s="534"/>
      <c r="R8" s="201" t="s">
        <v>542</v>
      </c>
      <c r="S8" s="201" t="s">
        <v>543</v>
      </c>
      <c r="T8" s="201" t="s">
        <v>544</v>
      </c>
      <c r="U8" s="201" t="s">
        <v>545</v>
      </c>
      <c r="W8" s="534" t="s">
        <v>541</v>
      </c>
      <c r="X8" s="534"/>
      <c r="Y8" s="201" t="s">
        <v>542</v>
      </c>
      <c r="Z8" s="201" t="s">
        <v>543</v>
      </c>
      <c r="AA8" s="201" t="s">
        <v>544</v>
      </c>
      <c r="AB8" s="201" t="s">
        <v>545</v>
      </c>
      <c r="AD8" s="534" t="s">
        <v>541</v>
      </c>
      <c r="AE8" s="534"/>
      <c r="AF8" s="201" t="s">
        <v>542</v>
      </c>
      <c r="AG8" s="201" t="s">
        <v>543</v>
      </c>
      <c r="AH8" s="201" t="s">
        <v>544</v>
      </c>
      <c r="AI8" s="201" t="s">
        <v>545</v>
      </c>
    </row>
    <row r="9" spans="1:35" x14ac:dyDescent="0.25">
      <c r="B9" s="459" t="s">
        <v>546</v>
      </c>
      <c r="C9" s="459" t="s">
        <v>547</v>
      </c>
      <c r="D9" s="459" t="s">
        <v>548</v>
      </c>
      <c r="E9" s="459"/>
      <c r="F9" s="459" t="s">
        <v>549</v>
      </c>
      <c r="G9" s="460">
        <v>100</v>
      </c>
      <c r="I9" s="459" t="s">
        <v>546</v>
      </c>
      <c r="J9" s="459" t="s">
        <v>547</v>
      </c>
      <c r="K9" s="459" t="s">
        <v>548</v>
      </c>
      <c r="L9" s="459"/>
      <c r="M9" s="459" t="s">
        <v>549</v>
      </c>
      <c r="N9" s="460">
        <v>100</v>
      </c>
      <c r="P9" s="459" t="s">
        <v>546</v>
      </c>
      <c r="Q9" s="459" t="s">
        <v>547</v>
      </c>
      <c r="R9" s="459" t="s">
        <v>548</v>
      </c>
      <c r="S9" s="459"/>
      <c r="T9" s="459" t="s">
        <v>549</v>
      </c>
      <c r="U9" s="460">
        <v>100</v>
      </c>
      <c r="W9" s="459" t="s">
        <v>546</v>
      </c>
      <c r="X9" s="459" t="s">
        <v>547</v>
      </c>
      <c r="Y9" s="459" t="s">
        <v>548</v>
      </c>
      <c r="Z9" s="459"/>
      <c r="AA9" s="459" t="s">
        <v>549</v>
      </c>
      <c r="AB9" s="460">
        <v>100</v>
      </c>
      <c r="AD9" s="459" t="s">
        <v>546</v>
      </c>
      <c r="AE9" s="459" t="s">
        <v>547</v>
      </c>
      <c r="AF9" s="459" t="s">
        <v>548</v>
      </c>
      <c r="AG9" s="459"/>
      <c r="AH9" s="459" t="s">
        <v>549</v>
      </c>
      <c r="AI9" s="460">
        <v>100</v>
      </c>
    </row>
    <row r="10" spans="1:35" x14ac:dyDescent="0.25">
      <c r="B10" s="459">
        <v>2023</v>
      </c>
      <c r="C10" s="461" t="s">
        <v>550</v>
      </c>
      <c r="D10" s="462"/>
      <c r="E10" s="463">
        <v>25</v>
      </c>
      <c r="F10" s="462">
        <f t="shared" ref="F10:F22" si="0">D10/30*E10</f>
        <v>0</v>
      </c>
      <c r="G10" s="464">
        <f t="shared" ref="G10:G22" si="1">(G9*F10)+G9</f>
        <v>100</v>
      </c>
      <c r="I10" s="459">
        <f t="shared" ref="I10:I22" si="2">B10+1</f>
        <v>2024</v>
      </c>
      <c r="J10" s="461" t="str">
        <f>$C$10</f>
        <v>AGO</v>
      </c>
      <c r="K10" s="462"/>
      <c r="L10" s="463">
        <f>$E$10</f>
        <v>25</v>
      </c>
      <c r="M10" s="462">
        <f t="shared" ref="M10:M22" si="3">K10/30*L10</f>
        <v>0</v>
      </c>
      <c r="N10" s="464">
        <f t="shared" ref="N10:N22" si="4">(N9*M10)+N9</f>
        <v>100</v>
      </c>
      <c r="P10" s="459">
        <f t="shared" ref="P10:P22" si="5">I10+1</f>
        <v>2025</v>
      </c>
      <c r="Q10" s="461" t="str">
        <f>$C$10</f>
        <v>AGO</v>
      </c>
      <c r="R10" s="462"/>
      <c r="S10" s="463">
        <f>$E$10</f>
        <v>25</v>
      </c>
      <c r="T10" s="462">
        <f t="shared" ref="T10:T22" si="6">R10/30*S10</f>
        <v>0</v>
      </c>
      <c r="U10" s="464">
        <f t="shared" ref="U10:U22" si="7">(U9*T10)+U9</f>
        <v>100</v>
      </c>
      <c r="W10" s="459">
        <f t="shared" ref="W10:W22" si="8">P10+1</f>
        <v>2026</v>
      </c>
      <c r="X10" s="461" t="str">
        <f>$C$10</f>
        <v>AGO</v>
      </c>
      <c r="Y10" s="462"/>
      <c r="Z10" s="463">
        <f>$E$10</f>
        <v>25</v>
      </c>
      <c r="AA10" s="462">
        <f t="shared" ref="AA10:AA22" si="9">Y10/30*Z10</f>
        <v>0</v>
      </c>
      <c r="AB10" s="464">
        <f t="shared" ref="AB10:AB22" si="10">(AB9*AA10)+AB9</f>
        <v>100</v>
      </c>
      <c r="AD10" s="459">
        <f t="shared" ref="AD10:AD22" si="11">W10+1</f>
        <v>2027</v>
      </c>
      <c r="AE10" s="461" t="str">
        <f>$C$10</f>
        <v>AGO</v>
      </c>
      <c r="AF10" s="462"/>
      <c r="AG10" s="463">
        <f>$E$10</f>
        <v>25</v>
      </c>
      <c r="AH10" s="462">
        <f t="shared" ref="AH10:AH22" si="12">AF10/30*AG10</f>
        <v>0</v>
      </c>
      <c r="AI10" s="464">
        <f t="shared" ref="AI10:AI22" si="13">(AI9*AH10)+AI9</f>
        <v>100</v>
      </c>
    </row>
    <row r="11" spans="1:35" x14ac:dyDescent="0.25">
      <c r="B11" s="459">
        <v>2023</v>
      </c>
      <c r="C11" s="461" t="s">
        <v>551</v>
      </c>
      <c r="D11" s="462"/>
      <c r="E11" s="463"/>
      <c r="F11" s="462">
        <f t="shared" si="0"/>
        <v>0</v>
      </c>
      <c r="G11" s="464">
        <f t="shared" si="1"/>
        <v>100</v>
      </c>
      <c r="I11" s="459">
        <f t="shared" si="2"/>
        <v>2024</v>
      </c>
      <c r="J11" s="461" t="str">
        <f>$C$11</f>
        <v>SET</v>
      </c>
      <c r="K11" s="462"/>
      <c r="L11" s="463"/>
      <c r="M11" s="462">
        <f t="shared" si="3"/>
        <v>0</v>
      </c>
      <c r="N11" s="464">
        <f t="shared" si="4"/>
        <v>100</v>
      </c>
      <c r="P11" s="459">
        <f t="shared" si="5"/>
        <v>2025</v>
      </c>
      <c r="Q11" s="461" t="str">
        <f>$C$11</f>
        <v>SET</v>
      </c>
      <c r="R11" s="462"/>
      <c r="S11" s="463"/>
      <c r="T11" s="462">
        <f t="shared" si="6"/>
        <v>0</v>
      </c>
      <c r="U11" s="464">
        <f t="shared" si="7"/>
        <v>100</v>
      </c>
      <c r="W11" s="459">
        <f t="shared" si="8"/>
        <v>2026</v>
      </c>
      <c r="X11" s="461" t="str">
        <f>$C$11</f>
        <v>SET</v>
      </c>
      <c r="Y11" s="462"/>
      <c r="Z11" s="463"/>
      <c r="AA11" s="462">
        <f t="shared" si="9"/>
        <v>0</v>
      </c>
      <c r="AB11" s="464">
        <f t="shared" si="10"/>
        <v>100</v>
      </c>
      <c r="AD11" s="459">
        <f t="shared" si="11"/>
        <v>2027</v>
      </c>
      <c r="AE11" s="461" t="str">
        <f>$C$11</f>
        <v>SET</v>
      </c>
      <c r="AF11" s="462"/>
      <c r="AG11" s="463"/>
      <c r="AH11" s="462">
        <f t="shared" si="12"/>
        <v>0</v>
      </c>
      <c r="AI11" s="464">
        <f t="shared" si="13"/>
        <v>100</v>
      </c>
    </row>
    <row r="12" spans="1:35" x14ac:dyDescent="0.25">
      <c r="B12" s="459">
        <v>2023</v>
      </c>
      <c r="C12" s="461" t="s">
        <v>552</v>
      </c>
      <c r="D12" s="462"/>
      <c r="E12" s="463"/>
      <c r="F12" s="462">
        <f t="shared" si="0"/>
        <v>0</v>
      </c>
      <c r="G12" s="464">
        <f t="shared" si="1"/>
        <v>100</v>
      </c>
      <c r="I12" s="459">
        <f t="shared" si="2"/>
        <v>2024</v>
      </c>
      <c r="J12" s="461" t="str">
        <f>$C$12</f>
        <v>OUT</v>
      </c>
      <c r="K12" s="462"/>
      <c r="L12" s="463"/>
      <c r="M12" s="462">
        <f t="shared" si="3"/>
        <v>0</v>
      </c>
      <c r="N12" s="464">
        <f t="shared" si="4"/>
        <v>100</v>
      </c>
      <c r="P12" s="459">
        <f t="shared" si="5"/>
        <v>2025</v>
      </c>
      <c r="Q12" s="461" t="str">
        <f>$C$12</f>
        <v>OUT</v>
      </c>
      <c r="R12" s="462"/>
      <c r="S12" s="463"/>
      <c r="T12" s="462">
        <f t="shared" si="6"/>
        <v>0</v>
      </c>
      <c r="U12" s="464">
        <f t="shared" si="7"/>
        <v>100</v>
      </c>
      <c r="W12" s="459">
        <f t="shared" si="8"/>
        <v>2026</v>
      </c>
      <c r="X12" s="461" t="str">
        <f>$C$12</f>
        <v>OUT</v>
      </c>
      <c r="Y12" s="462"/>
      <c r="Z12" s="463"/>
      <c r="AA12" s="462">
        <f t="shared" si="9"/>
        <v>0</v>
      </c>
      <c r="AB12" s="464">
        <f t="shared" si="10"/>
        <v>100</v>
      </c>
      <c r="AD12" s="459">
        <f t="shared" si="11"/>
        <v>2027</v>
      </c>
      <c r="AE12" s="461" t="str">
        <f>$C$12</f>
        <v>OUT</v>
      </c>
      <c r="AF12" s="462"/>
      <c r="AG12" s="463"/>
      <c r="AH12" s="462">
        <f t="shared" si="12"/>
        <v>0</v>
      </c>
      <c r="AI12" s="464">
        <f t="shared" si="13"/>
        <v>100</v>
      </c>
    </row>
    <row r="13" spans="1:35" x14ac:dyDescent="0.25">
      <c r="B13" s="459">
        <v>2023</v>
      </c>
      <c r="C13" s="461" t="s">
        <v>553</v>
      </c>
      <c r="D13" s="462"/>
      <c r="E13" s="463"/>
      <c r="F13" s="462">
        <f t="shared" si="0"/>
        <v>0</v>
      </c>
      <c r="G13" s="464">
        <f t="shared" si="1"/>
        <v>100</v>
      </c>
      <c r="I13" s="459">
        <f t="shared" si="2"/>
        <v>2024</v>
      </c>
      <c r="J13" s="461" t="str">
        <f>$C$13</f>
        <v>NOV</v>
      </c>
      <c r="K13" s="462"/>
      <c r="L13" s="463"/>
      <c r="M13" s="462">
        <f t="shared" si="3"/>
        <v>0</v>
      </c>
      <c r="N13" s="464">
        <f t="shared" si="4"/>
        <v>100</v>
      </c>
      <c r="P13" s="459">
        <f t="shared" si="5"/>
        <v>2025</v>
      </c>
      <c r="Q13" s="461" t="str">
        <f>$C$13</f>
        <v>NOV</v>
      </c>
      <c r="R13" s="462"/>
      <c r="S13" s="463"/>
      <c r="T13" s="462">
        <f t="shared" si="6"/>
        <v>0</v>
      </c>
      <c r="U13" s="464">
        <f t="shared" si="7"/>
        <v>100</v>
      </c>
      <c r="W13" s="459">
        <f t="shared" si="8"/>
        <v>2026</v>
      </c>
      <c r="X13" s="461" t="str">
        <f>$C$13</f>
        <v>NOV</v>
      </c>
      <c r="Y13" s="462"/>
      <c r="Z13" s="463"/>
      <c r="AA13" s="462">
        <f t="shared" si="9"/>
        <v>0</v>
      </c>
      <c r="AB13" s="464">
        <f t="shared" si="10"/>
        <v>100</v>
      </c>
      <c r="AD13" s="459">
        <f t="shared" si="11"/>
        <v>2027</v>
      </c>
      <c r="AE13" s="461" t="str">
        <f>$C$13</f>
        <v>NOV</v>
      </c>
      <c r="AF13" s="462"/>
      <c r="AG13" s="463"/>
      <c r="AH13" s="462">
        <f t="shared" si="12"/>
        <v>0</v>
      </c>
      <c r="AI13" s="464">
        <f t="shared" si="13"/>
        <v>100</v>
      </c>
    </row>
    <row r="14" spans="1:35" x14ac:dyDescent="0.25">
      <c r="B14" s="459">
        <v>2023</v>
      </c>
      <c r="C14" s="461" t="s">
        <v>554</v>
      </c>
      <c r="D14" s="462"/>
      <c r="E14" s="463"/>
      <c r="F14" s="462">
        <f t="shared" si="0"/>
        <v>0</v>
      </c>
      <c r="G14" s="464">
        <f t="shared" si="1"/>
        <v>100</v>
      </c>
      <c r="I14" s="459">
        <f t="shared" si="2"/>
        <v>2024</v>
      </c>
      <c r="J14" s="461" t="str">
        <f>$C$14</f>
        <v>DEZ</v>
      </c>
      <c r="K14" s="462"/>
      <c r="L14" s="463"/>
      <c r="M14" s="462">
        <f t="shared" si="3"/>
        <v>0</v>
      </c>
      <c r="N14" s="464">
        <f t="shared" si="4"/>
        <v>100</v>
      </c>
      <c r="P14" s="459">
        <f t="shared" si="5"/>
        <v>2025</v>
      </c>
      <c r="Q14" s="461" t="str">
        <f>$C$14</f>
        <v>DEZ</v>
      </c>
      <c r="R14" s="462"/>
      <c r="S14" s="463"/>
      <c r="T14" s="462">
        <f t="shared" si="6"/>
        <v>0</v>
      </c>
      <c r="U14" s="464">
        <f t="shared" si="7"/>
        <v>100</v>
      </c>
      <c r="W14" s="459">
        <f t="shared" si="8"/>
        <v>2026</v>
      </c>
      <c r="X14" s="461" t="str">
        <f>$C$14</f>
        <v>DEZ</v>
      </c>
      <c r="Y14" s="462"/>
      <c r="Z14" s="463"/>
      <c r="AA14" s="462">
        <f t="shared" si="9"/>
        <v>0</v>
      </c>
      <c r="AB14" s="464">
        <f t="shared" si="10"/>
        <v>100</v>
      </c>
      <c r="AD14" s="459">
        <f t="shared" si="11"/>
        <v>2027</v>
      </c>
      <c r="AE14" s="461" t="str">
        <f>$C$14</f>
        <v>DEZ</v>
      </c>
      <c r="AF14" s="462"/>
      <c r="AG14" s="463"/>
      <c r="AH14" s="462">
        <f t="shared" si="12"/>
        <v>0</v>
      </c>
      <c r="AI14" s="464">
        <f t="shared" si="13"/>
        <v>100</v>
      </c>
    </row>
    <row r="15" spans="1:35" x14ac:dyDescent="0.25">
      <c r="B15" s="459">
        <v>2023</v>
      </c>
      <c r="C15" s="461" t="s">
        <v>554</v>
      </c>
      <c r="D15" s="462"/>
      <c r="E15" s="463"/>
      <c r="F15" s="462">
        <f t="shared" si="0"/>
        <v>0</v>
      </c>
      <c r="G15" s="464">
        <f t="shared" si="1"/>
        <v>100</v>
      </c>
      <c r="I15" s="459">
        <f t="shared" si="2"/>
        <v>2024</v>
      </c>
      <c r="J15" s="461" t="str">
        <f>$C$15</f>
        <v>DEZ</v>
      </c>
      <c r="K15" s="462"/>
      <c r="L15" s="463"/>
      <c r="M15" s="462">
        <f t="shared" si="3"/>
        <v>0</v>
      </c>
      <c r="N15" s="464">
        <f t="shared" si="4"/>
        <v>100</v>
      </c>
      <c r="P15" s="459">
        <f t="shared" si="5"/>
        <v>2025</v>
      </c>
      <c r="Q15" s="461" t="str">
        <f>$C$15</f>
        <v>DEZ</v>
      </c>
      <c r="R15" s="462"/>
      <c r="S15" s="463"/>
      <c r="T15" s="462">
        <f t="shared" si="6"/>
        <v>0</v>
      </c>
      <c r="U15" s="464">
        <f t="shared" si="7"/>
        <v>100</v>
      </c>
      <c r="W15" s="459">
        <f t="shared" si="8"/>
        <v>2026</v>
      </c>
      <c r="X15" s="461" t="str">
        <f>$C$15</f>
        <v>DEZ</v>
      </c>
      <c r="Y15" s="462"/>
      <c r="Z15" s="463"/>
      <c r="AA15" s="462">
        <f t="shared" si="9"/>
        <v>0</v>
      </c>
      <c r="AB15" s="464">
        <f t="shared" si="10"/>
        <v>100</v>
      </c>
      <c r="AD15" s="459">
        <f t="shared" si="11"/>
        <v>2027</v>
      </c>
      <c r="AE15" s="461" t="str">
        <f>$C$15</f>
        <v>DEZ</v>
      </c>
      <c r="AF15" s="462"/>
      <c r="AG15" s="463"/>
      <c r="AH15" s="462">
        <f t="shared" si="12"/>
        <v>0</v>
      </c>
      <c r="AI15" s="464">
        <f t="shared" si="13"/>
        <v>100</v>
      </c>
    </row>
    <row r="16" spans="1:35" x14ac:dyDescent="0.25">
      <c r="B16" s="459">
        <v>2024</v>
      </c>
      <c r="C16" s="465" t="s">
        <v>555</v>
      </c>
      <c r="D16" s="466"/>
      <c r="E16" s="467"/>
      <c r="F16" s="462">
        <f t="shared" si="0"/>
        <v>0</v>
      </c>
      <c r="G16" s="464">
        <f t="shared" si="1"/>
        <v>100</v>
      </c>
      <c r="I16" s="459">
        <f t="shared" si="2"/>
        <v>2025</v>
      </c>
      <c r="J16" s="461" t="str">
        <f>$C$16</f>
        <v>JAN</v>
      </c>
      <c r="K16" s="466"/>
      <c r="L16" s="463"/>
      <c r="M16" s="462">
        <f t="shared" si="3"/>
        <v>0</v>
      </c>
      <c r="N16" s="464">
        <f t="shared" si="4"/>
        <v>100</v>
      </c>
      <c r="P16" s="459">
        <f t="shared" si="5"/>
        <v>2026</v>
      </c>
      <c r="Q16" s="461" t="str">
        <f>$C$16</f>
        <v>JAN</v>
      </c>
      <c r="R16" s="466"/>
      <c r="S16" s="463"/>
      <c r="T16" s="462">
        <f t="shared" si="6"/>
        <v>0</v>
      </c>
      <c r="U16" s="464">
        <f t="shared" si="7"/>
        <v>100</v>
      </c>
      <c r="W16" s="459">
        <f t="shared" si="8"/>
        <v>2027</v>
      </c>
      <c r="X16" s="461" t="str">
        <f>$C$16</f>
        <v>JAN</v>
      </c>
      <c r="Y16" s="466"/>
      <c r="Z16" s="463"/>
      <c r="AA16" s="462">
        <f t="shared" si="9"/>
        <v>0</v>
      </c>
      <c r="AB16" s="464">
        <f t="shared" si="10"/>
        <v>100</v>
      </c>
      <c r="AD16" s="459">
        <f t="shared" si="11"/>
        <v>2028</v>
      </c>
      <c r="AE16" s="461" t="str">
        <f>$C$16</f>
        <v>JAN</v>
      </c>
      <c r="AF16" s="466"/>
      <c r="AG16" s="463"/>
      <c r="AH16" s="462">
        <f t="shared" si="12"/>
        <v>0</v>
      </c>
      <c r="AI16" s="464">
        <f t="shared" si="13"/>
        <v>100</v>
      </c>
    </row>
    <row r="17" spans="2:35" x14ac:dyDescent="0.25">
      <c r="B17" s="459">
        <v>2024</v>
      </c>
      <c r="C17" s="461" t="s">
        <v>556</v>
      </c>
      <c r="D17" s="462"/>
      <c r="E17" s="463"/>
      <c r="F17" s="462">
        <f t="shared" si="0"/>
        <v>0</v>
      </c>
      <c r="G17" s="464">
        <f t="shared" si="1"/>
        <v>100</v>
      </c>
      <c r="I17" s="459">
        <f t="shared" si="2"/>
        <v>2025</v>
      </c>
      <c r="J17" s="461" t="str">
        <f>$C$17</f>
        <v>FEV</v>
      </c>
      <c r="K17" s="462"/>
      <c r="L17" s="463"/>
      <c r="M17" s="462">
        <f t="shared" si="3"/>
        <v>0</v>
      </c>
      <c r="N17" s="464">
        <f t="shared" si="4"/>
        <v>100</v>
      </c>
      <c r="P17" s="459">
        <f t="shared" si="5"/>
        <v>2026</v>
      </c>
      <c r="Q17" s="461" t="str">
        <f>$C$17</f>
        <v>FEV</v>
      </c>
      <c r="R17" s="462"/>
      <c r="S17" s="463"/>
      <c r="T17" s="462">
        <f t="shared" si="6"/>
        <v>0</v>
      </c>
      <c r="U17" s="464">
        <f t="shared" si="7"/>
        <v>100</v>
      </c>
      <c r="W17" s="459">
        <f t="shared" si="8"/>
        <v>2027</v>
      </c>
      <c r="X17" s="461" t="str">
        <f>$C$17</f>
        <v>FEV</v>
      </c>
      <c r="Y17" s="462"/>
      <c r="Z17" s="463"/>
      <c r="AA17" s="462">
        <f t="shared" si="9"/>
        <v>0</v>
      </c>
      <c r="AB17" s="464">
        <f t="shared" si="10"/>
        <v>100</v>
      </c>
      <c r="AD17" s="459">
        <f t="shared" si="11"/>
        <v>2028</v>
      </c>
      <c r="AE17" s="461" t="str">
        <f>$C$17</f>
        <v>FEV</v>
      </c>
      <c r="AF17" s="462"/>
      <c r="AG17" s="463"/>
      <c r="AH17" s="462">
        <f t="shared" si="12"/>
        <v>0</v>
      </c>
      <c r="AI17" s="464">
        <f t="shared" si="13"/>
        <v>100</v>
      </c>
    </row>
    <row r="18" spans="2:35" x14ac:dyDescent="0.25">
      <c r="B18" s="459">
        <v>2024</v>
      </c>
      <c r="C18" s="465" t="s">
        <v>557</v>
      </c>
      <c r="D18" s="462"/>
      <c r="E18" s="463"/>
      <c r="F18" s="462">
        <f t="shared" si="0"/>
        <v>0</v>
      </c>
      <c r="G18" s="464">
        <f t="shared" si="1"/>
        <v>100</v>
      </c>
      <c r="I18" s="459">
        <f t="shared" si="2"/>
        <v>2025</v>
      </c>
      <c r="J18" s="461" t="str">
        <f>$C$18</f>
        <v>MAR</v>
      </c>
      <c r="K18" s="462"/>
      <c r="L18" s="463"/>
      <c r="M18" s="462">
        <f t="shared" si="3"/>
        <v>0</v>
      </c>
      <c r="N18" s="464">
        <f t="shared" si="4"/>
        <v>100</v>
      </c>
      <c r="P18" s="459">
        <f t="shared" si="5"/>
        <v>2026</v>
      </c>
      <c r="Q18" s="461" t="str">
        <f>$C$18</f>
        <v>MAR</v>
      </c>
      <c r="R18" s="462"/>
      <c r="S18" s="463"/>
      <c r="T18" s="462">
        <f t="shared" si="6"/>
        <v>0</v>
      </c>
      <c r="U18" s="464">
        <f t="shared" si="7"/>
        <v>100</v>
      </c>
      <c r="W18" s="459">
        <f t="shared" si="8"/>
        <v>2027</v>
      </c>
      <c r="X18" s="461" t="str">
        <f>$C$18</f>
        <v>MAR</v>
      </c>
      <c r="Y18" s="462"/>
      <c r="Z18" s="463"/>
      <c r="AA18" s="462">
        <f t="shared" si="9"/>
        <v>0</v>
      </c>
      <c r="AB18" s="464">
        <f t="shared" si="10"/>
        <v>100</v>
      </c>
      <c r="AD18" s="459">
        <f t="shared" si="11"/>
        <v>2028</v>
      </c>
      <c r="AE18" s="461" t="str">
        <f>$C$18</f>
        <v>MAR</v>
      </c>
      <c r="AF18" s="462"/>
      <c r="AG18" s="463"/>
      <c r="AH18" s="462">
        <f t="shared" si="12"/>
        <v>0</v>
      </c>
      <c r="AI18" s="464">
        <f t="shared" si="13"/>
        <v>100</v>
      </c>
    </row>
    <row r="19" spans="2:35" x14ac:dyDescent="0.25">
      <c r="B19" s="459">
        <v>2024</v>
      </c>
      <c r="C19" s="461" t="s">
        <v>558</v>
      </c>
      <c r="D19" s="462"/>
      <c r="E19" s="463"/>
      <c r="F19" s="462">
        <f t="shared" si="0"/>
        <v>0</v>
      </c>
      <c r="G19" s="464">
        <f t="shared" si="1"/>
        <v>100</v>
      </c>
      <c r="I19" s="459">
        <f t="shared" si="2"/>
        <v>2025</v>
      </c>
      <c r="J19" s="461" t="str">
        <f>$C$19</f>
        <v>ABR</v>
      </c>
      <c r="K19" s="462"/>
      <c r="L19" s="463"/>
      <c r="M19" s="462">
        <f t="shared" si="3"/>
        <v>0</v>
      </c>
      <c r="N19" s="464">
        <f t="shared" si="4"/>
        <v>100</v>
      </c>
      <c r="P19" s="459">
        <f t="shared" si="5"/>
        <v>2026</v>
      </c>
      <c r="Q19" s="461" t="str">
        <f>$C$19</f>
        <v>ABR</v>
      </c>
      <c r="R19" s="462"/>
      <c r="S19" s="463"/>
      <c r="T19" s="462">
        <f t="shared" si="6"/>
        <v>0</v>
      </c>
      <c r="U19" s="464">
        <f t="shared" si="7"/>
        <v>100</v>
      </c>
      <c r="W19" s="459">
        <f t="shared" si="8"/>
        <v>2027</v>
      </c>
      <c r="X19" s="461" t="str">
        <f>$C$19</f>
        <v>ABR</v>
      </c>
      <c r="Y19" s="462"/>
      <c r="Z19" s="463"/>
      <c r="AA19" s="462">
        <f t="shared" si="9"/>
        <v>0</v>
      </c>
      <c r="AB19" s="464">
        <f t="shared" si="10"/>
        <v>100</v>
      </c>
      <c r="AD19" s="459">
        <f t="shared" si="11"/>
        <v>2028</v>
      </c>
      <c r="AE19" s="461" t="str">
        <f>$C$19</f>
        <v>ABR</v>
      </c>
      <c r="AF19" s="462"/>
      <c r="AG19" s="463"/>
      <c r="AH19" s="462">
        <f t="shared" si="12"/>
        <v>0</v>
      </c>
      <c r="AI19" s="464">
        <f t="shared" si="13"/>
        <v>100</v>
      </c>
    </row>
    <row r="20" spans="2:35" x14ac:dyDescent="0.25">
      <c r="B20" s="459">
        <v>2024</v>
      </c>
      <c r="C20" s="465" t="s">
        <v>559</v>
      </c>
      <c r="D20" s="462"/>
      <c r="E20" s="463"/>
      <c r="F20" s="462">
        <f t="shared" si="0"/>
        <v>0</v>
      </c>
      <c r="G20" s="464">
        <f t="shared" si="1"/>
        <v>100</v>
      </c>
      <c r="I20" s="459">
        <f t="shared" si="2"/>
        <v>2025</v>
      </c>
      <c r="J20" s="461" t="str">
        <f>$C$20</f>
        <v>MAI</v>
      </c>
      <c r="K20" s="462"/>
      <c r="L20" s="463"/>
      <c r="M20" s="462">
        <f t="shared" si="3"/>
        <v>0</v>
      </c>
      <c r="N20" s="464">
        <f t="shared" si="4"/>
        <v>100</v>
      </c>
      <c r="P20" s="459">
        <f t="shared" si="5"/>
        <v>2026</v>
      </c>
      <c r="Q20" s="461" t="str">
        <f>$C$20</f>
        <v>MAI</v>
      </c>
      <c r="R20" s="462"/>
      <c r="S20" s="463"/>
      <c r="T20" s="462">
        <f t="shared" si="6"/>
        <v>0</v>
      </c>
      <c r="U20" s="464">
        <f t="shared" si="7"/>
        <v>100</v>
      </c>
      <c r="W20" s="459">
        <f t="shared" si="8"/>
        <v>2027</v>
      </c>
      <c r="X20" s="461" t="str">
        <f>$C$20</f>
        <v>MAI</v>
      </c>
      <c r="Y20" s="462"/>
      <c r="Z20" s="463"/>
      <c r="AA20" s="462">
        <f t="shared" si="9"/>
        <v>0</v>
      </c>
      <c r="AB20" s="464">
        <f t="shared" si="10"/>
        <v>100</v>
      </c>
      <c r="AD20" s="459">
        <f t="shared" si="11"/>
        <v>2028</v>
      </c>
      <c r="AE20" s="461" t="str">
        <f>$C$20</f>
        <v>MAI</v>
      </c>
      <c r="AF20" s="462"/>
      <c r="AG20" s="463"/>
      <c r="AH20" s="462">
        <f t="shared" si="12"/>
        <v>0</v>
      </c>
      <c r="AI20" s="464">
        <f t="shared" si="13"/>
        <v>100</v>
      </c>
    </row>
    <row r="21" spans="2:35" x14ac:dyDescent="0.25">
      <c r="B21" s="459">
        <v>2024</v>
      </c>
      <c r="C21" s="461" t="s">
        <v>560</v>
      </c>
      <c r="D21" s="462"/>
      <c r="E21" s="463"/>
      <c r="F21" s="462">
        <f t="shared" si="0"/>
        <v>0</v>
      </c>
      <c r="G21" s="464">
        <f t="shared" si="1"/>
        <v>100</v>
      </c>
      <c r="I21" s="459">
        <f t="shared" si="2"/>
        <v>2025</v>
      </c>
      <c r="J21" s="461" t="str">
        <f>$C$21</f>
        <v>JUN</v>
      </c>
      <c r="K21" s="462"/>
      <c r="L21" s="463"/>
      <c r="M21" s="462">
        <f t="shared" si="3"/>
        <v>0</v>
      </c>
      <c r="N21" s="464">
        <f t="shared" si="4"/>
        <v>100</v>
      </c>
      <c r="P21" s="459">
        <f t="shared" si="5"/>
        <v>2026</v>
      </c>
      <c r="Q21" s="461" t="str">
        <f>$C$21</f>
        <v>JUN</v>
      </c>
      <c r="R21" s="462"/>
      <c r="S21" s="463"/>
      <c r="T21" s="462">
        <f t="shared" si="6"/>
        <v>0</v>
      </c>
      <c r="U21" s="464">
        <f t="shared" si="7"/>
        <v>100</v>
      </c>
      <c r="W21" s="459">
        <f t="shared" si="8"/>
        <v>2027</v>
      </c>
      <c r="X21" s="461" t="str">
        <f>$C$21</f>
        <v>JUN</v>
      </c>
      <c r="Y21" s="462"/>
      <c r="Z21" s="463"/>
      <c r="AA21" s="462">
        <f t="shared" si="9"/>
        <v>0</v>
      </c>
      <c r="AB21" s="464">
        <f t="shared" si="10"/>
        <v>100</v>
      </c>
      <c r="AD21" s="459">
        <f t="shared" si="11"/>
        <v>2028</v>
      </c>
      <c r="AE21" s="461" t="str">
        <f>$C$21</f>
        <v>JUN</v>
      </c>
      <c r="AF21" s="462"/>
      <c r="AG21" s="463"/>
      <c r="AH21" s="462">
        <f t="shared" si="12"/>
        <v>0</v>
      </c>
      <c r="AI21" s="464">
        <f t="shared" si="13"/>
        <v>100</v>
      </c>
    </row>
    <row r="22" spans="2:35" x14ac:dyDescent="0.25">
      <c r="B22" s="459">
        <v>2024</v>
      </c>
      <c r="C22" s="465" t="s">
        <v>561</v>
      </c>
      <c r="D22" s="462"/>
      <c r="E22" s="463">
        <v>5</v>
      </c>
      <c r="F22" s="462">
        <f t="shared" si="0"/>
        <v>0</v>
      </c>
      <c r="G22" s="464">
        <f t="shared" si="1"/>
        <v>100</v>
      </c>
      <c r="I22" s="459">
        <f t="shared" si="2"/>
        <v>2025</v>
      </c>
      <c r="J22" s="461" t="str">
        <f>$C$22</f>
        <v>JUL</v>
      </c>
      <c r="K22" s="462"/>
      <c r="L22" s="463">
        <f>$E$22</f>
        <v>5</v>
      </c>
      <c r="M22" s="462">
        <f t="shared" si="3"/>
        <v>0</v>
      </c>
      <c r="N22" s="464">
        <f t="shared" si="4"/>
        <v>100</v>
      </c>
      <c r="P22" s="459">
        <f t="shared" si="5"/>
        <v>2026</v>
      </c>
      <c r="Q22" s="461" t="str">
        <f>$C$22</f>
        <v>JUL</v>
      </c>
      <c r="R22" s="462"/>
      <c r="S22" s="463">
        <f>$E$22</f>
        <v>5</v>
      </c>
      <c r="T22" s="462">
        <f t="shared" si="6"/>
        <v>0</v>
      </c>
      <c r="U22" s="464">
        <f t="shared" si="7"/>
        <v>100</v>
      </c>
      <c r="W22" s="459">
        <f t="shared" si="8"/>
        <v>2027</v>
      </c>
      <c r="X22" s="461" t="str">
        <f>$C$22</f>
        <v>JUL</v>
      </c>
      <c r="Y22" s="462"/>
      <c r="Z22" s="463">
        <f>$E$22</f>
        <v>5</v>
      </c>
      <c r="AA22" s="462">
        <f t="shared" si="9"/>
        <v>0</v>
      </c>
      <c r="AB22" s="464">
        <f t="shared" si="10"/>
        <v>100</v>
      </c>
      <c r="AD22" s="459">
        <f t="shared" si="11"/>
        <v>2028</v>
      </c>
      <c r="AE22" s="461" t="str">
        <f>$C$22</f>
        <v>JUL</v>
      </c>
      <c r="AF22" s="462"/>
      <c r="AG22" s="463">
        <f>$E$22</f>
        <v>5</v>
      </c>
      <c r="AH22" s="462">
        <f t="shared" si="12"/>
        <v>0</v>
      </c>
      <c r="AI22" s="464">
        <f t="shared" si="13"/>
        <v>100</v>
      </c>
    </row>
    <row r="23" spans="2:35" x14ac:dyDescent="0.25">
      <c r="B23" s="615" t="s">
        <v>562</v>
      </c>
      <c r="C23" s="615"/>
      <c r="D23" s="615"/>
      <c r="E23" s="615"/>
      <c r="F23" s="615"/>
      <c r="G23" s="468">
        <f>ROUND(((G22-G9)/G9),4)</f>
        <v>0</v>
      </c>
      <c r="I23" s="615" t="s">
        <v>562</v>
      </c>
      <c r="J23" s="615"/>
      <c r="K23" s="615"/>
      <c r="L23" s="615"/>
      <c r="M23" s="615"/>
      <c r="N23" s="468">
        <f>ROUND(((N22-N9)/N9),4)</f>
        <v>0</v>
      </c>
      <c r="P23" s="615" t="s">
        <v>562</v>
      </c>
      <c r="Q23" s="615"/>
      <c r="R23" s="615"/>
      <c r="S23" s="615"/>
      <c r="T23" s="615"/>
      <c r="U23" s="468">
        <f>ROUND(((U22-U9)/U9),4)</f>
        <v>0</v>
      </c>
      <c r="W23" s="615" t="s">
        <v>562</v>
      </c>
      <c r="X23" s="615"/>
      <c r="Y23" s="615"/>
      <c r="Z23" s="615"/>
      <c r="AA23" s="615"/>
      <c r="AB23" s="468">
        <f>ROUND(((AB22-AB9)/AB9),4)</f>
        <v>0</v>
      </c>
      <c r="AD23" s="615" t="s">
        <v>562</v>
      </c>
      <c r="AE23" s="615"/>
      <c r="AF23" s="615"/>
      <c r="AG23" s="615"/>
      <c r="AH23" s="615"/>
      <c r="AI23" s="468">
        <f>ROUND(((AI22-AI9)/AI9),4)</f>
        <v>0</v>
      </c>
    </row>
  </sheetData>
  <sheetProtection sheet="1" objects="1" scenarios="1"/>
  <mergeCells count="20">
    <mergeCell ref="B23:F23"/>
    <mergeCell ref="I23:M23"/>
    <mergeCell ref="P23:T23"/>
    <mergeCell ref="W23:AA23"/>
    <mergeCell ref="AD23:AH23"/>
    <mergeCell ref="B8:C8"/>
    <mergeCell ref="I8:J8"/>
    <mergeCell ref="P8:Q8"/>
    <mergeCell ref="W8:X8"/>
    <mergeCell ref="AD8:AE8"/>
    <mergeCell ref="C7:G7"/>
    <mergeCell ref="J7:N7"/>
    <mergeCell ref="Q7:U7"/>
    <mergeCell ref="X7:AB7"/>
    <mergeCell ref="AE7:AI7"/>
    <mergeCell ref="B6:G6"/>
    <mergeCell ref="I6:N6"/>
    <mergeCell ref="P6:U6"/>
    <mergeCell ref="W6:AB6"/>
    <mergeCell ref="AD6:AI6"/>
  </mergeCells>
  <pageMargins left="0.51180555555555596" right="0.51180555555555596" top="0.78749999999999998" bottom="0.78749999999999998" header="0.511811023622047" footer="0.511811023622047"/>
  <pageSetup paperSize="9" scale="5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82"/>
  <sheetViews>
    <sheetView showGridLines="0" zoomScaleNormal="100" zoomScaleSheetLayoutView="120" zoomScalePageLayoutView="120" workbookViewId="0">
      <selection activeCell="O12" sqref="O12"/>
    </sheetView>
  </sheetViews>
  <sheetFormatPr defaultColWidth="8.7109375" defaultRowHeight="15" x14ac:dyDescent="0.25"/>
  <cols>
    <col min="1" max="1" width="6.28515625" style="61" customWidth="1"/>
    <col min="2" max="2" width="8.7109375" style="91"/>
    <col min="3" max="3" width="4" style="66" customWidth="1"/>
    <col min="4" max="23" width="9.140625" style="66" customWidth="1"/>
    <col min="24" max="24" width="10.7109375" style="66" customWidth="1"/>
    <col min="25" max="256" width="9.140625" style="66" customWidth="1"/>
    <col min="257" max="257" width="4.5703125" style="66" customWidth="1"/>
    <col min="258" max="258" width="11.140625" style="66" customWidth="1"/>
    <col min="259" max="259" width="4" style="66" customWidth="1"/>
    <col min="260" max="512" width="9.140625" style="66" customWidth="1"/>
    <col min="513" max="513" width="4.5703125" style="66" customWidth="1"/>
    <col min="514" max="514" width="11.140625" style="66" customWidth="1"/>
    <col min="515" max="515" width="4" style="66" customWidth="1"/>
    <col min="516" max="768" width="9.140625" style="66" customWidth="1"/>
    <col min="769" max="769" width="4.5703125" style="66" customWidth="1"/>
    <col min="770" max="770" width="11.140625" style="66" customWidth="1"/>
    <col min="771" max="771" width="4" style="66" customWidth="1"/>
    <col min="772" max="1025" width="9.140625" style="66" customWidth="1"/>
  </cols>
  <sheetData>
    <row r="1" spans="1:24" x14ac:dyDescent="0.25">
      <c r="A1" s="92"/>
      <c r="B1" s="93" t="s">
        <v>77</v>
      </c>
    </row>
    <row r="2" spans="1:24" x14ac:dyDescent="0.25">
      <c r="A2" s="94"/>
      <c r="B2" s="95" t="s">
        <v>78</v>
      </c>
    </row>
    <row r="3" spans="1:24" x14ac:dyDescent="0.25">
      <c r="A3" s="94"/>
      <c r="B3" s="66" t="s">
        <v>79</v>
      </c>
    </row>
    <row r="4" spans="1:24" s="14" customFormat="1" ht="15.75" x14ac:dyDescent="0.25">
      <c r="A4" s="501" t="s">
        <v>591</v>
      </c>
      <c r="B4" s="501"/>
      <c r="C4" s="501"/>
      <c r="D4" s="501"/>
      <c r="E4" s="501"/>
      <c r="F4" s="501"/>
      <c r="G4" s="501"/>
      <c r="H4" s="501"/>
      <c r="I4" s="501"/>
      <c r="J4" s="501"/>
      <c r="K4" s="501"/>
      <c r="L4" s="501"/>
      <c r="M4" s="501"/>
      <c r="N4" s="501"/>
      <c r="O4" s="501"/>
      <c r="P4" s="501"/>
      <c r="Q4" s="501"/>
      <c r="R4" s="501"/>
      <c r="S4" s="501"/>
      <c r="T4" s="501"/>
      <c r="U4" s="501"/>
      <c r="V4" s="501"/>
      <c r="W4" s="501"/>
      <c r="X4" s="501"/>
    </row>
    <row r="5" spans="1:24" ht="12" customHeight="1" x14ac:dyDescent="0.25"/>
    <row r="6" spans="1:24" x14ac:dyDescent="0.25">
      <c r="A6" s="65" t="s">
        <v>80</v>
      </c>
      <c r="B6" s="97" t="s">
        <v>81</v>
      </c>
    </row>
    <row r="7" spans="1:24" ht="7.5" customHeight="1" x14ac:dyDescent="0.25"/>
    <row r="8" spans="1:24" x14ac:dyDescent="0.25">
      <c r="B8" s="98"/>
      <c r="C8" s="91" t="s">
        <v>82</v>
      </c>
    </row>
    <row r="10" spans="1:24" x14ac:dyDescent="0.25">
      <c r="A10" s="65" t="s">
        <v>83</v>
      </c>
      <c r="B10" s="91" t="s">
        <v>84</v>
      </c>
    </row>
    <row r="12" spans="1:24" x14ac:dyDescent="0.25">
      <c r="A12" s="65" t="s">
        <v>85</v>
      </c>
      <c r="B12" s="91" t="s">
        <v>575</v>
      </c>
    </row>
    <row r="13" spans="1:24" x14ac:dyDescent="0.25">
      <c r="A13" s="65"/>
      <c r="B13" s="91" t="s">
        <v>86</v>
      </c>
    </row>
    <row r="14" spans="1:24" s="100" customFormat="1" ht="17.25" customHeight="1" x14ac:dyDescent="0.25">
      <c r="A14" s="65"/>
      <c r="B14" s="99" t="s">
        <v>571</v>
      </c>
    </row>
    <row r="15" spans="1:24" ht="7.5" customHeight="1" x14ac:dyDescent="0.25"/>
    <row r="16" spans="1:24" x14ac:dyDescent="0.25">
      <c r="B16" s="101" t="s">
        <v>87</v>
      </c>
      <c r="C16" s="102" t="s">
        <v>88</v>
      </c>
      <c r="D16" s="102"/>
      <c r="E16" s="102"/>
      <c r="F16" s="102"/>
      <c r="G16" s="102"/>
    </row>
    <row r="18" spans="3:4" x14ac:dyDescent="0.25">
      <c r="C18" s="103" t="s">
        <v>89</v>
      </c>
      <c r="D18" s="103" t="s">
        <v>90</v>
      </c>
    </row>
    <row r="19" spans="3:4" x14ac:dyDescent="0.25">
      <c r="D19" s="66" t="s">
        <v>91</v>
      </c>
    </row>
    <row r="20" spans="3:4" x14ac:dyDescent="0.25">
      <c r="D20" s="66" t="s">
        <v>92</v>
      </c>
    </row>
    <row r="21" spans="3:4" x14ac:dyDescent="0.25">
      <c r="D21" s="66" t="s">
        <v>93</v>
      </c>
    </row>
    <row r="22" spans="3:4" x14ac:dyDescent="0.25">
      <c r="C22" s="103"/>
      <c r="D22" s="66" t="s">
        <v>94</v>
      </c>
    </row>
    <row r="23" spans="3:4" x14ac:dyDescent="0.25">
      <c r="D23" s="66" t="s">
        <v>95</v>
      </c>
    </row>
    <row r="24" spans="3:4" x14ac:dyDescent="0.25">
      <c r="D24" s="66" t="s">
        <v>96</v>
      </c>
    </row>
    <row r="25" spans="3:4" x14ac:dyDescent="0.25">
      <c r="D25" s="66" t="s">
        <v>97</v>
      </c>
    </row>
    <row r="26" spans="3:4" x14ac:dyDescent="0.25">
      <c r="D26" s="66" t="s">
        <v>98</v>
      </c>
    </row>
    <row r="27" spans="3:4" x14ac:dyDescent="0.25">
      <c r="D27" s="66" t="s">
        <v>99</v>
      </c>
    </row>
    <row r="28" spans="3:4" x14ac:dyDescent="0.25">
      <c r="D28" s="66" t="s">
        <v>100</v>
      </c>
    </row>
    <row r="29" spans="3:4" x14ac:dyDescent="0.25">
      <c r="D29" s="66" t="s">
        <v>101</v>
      </c>
    </row>
    <row r="30" spans="3:4" x14ac:dyDescent="0.25">
      <c r="D30" s="66" t="s">
        <v>102</v>
      </c>
    </row>
    <row r="31" spans="3:4" x14ac:dyDescent="0.25">
      <c r="D31" s="66" t="s">
        <v>103</v>
      </c>
    </row>
    <row r="32" spans="3:4" x14ac:dyDescent="0.25">
      <c r="D32" s="66" t="s">
        <v>104</v>
      </c>
    </row>
    <row r="33" spans="3:8" x14ac:dyDescent="0.25">
      <c r="D33" s="66" t="s">
        <v>105</v>
      </c>
    </row>
    <row r="34" spans="3:8" x14ac:dyDescent="0.25">
      <c r="D34" s="66" t="s">
        <v>106</v>
      </c>
    </row>
    <row r="35" spans="3:8" x14ac:dyDescent="0.25">
      <c r="D35" s="66" t="s">
        <v>107</v>
      </c>
    </row>
    <row r="36" spans="3:8" x14ac:dyDescent="0.25">
      <c r="D36" s="66" t="s">
        <v>108</v>
      </c>
    </row>
    <row r="37" spans="3:8" x14ac:dyDescent="0.25">
      <c r="D37" s="66" t="s">
        <v>109</v>
      </c>
    </row>
    <row r="38" spans="3:8" x14ac:dyDescent="0.25">
      <c r="D38" s="66" t="s">
        <v>110</v>
      </c>
    </row>
    <row r="39" spans="3:8" x14ac:dyDescent="0.25">
      <c r="D39" s="66" t="s">
        <v>111</v>
      </c>
    </row>
    <row r="40" spans="3:8" x14ac:dyDescent="0.25">
      <c r="D40" s="66" t="s">
        <v>112</v>
      </c>
    </row>
    <row r="41" spans="3:8" x14ac:dyDescent="0.25">
      <c r="D41" s="66" t="s">
        <v>589</v>
      </c>
    </row>
    <row r="42" spans="3:8" x14ac:dyDescent="0.25">
      <c r="D42" s="66" t="s">
        <v>113</v>
      </c>
    </row>
    <row r="43" spans="3:8" x14ac:dyDescent="0.25">
      <c r="D43" s="102" t="s">
        <v>114</v>
      </c>
      <c r="E43" s="102"/>
      <c r="F43" s="102"/>
      <c r="G43" s="102"/>
      <c r="H43" s="102"/>
    </row>
    <row r="45" spans="3:8" x14ac:dyDescent="0.25">
      <c r="C45" s="103" t="s">
        <v>115</v>
      </c>
      <c r="D45" s="103" t="s">
        <v>116</v>
      </c>
    </row>
    <row r="46" spans="3:8" x14ac:dyDescent="0.25">
      <c r="D46" s="66" t="s">
        <v>117</v>
      </c>
    </row>
    <row r="47" spans="3:8" x14ac:dyDescent="0.25">
      <c r="D47" s="66" t="s">
        <v>118</v>
      </c>
    </row>
    <row r="48" spans="3:8" x14ac:dyDescent="0.25">
      <c r="D48" s="102" t="s">
        <v>114</v>
      </c>
      <c r="E48" s="102"/>
      <c r="F48" s="102"/>
      <c r="G48" s="102"/>
      <c r="H48" s="102"/>
    </row>
    <row r="50" spans="3:8" x14ac:dyDescent="0.25">
      <c r="C50" s="103" t="s">
        <v>119</v>
      </c>
      <c r="D50" s="103" t="s">
        <v>572</v>
      </c>
    </row>
    <row r="51" spans="3:8" x14ac:dyDescent="0.25">
      <c r="D51" s="66" t="s">
        <v>120</v>
      </c>
    </row>
    <row r="52" spans="3:8" x14ac:dyDescent="0.25">
      <c r="D52" s="66" t="s">
        <v>121</v>
      </c>
    </row>
    <row r="53" spans="3:8" x14ac:dyDescent="0.25">
      <c r="E53" s="66" t="s">
        <v>573</v>
      </c>
    </row>
    <row r="54" spans="3:8" x14ac:dyDescent="0.25">
      <c r="E54" s="66" t="s">
        <v>574</v>
      </c>
    </row>
    <row r="55" spans="3:8" x14ac:dyDescent="0.25">
      <c r="D55" s="66" t="s">
        <v>122</v>
      </c>
    </row>
    <row r="56" spans="3:8" x14ac:dyDescent="0.25">
      <c r="D56" s="102" t="s">
        <v>114</v>
      </c>
      <c r="E56" s="102"/>
      <c r="F56" s="102"/>
      <c r="G56" s="102"/>
      <c r="H56" s="102"/>
    </row>
    <row r="58" spans="3:8" x14ac:dyDescent="0.25">
      <c r="C58" s="103" t="s">
        <v>123</v>
      </c>
      <c r="D58" s="103" t="s">
        <v>124</v>
      </c>
    </row>
    <row r="59" spans="3:8" x14ac:dyDescent="0.25">
      <c r="D59" s="66" t="s">
        <v>125</v>
      </c>
    </row>
    <row r="60" spans="3:8" x14ac:dyDescent="0.25">
      <c r="D60" s="102" t="s">
        <v>114</v>
      </c>
      <c r="E60" s="102"/>
      <c r="F60" s="102"/>
      <c r="G60" s="102"/>
      <c r="H60" s="102"/>
    </row>
    <row r="62" spans="3:8" x14ac:dyDescent="0.25">
      <c r="C62" s="103" t="s">
        <v>126</v>
      </c>
      <c r="D62" s="103" t="s">
        <v>127</v>
      </c>
    </row>
    <row r="63" spans="3:8" x14ac:dyDescent="0.25">
      <c r="D63" s="66" t="s">
        <v>125</v>
      </c>
    </row>
    <row r="64" spans="3:8" x14ac:dyDescent="0.25">
      <c r="D64" s="102" t="s">
        <v>114</v>
      </c>
      <c r="E64" s="102"/>
      <c r="F64" s="102"/>
      <c r="G64" s="102"/>
      <c r="H64" s="102"/>
    </row>
    <row r="66" spans="1:7" ht="19.5" customHeight="1" x14ac:dyDescent="0.25"/>
    <row r="67" spans="1:7" s="56" customFormat="1" ht="20.25" customHeight="1" x14ac:dyDescent="0.25">
      <c r="A67" s="65" t="s">
        <v>128</v>
      </c>
      <c r="B67" s="58" t="s">
        <v>129</v>
      </c>
    </row>
    <row r="68" spans="1:7" s="56" customFormat="1" ht="13.5" customHeight="1" x14ac:dyDescent="0.25">
      <c r="A68" s="61"/>
      <c r="B68" s="65" t="s">
        <v>130</v>
      </c>
      <c r="C68" s="104" t="s">
        <v>131</v>
      </c>
      <c r="D68" s="104"/>
      <c r="E68" s="104"/>
      <c r="F68" s="104"/>
    </row>
    <row r="69" spans="1:7" ht="24.75" customHeight="1" x14ac:dyDescent="0.25"/>
    <row r="70" spans="1:7" x14ac:dyDescent="0.25">
      <c r="A70" s="65" t="s">
        <v>132</v>
      </c>
      <c r="B70" s="91" t="s">
        <v>133</v>
      </c>
    </row>
    <row r="71" spans="1:7" x14ac:dyDescent="0.25">
      <c r="A71" s="65"/>
      <c r="B71" s="91" t="s">
        <v>86</v>
      </c>
    </row>
    <row r="72" spans="1:7" s="100" customFormat="1" ht="18" customHeight="1" x14ac:dyDescent="0.25">
      <c r="A72" s="61"/>
      <c r="B72" s="65" t="s">
        <v>134</v>
      </c>
      <c r="C72" s="100" t="s">
        <v>135</v>
      </c>
    </row>
    <row r="73" spans="1:7" x14ac:dyDescent="0.25">
      <c r="B73" s="101" t="s">
        <v>136</v>
      </c>
      <c r="C73" s="105" t="s">
        <v>137</v>
      </c>
      <c r="D73" s="105"/>
      <c r="E73" s="105"/>
      <c r="F73" s="105"/>
      <c r="G73" s="105"/>
    </row>
    <row r="74" spans="1:7" ht="24.75" customHeight="1" x14ac:dyDescent="0.25"/>
    <row r="75" spans="1:7" s="100" customFormat="1" ht="15" customHeight="1" x14ac:dyDescent="0.25">
      <c r="A75" s="65" t="s">
        <v>138</v>
      </c>
      <c r="B75" s="58" t="s">
        <v>139</v>
      </c>
    </row>
    <row r="76" spans="1:7" s="100" customFormat="1" ht="15.75" customHeight="1" x14ac:dyDescent="0.25">
      <c r="A76" s="61"/>
      <c r="B76" s="65" t="s">
        <v>140</v>
      </c>
      <c r="C76" s="56" t="s">
        <v>141</v>
      </c>
    </row>
    <row r="77" spans="1:7" x14ac:dyDescent="0.25">
      <c r="B77" s="101" t="s">
        <v>142</v>
      </c>
      <c r="C77" s="106" t="s">
        <v>143</v>
      </c>
      <c r="D77" s="106"/>
      <c r="E77" s="106"/>
      <c r="F77" s="106"/>
    </row>
    <row r="78" spans="1:7" ht="24.75" customHeight="1" x14ac:dyDescent="0.25"/>
    <row r="79" spans="1:7" x14ac:dyDescent="0.25">
      <c r="A79" s="65" t="s">
        <v>144</v>
      </c>
      <c r="B79" s="91" t="s">
        <v>145</v>
      </c>
    </row>
    <row r="80" spans="1:7" s="100" customFormat="1" ht="16.5" customHeight="1" x14ac:dyDescent="0.25">
      <c r="A80" s="61"/>
      <c r="B80" s="65" t="s">
        <v>146</v>
      </c>
      <c r="C80" s="56" t="s">
        <v>147</v>
      </c>
    </row>
    <row r="81" spans="1:7" s="100" customFormat="1" ht="14.25" customHeight="1" x14ac:dyDescent="0.25">
      <c r="A81" s="61"/>
      <c r="B81" s="65" t="s">
        <v>148</v>
      </c>
      <c r="C81" s="107" t="s">
        <v>137</v>
      </c>
      <c r="D81" s="107"/>
      <c r="E81" s="107"/>
      <c r="F81" s="107"/>
      <c r="G81" s="107"/>
    </row>
    <row r="82" spans="1:7" s="100" customFormat="1" ht="23.25" customHeight="1" x14ac:dyDescent="0.25">
      <c r="A82" s="61"/>
      <c r="B82" s="65"/>
      <c r="C82" s="108"/>
      <c r="D82" s="108"/>
      <c r="E82" s="108"/>
      <c r="F82" s="108"/>
      <c r="G82" s="108"/>
    </row>
  </sheetData>
  <sheetProtection algorithmName="SHA-512" hashValue="VKmN3rxfw1Z+w0xfivRuZw5ZMPzz+Ux5lgVm9VBKlLIXv7Mrty8Ag2ZWxkskFZdgP5IGiTmeqA4b1W+w4kWGfQ==" saltValue="1scqcnUJwLEzO0GMW7iJzg==" spinCount="100000" sheet="1" objects="1" scenarios="1"/>
  <mergeCells count="1">
    <mergeCell ref="A4:X4"/>
  </mergeCells>
  <printOptions horizontalCentered="1" verticalCentered="1"/>
  <pageMargins left="0.51180555555555596" right="0.51180555555555596" top="0.78749999999999998" bottom="0.78749999999999998" header="0.511811023622047" footer="0.511811023622047"/>
  <pageSetup paperSize="9" scale="43" fitToHeight="2"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pageSetUpPr fitToPage="1"/>
  </sheetPr>
  <dimension ref="A1:AMK57"/>
  <sheetViews>
    <sheetView showGridLines="0" view="pageBreakPreview" zoomScaleNormal="100" zoomScaleSheetLayoutView="100" zoomScalePageLayoutView="120" workbookViewId="0">
      <selection activeCell="I17" sqref="I17"/>
    </sheetView>
  </sheetViews>
  <sheetFormatPr defaultColWidth="8.7109375" defaultRowHeight="15" x14ac:dyDescent="0.25"/>
  <cols>
    <col min="1" max="1" width="9.85546875" style="2" customWidth="1"/>
    <col min="2" max="2" width="10.42578125" style="2" customWidth="1"/>
    <col min="3" max="3" width="39.28515625" style="2" customWidth="1"/>
    <col min="4" max="4" width="12" style="2" customWidth="1"/>
    <col min="5" max="5" width="15.7109375" style="2" customWidth="1"/>
    <col min="6" max="6" width="14.85546875" style="2" customWidth="1"/>
    <col min="7" max="7" width="14" style="2" customWidth="1"/>
    <col min="8" max="8" width="13.5703125" style="2" customWidth="1"/>
    <col min="9" max="9" width="13.42578125" style="2" customWidth="1"/>
    <col min="10" max="10" width="13.5703125" style="4" customWidth="1"/>
    <col min="11" max="11" width="18.28515625" style="4" customWidth="1"/>
    <col min="12" max="12" width="13.28515625" style="2" customWidth="1"/>
    <col min="13" max="13" width="15.140625" style="2" customWidth="1"/>
    <col min="14" max="14" width="9.7109375" style="2" hidden="1" customWidth="1"/>
    <col min="15" max="15" width="12.7109375" style="2" customWidth="1"/>
    <col min="16" max="18" width="13.5703125" style="2" customWidth="1"/>
    <col min="19" max="19" width="15" style="2" customWidth="1"/>
    <col min="20" max="255" width="9.140625" style="2" customWidth="1"/>
    <col min="256" max="256" width="9.85546875" style="2" customWidth="1"/>
    <col min="257" max="257" width="10.42578125" style="2" customWidth="1"/>
    <col min="258" max="258" width="39.28515625" style="2" customWidth="1"/>
    <col min="259" max="259" width="15" style="2" customWidth="1"/>
    <col min="260" max="260" width="11" style="2" customWidth="1"/>
    <col min="261" max="261" width="11.140625" style="2" customWidth="1"/>
    <col min="262" max="262" width="12.85546875" style="2" customWidth="1"/>
    <col min="263" max="263" width="13.140625" style="2" customWidth="1"/>
    <col min="264" max="267" width="14.140625" style="2" customWidth="1"/>
    <col min="268" max="268" width="14.42578125" style="2" customWidth="1"/>
    <col min="269" max="269" width="9.7109375" style="2" customWidth="1"/>
    <col min="270" max="270" width="12.7109375" style="2" customWidth="1"/>
    <col min="271" max="273" width="13.5703125" style="2" customWidth="1"/>
    <col min="274" max="274" width="12.140625" style="2" customWidth="1"/>
    <col min="275" max="275" width="15" style="2" customWidth="1"/>
    <col min="276" max="511" width="9.140625" style="2" customWidth="1"/>
    <col min="512" max="512" width="9.85546875" style="2" customWidth="1"/>
    <col min="513" max="513" width="10.42578125" style="2" customWidth="1"/>
    <col min="514" max="514" width="39.28515625" style="2" customWidth="1"/>
    <col min="515" max="515" width="15" style="2" customWidth="1"/>
    <col min="516" max="516" width="11" style="2" customWidth="1"/>
    <col min="517" max="517" width="11.140625" style="2" customWidth="1"/>
    <col min="518" max="518" width="12.85546875" style="2" customWidth="1"/>
    <col min="519" max="519" width="13.140625" style="2" customWidth="1"/>
    <col min="520" max="523" width="14.140625" style="2" customWidth="1"/>
    <col min="524" max="524" width="14.42578125" style="2" customWidth="1"/>
    <col min="525" max="525" width="9.7109375" style="2" customWidth="1"/>
    <col min="526" max="526" width="12.7109375" style="2" customWidth="1"/>
    <col min="527" max="529" width="13.5703125" style="2" customWidth="1"/>
    <col min="530" max="530" width="12.140625" style="2" customWidth="1"/>
    <col min="531" max="531" width="15" style="2" customWidth="1"/>
    <col min="532" max="767" width="9.140625" style="2" customWidth="1"/>
    <col min="768" max="768" width="9.85546875" style="2" customWidth="1"/>
    <col min="769" max="769" width="10.42578125" style="2" customWidth="1"/>
    <col min="770" max="770" width="39.28515625" style="2" customWidth="1"/>
    <col min="771" max="771" width="15" style="2" customWidth="1"/>
    <col min="772" max="772" width="11" style="2" customWidth="1"/>
    <col min="773" max="773" width="11.140625" style="2" customWidth="1"/>
    <col min="774" max="774" width="12.85546875" style="2" customWidth="1"/>
    <col min="775" max="775" width="13.140625" style="2" customWidth="1"/>
    <col min="776" max="779" width="14.140625" style="2" customWidth="1"/>
    <col min="780" max="780" width="14.42578125" style="2" customWidth="1"/>
    <col min="781" max="781" width="9.7109375" style="2" customWidth="1"/>
    <col min="782" max="782" width="12.7109375" style="2" customWidth="1"/>
    <col min="783" max="785" width="13.5703125" style="2" customWidth="1"/>
    <col min="786" max="786" width="12.140625" style="2" customWidth="1"/>
    <col min="787" max="787" width="15" style="2" customWidth="1"/>
    <col min="788" max="1023" width="9.140625" style="2" customWidth="1"/>
    <col min="1024" max="1025" width="9.85546875" style="2" customWidth="1"/>
  </cols>
  <sheetData>
    <row r="1" spans="1:21" x14ac:dyDescent="0.25">
      <c r="A1" s="109"/>
      <c r="B1" s="95" t="str">
        <f>INSTRUÇÕES!B1</f>
        <v>Tribunal Regional Federal da 6ª Região</v>
      </c>
      <c r="D1" s="66"/>
      <c r="E1" s="66"/>
      <c r="F1" s="66"/>
      <c r="G1" s="66"/>
      <c r="H1" s="66"/>
      <c r="I1" s="66"/>
      <c r="J1" s="110"/>
      <c r="K1" s="110"/>
      <c r="L1" s="66"/>
      <c r="M1" s="66"/>
      <c r="N1" s="66"/>
    </row>
    <row r="2" spans="1:21" x14ac:dyDescent="0.25">
      <c r="A2" s="109"/>
      <c r="B2" s="95" t="str">
        <f>INSTRUÇÕES!B2</f>
        <v>Seção Judiciária de Minas Gerais</v>
      </c>
      <c r="D2" s="66"/>
      <c r="E2" s="66"/>
      <c r="F2" s="66"/>
      <c r="G2" s="66"/>
      <c r="H2" s="66"/>
      <c r="I2" s="66"/>
      <c r="J2" s="110"/>
      <c r="K2" s="110"/>
      <c r="L2" s="66"/>
      <c r="M2" s="66"/>
      <c r="N2" s="66"/>
    </row>
    <row r="3" spans="1:21" ht="18.75" x14ac:dyDescent="0.25">
      <c r="A3" s="109"/>
      <c r="B3" s="95" t="str">
        <f>INSTRUÇÕES!B3</f>
        <v>Subseção Judiciária de Lavras</v>
      </c>
      <c r="D3" s="66"/>
      <c r="E3" s="111" t="s">
        <v>592</v>
      </c>
      <c r="F3" s="66"/>
      <c r="G3" s="66"/>
      <c r="H3" s="66"/>
      <c r="I3" s="66"/>
      <c r="J3" s="110"/>
      <c r="K3" s="110"/>
      <c r="L3" s="66"/>
      <c r="M3" s="66"/>
      <c r="N3" s="66"/>
      <c r="R3" s="66"/>
    </row>
    <row r="4" spans="1:21" s="14" customFormat="1" ht="24.75" customHeight="1" x14ac:dyDescent="0.25">
      <c r="A4" s="112" t="str">
        <f>CONCATENATE("Sindicato utilizado - ",E14,". Vigência: ",E16,". Sendo a data base da categoria ",E17,". Com número de registro no MTE ",E15,".")</f>
        <v>Sindicato utilizado - SINTAPPI x SINSERHT. Vigência: 2025/2026. Sendo a data base da categoria 01° de Abril. Com número de registro no MTE MG001973/2025.</v>
      </c>
      <c r="B4" s="112"/>
      <c r="C4" s="113"/>
      <c r="D4" s="2"/>
      <c r="E4" s="112"/>
      <c r="F4" s="114"/>
      <c r="G4" s="114"/>
      <c r="H4" s="114"/>
      <c r="I4" s="114"/>
      <c r="J4" s="114"/>
      <c r="K4" s="114"/>
      <c r="L4" s="114"/>
      <c r="M4" s="114"/>
      <c r="N4" s="114"/>
      <c r="O4" s="114"/>
      <c r="P4" s="114"/>
      <c r="Q4" s="114"/>
      <c r="R4" s="114"/>
      <c r="S4" s="114"/>
    </row>
    <row r="5" spans="1:21" s="14" customFormat="1" ht="66.75" customHeight="1" x14ac:dyDescent="0.25">
      <c r="A5" s="502" t="s">
        <v>149</v>
      </c>
      <c r="B5" s="502" t="s">
        <v>150</v>
      </c>
      <c r="C5" s="502" t="s">
        <v>20</v>
      </c>
      <c r="D5" s="502" t="s">
        <v>151</v>
      </c>
      <c r="E5" s="502" t="s">
        <v>152</v>
      </c>
      <c r="F5" s="502" t="s">
        <v>153</v>
      </c>
      <c r="G5" s="502" t="s">
        <v>154</v>
      </c>
      <c r="H5" s="502" t="s">
        <v>155</v>
      </c>
      <c r="I5" s="502" t="s">
        <v>156</v>
      </c>
      <c r="J5" s="502" t="s">
        <v>157</v>
      </c>
      <c r="K5" s="502" t="s">
        <v>158</v>
      </c>
      <c r="L5" s="502" t="s">
        <v>159</v>
      </c>
      <c r="M5" s="503" t="s">
        <v>160</v>
      </c>
      <c r="N5" s="115" t="s">
        <v>161</v>
      </c>
      <c r="O5" s="115" t="s">
        <v>576</v>
      </c>
      <c r="P5" s="115" t="s">
        <v>577</v>
      </c>
      <c r="Q5" s="115" t="s">
        <v>162</v>
      </c>
      <c r="R5" s="115" t="s">
        <v>163</v>
      </c>
      <c r="S5" s="502" t="s">
        <v>164</v>
      </c>
      <c r="U5" s="116"/>
    </row>
    <row r="6" spans="1:21" s="14" customFormat="1" ht="30" x14ac:dyDescent="0.25">
      <c r="A6" s="502"/>
      <c r="B6" s="502"/>
      <c r="C6" s="502"/>
      <c r="D6" s="502"/>
      <c r="E6" s="502"/>
      <c r="F6" s="502"/>
      <c r="G6" s="502"/>
      <c r="H6" s="502"/>
      <c r="I6" s="502"/>
      <c r="J6" s="502"/>
      <c r="K6" s="502"/>
      <c r="L6" s="502"/>
      <c r="M6" s="503"/>
      <c r="N6" s="117" t="s">
        <v>165</v>
      </c>
      <c r="O6" s="118">
        <f>B7+B8</f>
        <v>2</v>
      </c>
      <c r="P6" s="118">
        <f>B8</f>
        <v>1</v>
      </c>
      <c r="Q6" s="118"/>
      <c r="R6" s="118"/>
      <c r="S6" s="502"/>
      <c r="U6" s="116"/>
    </row>
    <row r="7" spans="1:21" s="14" customFormat="1" ht="27.75" customHeight="1" x14ac:dyDescent="0.25">
      <c r="A7" s="504">
        <v>333903702</v>
      </c>
      <c r="B7" s="118">
        <v>1</v>
      </c>
      <c r="C7" s="119" t="s">
        <v>588</v>
      </c>
      <c r="D7" s="118">
        <v>200</v>
      </c>
      <c r="E7" s="120">
        <v>1633.68</v>
      </c>
      <c r="F7" s="121">
        <f>ROUND(((E7/220)*D7),2)</f>
        <v>1485.16</v>
      </c>
      <c r="G7" s="122">
        <v>0.4</v>
      </c>
      <c r="H7" s="121">
        <f>G7*G27</f>
        <v>648.40000000000009</v>
      </c>
      <c r="I7" s="35">
        <v>0</v>
      </c>
      <c r="J7" s="35">
        <v>0</v>
      </c>
      <c r="K7" s="35"/>
      <c r="L7" s="35">
        <v>0</v>
      </c>
      <c r="M7" s="123">
        <f>F7+H7+L7</f>
        <v>2133.5600000000004</v>
      </c>
      <c r="N7" s="121"/>
      <c r="O7" s="121">
        <f>ROUND((Insumos!K44/$O$6),2)</f>
        <v>494.77</v>
      </c>
      <c r="P7" s="121"/>
      <c r="Q7" s="121">
        <f>EPI!F9/2</f>
        <v>4.9400000000000004</v>
      </c>
      <c r="R7" s="121">
        <f>Equipamentos!G11/2</f>
        <v>4.18</v>
      </c>
      <c r="S7" s="124">
        <v>2</v>
      </c>
      <c r="U7" s="116"/>
    </row>
    <row r="8" spans="1:21" s="14" customFormat="1" ht="27.75" customHeight="1" x14ac:dyDescent="0.25">
      <c r="A8" s="504"/>
      <c r="B8" s="118">
        <v>1</v>
      </c>
      <c r="C8" s="119" t="s">
        <v>587</v>
      </c>
      <c r="D8" s="118">
        <v>200</v>
      </c>
      <c r="E8" s="120">
        <v>1633.68</v>
      </c>
      <c r="F8" s="121">
        <f>ROUND(((E8/220)*D8),2)</f>
        <v>1485.16</v>
      </c>
      <c r="G8" s="125">
        <v>0</v>
      </c>
      <c r="H8" s="35">
        <v>0</v>
      </c>
      <c r="I8" s="126">
        <v>0.12</v>
      </c>
      <c r="J8" s="126">
        <v>0.25</v>
      </c>
      <c r="K8" s="120">
        <f>F8</f>
        <v>1485.16</v>
      </c>
      <c r="L8" s="127">
        <f>ROUND((K8*I8*J8),2)</f>
        <v>44.55</v>
      </c>
      <c r="M8" s="123">
        <f>F8+H8+L8</f>
        <v>1529.71</v>
      </c>
      <c r="N8" s="121"/>
      <c r="O8" s="121">
        <f>ROUND((Insumos!K44/$O$6),2)</f>
        <v>494.77</v>
      </c>
      <c r="P8" s="121">
        <f>Insumos!K66/P6</f>
        <v>129.79166666666666</v>
      </c>
      <c r="Q8" s="121">
        <f>EPI!F9/2</f>
        <v>4.9400000000000004</v>
      </c>
      <c r="R8" s="121">
        <f>Equipamentos!G11/2</f>
        <v>4.18</v>
      </c>
      <c r="S8" s="124">
        <v>2</v>
      </c>
      <c r="U8" s="116"/>
    </row>
    <row r="9" spans="1:21" ht="27.75" customHeight="1" x14ac:dyDescent="0.25">
      <c r="A9" s="504"/>
      <c r="B9" s="118">
        <v>1</v>
      </c>
      <c r="C9" s="119" t="s">
        <v>166</v>
      </c>
      <c r="D9" s="118">
        <v>150</v>
      </c>
      <c r="E9" s="120">
        <v>2441.1</v>
      </c>
      <c r="F9" s="121">
        <f>ROUND(((E9/220)*D9),2)</f>
        <v>1664.39</v>
      </c>
      <c r="G9" s="125">
        <v>0</v>
      </c>
      <c r="H9" s="35">
        <v>0</v>
      </c>
      <c r="I9" s="128"/>
      <c r="J9" s="128"/>
      <c r="K9" s="129"/>
      <c r="L9" s="130"/>
      <c r="M9" s="123">
        <f>F9+H9+L9</f>
        <v>1664.39</v>
      </c>
      <c r="N9" s="121"/>
      <c r="O9" s="131"/>
      <c r="P9" s="121"/>
      <c r="Q9" s="121"/>
      <c r="R9" s="121"/>
      <c r="S9" s="124">
        <v>2</v>
      </c>
    </row>
    <row r="10" spans="1:21" ht="27.75" customHeight="1" x14ac:dyDescent="0.25">
      <c r="A10" s="132">
        <v>333903701</v>
      </c>
      <c r="B10" s="118">
        <v>1</v>
      </c>
      <c r="C10" s="119" t="s">
        <v>586</v>
      </c>
      <c r="D10" s="118">
        <v>200</v>
      </c>
      <c r="E10" s="120">
        <v>2048</v>
      </c>
      <c r="F10" s="121">
        <f>ROUND(((E10/220)*D10),2)</f>
        <v>1861.82</v>
      </c>
      <c r="G10" s="125">
        <v>0</v>
      </c>
      <c r="H10" s="35">
        <v>0</v>
      </c>
      <c r="I10" s="126">
        <v>0.12</v>
      </c>
      <c r="J10" s="126">
        <v>0.25</v>
      </c>
      <c r="K10" s="120">
        <f>F10</f>
        <v>1861.82</v>
      </c>
      <c r="L10" s="133">
        <f>ROUND((K10*I10*J10),2)</f>
        <v>55.85</v>
      </c>
      <c r="M10" s="123">
        <f>F10+H10+L10</f>
        <v>1917.6699999999998</v>
      </c>
      <c r="N10" s="121"/>
      <c r="O10" s="121"/>
      <c r="P10" s="121"/>
      <c r="Q10" s="121"/>
      <c r="R10" s="121"/>
      <c r="S10" s="124">
        <v>1</v>
      </c>
    </row>
    <row r="11" spans="1:21" ht="34.5" customHeight="1" x14ac:dyDescent="0.25">
      <c r="A11" s="114" t="s">
        <v>167</v>
      </c>
      <c r="B11" s="4"/>
      <c r="C11" s="4"/>
      <c r="D11" s="114"/>
      <c r="F11" s="114"/>
      <c r="G11" s="114" t="s">
        <v>168</v>
      </c>
      <c r="H11" s="114"/>
      <c r="I11" s="114"/>
      <c r="J11" s="114"/>
      <c r="K11" s="112"/>
      <c r="L11" s="134" t="s">
        <v>169</v>
      </c>
      <c r="M11" s="135">
        <f>SUM(M7:M10)</f>
        <v>7245.3300000000008</v>
      </c>
      <c r="N11" s="112"/>
      <c r="O11" s="112"/>
      <c r="P11" s="112"/>
      <c r="Q11" s="112"/>
      <c r="R11" s="112"/>
      <c r="S11" s="112"/>
    </row>
    <row r="12" spans="1:21" ht="24.75" customHeight="1" x14ac:dyDescent="0.25">
      <c r="A12" s="505" t="s">
        <v>170</v>
      </c>
      <c r="B12" s="505"/>
      <c r="C12" s="505"/>
      <c r="D12" s="505"/>
      <c r="E12" s="505"/>
      <c r="F12" s="505"/>
      <c r="G12" s="505"/>
      <c r="N12" s="112"/>
      <c r="O12" s="112"/>
      <c r="P12" s="112"/>
      <c r="Q12" s="112"/>
      <c r="R12" s="112"/>
      <c r="S12" s="112"/>
    </row>
    <row r="13" spans="1:21" ht="24" customHeight="1" x14ac:dyDescent="0.25">
      <c r="A13" s="16">
        <v>1</v>
      </c>
      <c r="B13" s="506" t="s">
        <v>171</v>
      </c>
      <c r="C13" s="506"/>
      <c r="D13" s="506"/>
      <c r="E13" s="507" t="s">
        <v>172</v>
      </c>
      <c r="F13" s="507"/>
      <c r="G13" s="507"/>
      <c r="H13" s="3" t="s">
        <v>173</v>
      </c>
      <c r="N13" s="112"/>
      <c r="O13" s="112"/>
      <c r="P13" s="112"/>
      <c r="Q13" s="112"/>
      <c r="R13" s="112"/>
      <c r="S13" s="56"/>
    </row>
    <row r="14" spans="1:21" ht="24" customHeight="1" x14ac:dyDescent="0.25">
      <c r="A14" s="16">
        <v>2</v>
      </c>
      <c r="B14" s="506" t="s">
        <v>174</v>
      </c>
      <c r="C14" s="506"/>
      <c r="D14" s="506"/>
      <c r="E14" s="507" t="s">
        <v>175</v>
      </c>
      <c r="F14" s="507"/>
      <c r="G14" s="507"/>
      <c r="H14" s="3" t="s">
        <v>176</v>
      </c>
      <c r="N14" s="112"/>
      <c r="O14" s="112"/>
      <c r="P14" s="112"/>
      <c r="Q14" s="112"/>
      <c r="R14" s="112"/>
      <c r="S14" s="56"/>
    </row>
    <row r="15" spans="1:21" ht="24" customHeight="1" x14ac:dyDescent="0.25">
      <c r="A15" s="16">
        <v>3</v>
      </c>
      <c r="B15" s="506" t="s">
        <v>177</v>
      </c>
      <c r="C15" s="506"/>
      <c r="D15" s="506"/>
      <c r="E15" s="507" t="s">
        <v>178</v>
      </c>
      <c r="F15" s="507"/>
      <c r="G15" s="507"/>
      <c r="H15" s="3" t="s">
        <v>179</v>
      </c>
      <c r="N15" s="112"/>
      <c r="O15" s="112"/>
      <c r="P15" s="112"/>
      <c r="Q15" s="112"/>
      <c r="R15" s="112"/>
      <c r="S15" s="56"/>
    </row>
    <row r="16" spans="1:21" ht="24" customHeight="1" x14ac:dyDescent="0.25">
      <c r="A16" s="16">
        <v>4</v>
      </c>
      <c r="B16" s="506" t="s">
        <v>180</v>
      </c>
      <c r="C16" s="506"/>
      <c r="D16" s="506"/>
      <c r="E16" s="507" t="s">
        <v>181</v>
      </c>
      <c r="F16" s="507"/>
      <c r="G16" s="507"/>
      <c r="H16" s="3" t="s">
        <v>182</v>
      </c>
      <c r="N16" s="112"/>
      <c r="O16" s="112"/>
      <c r="P16" s="112"/>
      <c r="Q16" s="112"/>
      <c r="R16" s="112"/>
      <c r="S16" s="56"/>
    </row>
    <row r="17" spans="1:19" ht="24" customHeight="1" x14ac:dyDescent="0.25">
      <c r="A17" s="16">
        <v>5</v>
      </c>
      <c r="B17" s="506" t="s">
        <v>183</v>
      </c>
      <c r="C17" s="506"/>
      <c r="D17" s="506"/>
      <c r="E17" s="507" t="s">
        <v>184</v>
      </c>
      <c r="F17" s="507"/>
      <c r="G17" s="507"/>
      <c r="H17" s="3" t="s">
        <v>185</v>
      </c>
      <c r="N17" s="112"/>
      <c r="O17" s="112"/>
      <c r="P17" s="112"/>
      <c r="Q17" s="112"/>
      <c r="R17" s="112"/>
      <c r="S17" s="56"/>
    </row>
    <row r="18" spans="1:19" s="2" customFormat="1" ht="12.75" customHeight="1" x14ac:dyDescent="0.25">
      <c r="A18" s="136"/>
      <c r="H18" s="3"/>
    </row>
    <row r="19" spans="1:19" s="56" customFormat="1" ht="24.75" customHeight="1" x14ac:dyDescent="0.25">
      <c r="A19" s="505" t="s">
        <v>186</v>
      </c>
      <c r="B19" s="505"/>
      <c r="C19" s="505"/>
      <c r="D19" s="505"/>
      <c r="E19" s="505"/>
      <c r="F19" s="505"/>
      <c r="G19" s="505"/>
      <c r="H19" s="3"/>
      <c r="I19" s="112"/>
      <c r="J19" s="112"/>
      <c r="K19" s="112"/>
      <c r="L19" s="112"/>
      <c r="M19" s="112"/>
      <c r="N19" s="112"/>
      <c r="O19" s="112"/>
      <c r="P19" s="112"/>
      <c r="Q19" s="112"/>
      <c r="R19" s="112"/>
    </row>
    <row r="20" spans="1:19" s="2" customFormat="1" ht="24" customHeight="1" x14ac:dyDescent="0.25">
      <c r="A20" s="16" t="s">
        <v>187</v>
      </c>
      <c r="B20" s="506" t="s">
        <v>188</v>
      </c>
      <c r="C20" s="506"/>
      <c r="D20" s="506"/>
      <c r="E20" s="506"/>
      <c r="F20" s="506"/>
      <c r="G20" s="122">
        <f>Encargos!C57</f>
        <v>0.76400000000000001</v>
      </c>
      <c r="H20" s="3"/>
    </row>
    <row r="21" spans="1:19" s="2" customFormat="1" ht="12.75" customHeight="1" x14ac:dyDescent="0.25">
      <c r="A21" s="136"/>
      <c r="G21" s="4"/>
      <c r="H21" s="3"/>
    </row>
    <row r="22" spans="1:19" s="2" customFormat="1" ht="24.75" customHeight="1" x14ac:dyDescent="0.25">
      <c r="A22" s="89">
        <v>1</v>
      </c>
      <c r="B22" s="506" t="s">
        <v>189</v>
      </c>
      <c r="C22" s="506"/>
      <c r="D22" s="506"/>
      <c r="E22" s="506"/>
      <c r="F22" s="506"/>
      <c r="G22" s="137">
        <f>G23*G24</f>
        <v>0.06</v>
      </c>
      <c r="H22" s="3"/>
    </row>
    <row r="23" spans="1:19" s="2" customFormat="1" ht="24.75" customHeight="1" x14ac:dyDescent="0.25">
      <c r="A23" s="89">
        <v>2</v>
      </c>
      <c r="B23" s="506" t="s">
        <v>190</v>
      </c>
      <c r="C23" s="506"/>
      <c r="D23" s="506"/>
      <c r="E23" s="506"/>
      <c r="F23" s="506"/>
      <c r="G23" s="126">
        <v>0.03</v>
      </c>
      <c r="H23" s="3" t="s">
        <v>191</v>
      </c>
    </row>
    <row r="24" spans="1:19" s="2" customFormat="1" ht="24.75" customHeight="1" x14ac:dyDescent="0.25">
      <c r="A24" s="89">
        <v>3</v>
      </c>
      <c r="B24" s="506" t="s">
        <v>192</v>
      </c>
      <c r="C24" s="506"/>
      <c r="D24" s="506"/>
      <c r="E24" s="506"/>
      <c r="F24" s="506"/>
      <c r="G24" s="138">
        <v>2</v>
      </c>
      <c r="H24" s="3" t="s">
        <v>193</v>
      </c>
    </row>
    <row r="25" spans="1:19" s="2" customFormat="1" ht="12.75" customHeight="1" x14ac:dyDescent="0.25">
      <c r="A25" s="136"/>
      <c r="B25" s="112"/>
      <c r="C25" s="112"/>
      <c r="D25" s="112"/>
      <c r="E25" s="112"/>
      <c r="F25" s="112"/>
      <c r="H25" s="3"/>
    </row>
    <row r="26" spans="1:19" s="2" customFormat="1" ht="24.75" customHeight="1" x14ac:dyDescent="0.25">
      <c r="A26" s="505" t="s">
        <v>194</v>
      </c>
      <c r="B26" s="505"/>
      <c r="C26" s="505"/>
      <c r="D26" s="505"/>
      <c r="E26" s="505"/>
      <c r="F26" s="505"/>
      <c r="G26" s="505"/>
      <c r="H26" s="3"/>
    </row>
    <row r="27" spans="1:19" s="2" customFormat="1" ht="24.75" customHeight="1" x14ac:dyDescent="0.25">
      <c r="A27" s="89">
        <v>1</v>
      </c>
      <c r="B27" s="506" t="s">
        <v>195</v>
      </c>
      <c r="C27" s="506"/>
      <c r="D27" s="506"/>
      <c r="E27" s="506"/>
      <c r="F27" s="506"/>
      <c r="G27" s="138">
        <v>1621</v>
      </c>
      <c r="H27" s="3" t="s">
        <v>196</v>
      </c>
    </row>
    <row r="28" spans="1:19" s="2" customFormat="1" ht="12.75" customHeight="1" x14ac:dyDescent="0.25">
      <c r="A28" s="139"/>
      <c r="B28" s="140"/>
      <c r="C28" s="140"/>
      <c r="D28" s="140"/>
      <c r="E28" s="140"/>
      <c r="F28" s="140"/>
      <c r="G28" s="141"/>
      <c r="H28" s="3"/>
    </row>
    <row r="29" spans="1:19" s="56" customFormat="1" ht="24.75" customHeight="1" x14ac:dyDescent="0.25">
      <c r="A29" s="505" t="s">
        <v>197</v>
      </c>
      <c r="B29" s="505"/>
      <c r="C29" s="505"/>
      <c r="D29" s="505"/>
      <c r="E29" s="505"/>
      <c r="F29" s="505"/>
      <c r="G29" s="505"/>
      <c r="H29" s="3"/>
      <c r="I29" s="2"/>
      <c r="J29" s="2"/>
      <c r="K29" s="112"/>
      <c r="L29" s="112"/>
      <c r="M29" s="112"/>
      <c r="N29" s="112"/>
      <c r="O29" s="112"/>
      <c r="P29" s="112"/>
      <c r="Q29" s="112"/>
      <c r="R29" s="112"/>
    </row>
    <row r="30" spans="1:19" s="2" customFormat="1" ht="26.25" customHeight="1" x14ac:dyDescent="0.25">
      <c r="A30" s="16">
        <v>1</v>
      </c>
      <c r="B30" s="506" t="s">
        <v>198</v>
      </c>
      <c r="C30" s="506"/>
      <c r="D30" s="506"/>
      <c r="E30" s="506"/>
      <c r="F30" s="506"/>
      <c r="G30" s="138">
        <v>5.27</v>
      </c>
      <c r="H30" s="3" t="s">
        <v>199</v>
      </c>
    </row>
    <row r="31" spans="1:19" s="2" customFormat="1" ht="26.25" customHeight="1" x14ac:dyDescent="0.25">
      <c r="A31" s="142">
        <v>2</v>
      </c>
      <c r="B31" s="506" t="s">
        <v>200</v>
      </c>
      <c r="C31" s="506"/>
      <c r="D31" s="506"/>
      <c r="E31" s="506"/>
      <c r="F31" s="506"/>
      <c r="G31" s="138">
        <v>0</v>
      </c>
      <c r="H31" s="3" t="s">
        <v>199</v>
      </c>
    </row>
    <row r="32" spans="1:19" s="2" customFormat="1" ht="26.25" customHeight="1" x14ac:dyDescent="0.25">
      <c r="A32" s="508">
        <v>3</v>
      </c>
      <c r="B32" s="509" t="s">
        <v>201</v>
      </c>
      <c r="C32" s="509"/>
      <c r="D32" s="506" t="s">
        <v>202</v>
      </c>
      <c r="E32" s="506"/>
      <c r="F32" s="506"/>
      <c r="G32" s="138">
        <v>5</v>
      </c>
      <c r="H32" s="3" t="s">
        <v>203</v>
      </c>
      <c r="I32" s="112"/>
      <c r="O32" s="3"/>
    </row>
    <row r="33" spans="1:18" s="2" customFormat="1" ht="26.25" customHeight="1" x14ac:dyDescent="0.25">
      <c r="A33" s="508"/>
      <c r="B33" s="509"/>
      <c r="C33" s="509"/>
      <c r="D33" s="506" t="s">
        <v>204</v>
      </c>
      <c r="E33" s="506"/>
      <c r="F33" s="506"/>
      <c r="G33" s="138">
        <v>2</v>
      </c>
      <c r="H33" s="3" t="s">
        <v>205</v>
      </c>
      <c r="I33" s="112"/>
      <c r="O33" s="3"/>
    </row>
    <row r="34" spans="1:18" s="2" customFormat="1" ht="26.25" customHeight="1" x14ac:dyDescent="0.25">
      <c r="A34" s="508"/>
      <c r="B34" s="509"/>
      <c r="C34" s="509"/>
      <c r="D34" s="506" t="s">
        <v>206</v>
      </c>
      <c r="E34" s="506"/>
      <c r="F34" s="506"/>
      <c r="G34" s="143">
        <v>22</v>
      </c>
      <c r="H34" s="3" t="s">
        <v>207</v>
      </c>
      <c r="I34" s="112"/>
      <c r="O34" s="3"/>
    </row>
    <row r="35" spans="1:18" ht="26.25" customHeight="1" x14ac:dyDescent="0.25">
      <c r="A35" s="508"/>
      <c r="B35" s="509"/>
      <c r="C35" s="509"/>
      <c r="D35" s="510" t="s">
        <v>208</v>
      </c>
      <c r="E35" s="510"/>
      <c r="F35" s="510"/>
      <c r="G35" s="144">
        <v>0.06</v>
      </c>
      <c r="H35" s="3" t="s">
        <v>209</v>
      </c>
      <c r="O35" s="3"/>
    </row>
    <row r="36" spans="1:18" s="2" customFormat="1" ht="26.25" customHeight="1" x14ac:dyDescent="0.25">
      <c r="A36" s="508">
        <v>4</v>
      </c>
      <c r="B36" s="509" t="s">
        <v>210</v>
      </c>
      <c r="C36" s="509"/>
      <c r="D36" s="506" t="s">
        <v>211</v>
      </c>
      <c r="E36" s="506"/>
      <c r="F36" s="506"/>
      <c r="G36" s="138">
        <v>29</v>
      </c>
      <c r="H36" s="3" t="s">
        <v>212</v>
      </c>
      <c r="I36" s="112"/>
    </row>
    <row r="37" spans="1:18" ht="26.25" customHeight="1" x14ac:dyDescent="0.25">
      <c r="A37" s="508"/>
      <c r="B37" s="509"/>
      <c r="C37" s="509"/>
      <c r="D37" s="506" t="s">
        <v>206</v>
      </c>
      <c r="E37" s="506"/>
      <c r="F37" s="506"/>
      <c r="G37" s="143">
        <v>22</v>
      </c>
      <c r="H37" s="3" t="s">
        <v>207</v>
      </c>
      <c r="I37" s="5"/>
      <c r="J37" s="5"/>
      <c r="K37" s="112"/>
      <c r="O37" s="3"/>
    </row>
    <row r="38" spans="1:18" s="2" customFormat="1" ht="26.25" customHeight="1" x14ac:dyDescent="0.25">
      <c r="A38" s="508"/>
      <c r="B38" s="509"/>
      <c r="C38" s="509"/>
      <c r="D38" s="510" t="s">
        <v>208</v>
      </c>
      <c r="E38" s="510"/>
      <c r="F38" s="510"/>
      <c r="G38" s="126">
        <v>0.2</v>
      </c>
      <c r="H38" s="3" t="s">
        <v>209</v>
      </c>
      <c r="O38" s="3"/>
    </row>
    <row r="39" spans="1:18" s="2" customFormat="1" ht="26.25" customHeight="1" x14ac:dyDescent="0.25">
      <c r="A39" s="16">
        <v>5</v>
      </c>
      <c r="B39" s="511" t="s">
        <v>213</v>
      </c>
      <c r="C39" s="511"/>
      <c r="D39" s="511"/>
      <c r="E39" s="511"/>
      <c r="F39" s="511"/>
      <c r="G39" s="138">
        <v>0</v>
      </c>
      <c r="H39" s="3" t="s">
        <v>214</v>
      </c>
      <c r="O39" s="3"/>
    </row>
    <row r="40" spans="1:18" s="2" customFormat="1" ht="26.25" customHeight="1" x14ac:dyDescent="0.25">
      <c r="A40" s="16">
        <v>6</v>
      </c>
      <c r="B40" s="511" t="s">
        <v>213</v>
      </c>
      <c r="C40" s="511"/>
      <c r="D40" s="511"/>
      <c r="E40" s="511"/>
      <c r="F40" s="511"/>
      <c r="G40" s="138">
        <v>0</v>
      </c>
      <c r="H40" s="3" t="s">
        <v>214</v>
      </c>
    </row>
    <row r="41" spans="1:18" s="2" customFormat="1" ht="12.75" customHeight="1" x14ac:dyDescent="0.25">
      <c r="H41" s="3"/>
    </row>
    <row r="42" spans="1:18" s="56" customFormat="1" ht="24.75" customHeight="1" x14ac:dyDescent="0.25">
      <c r="A42" s="505" t="s">
        <v>215</v>
      </c>
      <c r="B42" s="505"/>
      <c r="C42" s="505"/>
      <c r="D42" s="505"/>
      <c r="E42" s="505"/>
      <c r="F42" s="505"/>
      <c r="G42" s="505"/>
      <c r="H42" s="3"/>
      <c r="I42" s="112"/>
      <c r="J42" s="112"/>
      <c r="K42" s="112"/>
      <c r="L42" s="112"/>
      <c r="M42" s="112"/>
      <c r="N42" s="112"/>
      <c r="O42" s="112"/>
      <c r="P42" s="112"/>
      <c r="Q42" s="112"/>
      <c r="R42" s="112"/>
    </row>
    <row r="43" spans="1:18" s="2" customFormat="1" ht="24.75" customHeight="1" x14ac:dyDescent="0.25">
      <c r="A43" s="16">
        <v>1</v>
      </c>
      <c r="B43" s="506" t="s">
        <v>216</v>
      </c>
      <c r="C43" s="506"/>
      <c r="D43" s="506"/>
      <c r="E43" s="506"/>
      <c r="F43" s="506"/>
      <c r="G43" s="145">
        <v>0.03</v>
      </c>
      <c r="H43" s="3" t="s">
        <v>217</v>
      </c>
    </row>
    <row r="44" spans="1:18" s="2" customFormat="1" ht="24.75" customHeight="1" x14ac:dyDescent="0.25">
      <c r="A44" s="16">
        <v>2</v>
      </c>
      <c r="B44" s="506" t="s">
        <v>218</v>
      </c>
      <c r="C44" s="506"/>
      <c r="D44" s="506"/>
      <c r="E44" s="506"/>
      <c r="F44" s="506"/>
      <c r="G44" s="146">
        <v>6.7900000000000002E-2</v>
      </c>
      <c r="H44" s="3" t="s">
        <v>217</v>
      </c>
    </row>
    <row r="45" spans="1:18" s="2" customFormat="1" ht="12.75" customHeight="1" x14ac:dyDescent="0.25">
      <c r="H45" s="3"/>
    </row>
    <row r="46" spans="1:18" s="56" customFormat="1" ht="24.75" customHeight="1" x14ac:dyDescent="0.25">
      <c r="A46" s="505" t="s">
        <v>219</v>
      </c>
      <c r="B46" s="505"/>
      <c r="C46" s="505"/>
      <c r="D46" s="505"/>
      <c r="E46" s="505"/>
      <c r="F46" s="505"/>
      <c r="G46" s="505"/>
      <c r="H46" s="3"/>
      <c r="I46" s="112"/>
      <c r="J46" s="112"/>
      <c r="K46" s="112"/>
      <c r="L46" s="112"/>
      <c r="M46" s="112"/>
      <c r="N46" s="112"/>
      <c r="O46" s="112"/>
      <c r="P46" s="112"/>
      <c r="Q46" s="112"/>
      <c r="R46" s="112"/>
    </row>
    <row r="47" spans="1:18" s="56" customFormat="1" ht="24.75" customHeight="1" x14ac:dyDescent="0.25">
      <c r="A47" s="503" t="s">
        <v>220</v>
      </c>
      <c r="B47" s="505" t="str">
        <f>IF(F50="LUCRO REAL","INFORMAR ALÍQUOTAS MÉDIAS DE RECOLHIMENTO DOS ÚLTIMOS 12 (DOZE) MESES.",IF(F50="LUCRO PRESUMIDO","ALÍQUOTAS FIXAS - PIS: 0,65%; COFINS: 3,00%.",IF(F50="SIMPLES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INFORMAR ALÍQUOTAS MÉDIAS DE RECOLHIMENTO DOS ÚLTIMOS 12 (DOZE) MESES.</v>
      </c>
      <c r="C47" s="505"/>
      <c r="D47" s="505"/>
      <c r="E47" s="505"/>
      <c r="F47" s="505"/>
      <c r="G47" s="505"/>
      <c r="H47" s="3"/>
      <c r="I47" s="112"/>
      <c r="J47" s="112"/>
      <c r="K47" s="112"/>
      <c r="L47" s="112"/>
      <c r="M47" s="112"/>
      <c r="N47" s="112"/>
      <c r="O47" s="112"/>
      <c r="P47" s="112"/>
      <c r="Q47" s="112"/>
      <c r="R47" s="112"/>
    </row>
    <row r="48" spans="1:18" s="56" customFormat="1" ht="24.75" customHeight="1" x14ac:dyDescent="0.25">
      <c r="A48" s="503"/>
      <c r="B48" s="503"/>
      <c r="C48" s="505"/>
      <c r="D48" s="505"/>
      <c r="E48" s="505"/>
      <c r="F48" s="505"/>
      <c r="G48" s="505"/>
      <c r="H48" s="3"/>
      <c r="I48" s="112"/>
      <c r="J48" s="112"/>
      <c r="K48" s="112"/>
      <c r="L48" s="112"/>
      <c r="M48" s="112"/>
      <c r="N48" s="112"/>
      <c r="O48" s="112"/>
      <c r="P48" s="112"/>
      <c r="Q48" s="112"/>
      <c r="R48" s="112"/>
    </row>
    <row r="49" spans="1:18" s="56" customFormat="1" ht="24.75" customHeight="1" x14ac:dyDescent="0.25">
      <c r="A49" s="503"/>
      <c r="B49" s="503"/>
      <c r="C49" s="505"/>
      <c r="D49" s="505"/>
      <c r="E49" s="505"/>
      <c r="F49" s="505"/>
      <c r="G49" s="505"/>
      <c r="H49" s="3"/>
      <c r="I49" s="112"/>
      <c r="J49" s="112"/>
      <c r="K49" s="112"/>
      <c r="L49" s="112"/>
      <c r="M49" s="112"/>
      <c r="N49" s="112"/>
      <c r="O49" s="112"/>
      <c r="P49" s="112"/>
      <c r="Q49" s="112"/>
      <c r="R49" s="112"/>
    </row>
    <row r="50" spans="1:18" s="2" customFormat="1" ht="24" customHeight="1" x14ac:dyDescent="0.25">
      <c r="A50" s="16">
        <v>1</v>
      </c>
      <c r="B50" s="506" t="s">
        <v>221</v>
      </c>
      <c r="C50" s="506"/>
      <c r="D50" s="506"/>
      <c r="E50" s="506"/>
      <c r="F50" s="507" t="s">
        <v>222</v>
      </c>
      <c r="G50" s="507"/>
      <c r="H50" s="3" t="s">
        <v>223</v>
      </c>
      <c r="R50" s="147"/>
    </row>
    <row r="51" spans="1:18" s="2" customFormat="1" ht="24" customHeight="1" x14ac:dyDescent="0.25">
      <c r="A51" s="16">
        <v>2</v>
      </c>
      <c r="B51" s="506" t="s">
        <v>224</v>
      </c>
      <c r="C51" s="506"/>
      <c r="D51" s="506"/>
      <c r="E51" s="506"/>
      <c r="F51" s="506"/>
      <c r="G51" s="126">
        <v>7.5999999999999998E-2</v>
      </c>
      <c r="H51" s="3" t="s">
        <v>225</v>
      </c>
    </row>
    <row r="52" spans="1:18" s="2" customFormat="1" ht="24" customHeight="1" x14ac:dyDescent="0.25">
      <c r="A52" s="16">
        <v>3</v>
      </c>
      <c r="B52" s="506" t="s">
        <v>226</v>
      </c>
      <c r="C52" s="506"/>
      <c r="D52" s="506"/>
      <c r="E52" s="506"/>
      <c r="F52" s="506"/>
      <c r="G52" s="126">
        <v>1.6500000000000001E-2</v>
      </c>
      <c r="H52" s="3" t="s">
        <v>225</v>
      </c>
    </row>
    <row r="53" spans="1:18" s="2" customFormat="1" ht="24" customHeight="1" x14ac:dyDescent="0.25">
      <c r="A53" s="16">
        <v>4</v>
      </c>
      <c r="B53" s="506" t="s">
        <v>227</v>
      </c>
      <c r="C53" s="506"/>
      <c r="D53" s="506"/>
      <c r="E53" s="506"/>
      <c r="F53" s="506"/>
      <c r="G53" s="126">
        <v>0.03</v>
      </c>
      <c r="H53" s="3" t="s">
        <v>228</v>
      </c>
    </row>
    <row r="54" spans="1:18" s="2" customFormat="1" ht="24" customHeight="1" x14ac:dyDescent="0.25">
      <c r="A54" s="16">
        <v>5</v>
      </c>
      <c r="B54" s="512" t="s">
        <v>229</v>
      </c>
      <c r="C54" s="512"/>
      <c r="D54" s="512"/>
      <c r="E54" s="512"/>
      <c r="F54" s="512"/>
      <c r="G54" s="126">
        <v>0.05</v>
      </c>
      <c r="H54" s="3" t="s">
        <v>230</v>
      </c>
    </row>
    <row r="55" spans="1:18" s="2" customFormat="1" ht="21.75" customHeight="1" x14ac:dyDescent="0.25">
      <c r="A55" s="16">
        <v>6</v>
      </c>
      <c r="B55" s="506" t="s">
        <v>231</v>
      </c>
      <c r="C55" s="506"/>
      <c r="D55" s="506"/>
      <c r="E55" s="506"/>
      <c r="F55" s="506"/>
      <c r="G55" s="122">
        <f>SUM(G51:G54)</f>
        <v>0.17249999999999999</v>
      </c>
      <c r="H55" s="3"/>
    </row>
    <row r="56" spans="1:18" ht="12.75" customHeight="1" x14ac:dyDescent="0.25"/>
    <row r="57" spans="1:18" s="2" customFormat="1" x14ac:dyDescent="0.25"/>
  </sheetData>
  <sheetProtection algorithmName="SHA-512" hashValue="WoVgL2NqNrNwvBppV9PYWhvkD245U1WUCneFzjPd5Ts85/1zzAZqFCh9DSITCSCHeTsP59rcoPqSGj9P1NRWhg==" saltValue="MeKBJ6dEIQzRbqvzZ64Wzw==" spinCount="100000" sheet="1" objects="1" scenarios="1"/>
  <mergeCells count="62">
    <mergeCell ref="B51:F51"/>
    <mergeCell ref="B52:F52"/>
    <mergeCell ref="B53:F53"/>
    <mergeCell ref="B54:F54"/>
    <mergeCell ref="B55:F55"/>
    <mergeCell ref="A46:G46"/>
    <mergeCell ref="A47:A49"/>
    <mergeCell ref="B47:G49"/>
    <mergeCell ref="B50:E50"/>
    <mergeCell ref="F50:G50"/>
    <mergeCell ref="B39:F39"/>
    <mergeCell ref="B40:F40"/>
    <mergeCell ref="A42:G42"/>
    <mergeCell ref="B43:F43"/>
    <mergeCell ref="B44:F44"/>
    <mergeCell ref="A36:A38"/>
    <mergeCell ref="B36:C38"/>
    <mergeCell ref="D36:F36"/>
    <mergeCell ref="D37:F37"/>
    <mergeCell ref="D38:F38"/>
    <mergeCell ref="A32:A35"/>
    <mergeCell ref="B32:C35"/>
    <mergeCell ref="D32:F32"/>
    <mergeCell ref="D33:F33"/>
    <mergeCell ref="D34:F34"/>
    <mergeCell ref="D35:F35"/>
    <mergeCell ref="A26:G26"/>
    <mergeCell ref="B27:F27"/>
    <mergeCell ref="A29:G29"/>
    <mergeCell ref="B30:F30"/>
    <mergeCell ref="B31:F31"/>
    <mergeCell ref="A19:G19"/>
    <mergeCell ref="B20:F20"/>
    <mergeCell ref="B22:F22"/>
    <mergeCell ref="B23:F23"/>
    <mergeCell ref="B24:F24"/>
    <mergeCell ref="B15:D15"/>
    <mergeCell ref="E15:G15"/>
    <mergeCell ref="B16:D16"/>
    <mergeCell ref="E16:G16"/>
    <mergeCell ref="B17:D17"/>
    <mergeCell ref="E17:G17"/>
    <mergeCell ref="A12:G12"/>
    <mergeCell ref="B13:D13"/>
    <mergeCell ref="E13:G13"/>
    <mergeCell ref="B14:D14"/>
    <mergeCell ref="E14:G14"/>
    <mergeCell ref="K5:K6"/>
    <mergeCell ref="L5:L6"/>
    <mergeCell ref="M5:M6"/>
    <mergeCell ref="S5:S6"/>
    <mergeCell ref="A7:A9"/>
    <mergeCell ref="F5:F6"/>
    <mergeCell ref="G5:G6"/>
    <mergeCell ref="H5:H6"/>
    <mergeCell ref="I5:I6"/>
    <mergeCell ref="J5:J6"/>
    <mergeCell ref="A5:A6"/>
    <mergeCell ref="B5:B6"/>
    <mergeCell ref="C5:C6"/>
    <mergeCell ref="D5:D6"/>
    <mergeCell ref="E5:E6"/>
  </mergeCells>
  <dataValidations count="1">
    <dataValidation type="list" allowBlank="1" showInputMessage="1" showErrorMessage="1" sqref="F50" xr:uid="{00000000-0002-0000-0200-000000000000}">
      <formula1>"LUCRO REAL,LUCRO PRESUMIDO,SIMPLES NACIONAL,OUTRO"</formula1>
      <formula2>0</formula2>
    </dataValidation>
  </dataValidations>
  <printOptions horizontalCentered="1" verticalCentered="1"/>
  <pageMargins left="0.51180555555555596" right="0.51180555555555596" top="0.78749999999999998" bottom="0.78749999999999998" header="0.511811023622047" footer="0.511811023622047"/>
  <pageSetup paperSize="9" scale="33" fitToHeight="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sheetPr>
  <dimension ref="A1:H61"/>
  <sheetViews>
    <sheetView showGridLines="0" view="pageBreakPreview" topLeftCell="A51" zoomScale="120" zoomScaleNormal="100" zoomScalePageLayoutView="120" workbookViewId="0">
      <selection activeCell="E10" sqref="E10"/>
    </sheetView>
  </sheetViews>
  <sheetFormatPr defaultColWidth="8.7109375" defaultRowHeight="15" x14ac:dyDescent="0.25"/>
  <cols>
    <col min="1" max="1" width="9" customWidth="1"/>
    <col min="2" max="2" width="55.5703125" customWidth="1"/>
    <col min="3" max="3" width="13.140625" customWidth="1"/>
    <col min="4" max="4" width="4.85546875" customWidth="1"/>
    <col min="5" max="5" width="41.7109375" customWidth="1"/>
    <col min="6" max="8" width="11" customWidth="1"/>
    <col min="9" max="257" width="9" customWidth="1"/>
    <col min="258" max="258" width="55.5703125" customWidth="1"/>
    <col min="259" max="259" width="13.140625" customWidth="1"/>
    <col min="260" max="260" width="9" customWidth="1"/>
    <col min="261" max="261" width="35.140625" customWidth="1"/>
    <col min="262" max="264" width="11" customWidth="1"/>
    <col min="265" max="513" width="9" customWidth="1"/>
    <col min="514" max="514" width="55.5703125" customWidth="1"/>
    <col min="515" max="515" width="13.140625" customWidth="1"/>
    <col min="516" max="516" width="9" customWidth="1"/>
    <col min="517" max="517" width="35.140625" customWidth="1"/>
    <col min="518" max="520" width="11" customWidth="1"/>
    <col min="521" max="769" width="9" customWidth="1"/>
    <col min="770" max="770" width="55.5703125" customWidth="1"/>
    <col min="771" max="771" width="13.140625" customWidth="1"/>
    <col min="772" max="772" width="9" customWidth="1"/>
    <col min="773" max="773" width="35.140625" customWidth="1"/>
    <col min="774" max="776" width="11" customWidth="1"/>
    <col min="777" max="1025" width="9" customWidth="1"/>
  </cols>
  <sheetData>
    <row r="1" spans="1:4" x14ac:dyDescent="0.25">
      <c r="A1" s="148"/>
      <c r="B1" s="93" t="str">
        <f>INSTRUÇÕES!B1</f>
        <v>Tribunal Regional Federal da 6ª Região</v>
      </c>
      <c r="C1" s="149"/>
    </row>
    <row r="2" spans="1:4" x14ac:dyDescent="0.25">
      <c r="A2" s="150"/>
      <c r="B2" s="95" t="str">
        <f>INSTRUÇÕES!B2</f>
        <v>Seção Judiciária de Minas Gerais</v>
      </c>
      <c r="C2" s="151"/>
    </row>
    <row r="3" spans="1:4" x14ac:dyDescent="0.25">
      <c r="A3" s="152"/>
      <c r="B3" s="95" t="str">
        <f>INSTRUÇÕES!B3</f>
        <v>Subseção Judiciária de Lavras</v>
      </c>
      <c r="C3" s="151"/>
    </row>
    <row r="4" spans="1:4" ht="21.75" customHeight="1" x14ac:dyDescent="0.25">
      <c r="A4" s="513" t="s">
        <v>242</v>
      </c>
      <c r="B4" s="513"/>
      <c r="C4" s="513"/>
    </row>
    <row r="5" spans="1:4" ht="21.75" customHeight="1" x14ac:dyDescent="0.25">
      <c r="A5" s="513" t="s">
        <v>593</v>
      </c>
      <c r="B5" s="513"/>
      <c r="C5" s="513"/>
    </row>
    <row r="6" spans="1:4" ht="26.25" customHeight="1" x14ac:dyDescent="0.25">
      <c r="A6" s="514" t="s">
        <v>243</v>
      </c>
      <c r="B6" s="514"/>
      <c r="C6" s="514"/>
    </row>
    <row r="7" spans="1:4" x14ac:dyDescent="0.25">
      <c r="A7" s="515" t="s">
        <v>244</v>
      </c>
      <c r="B7" s="515"/>
      <c r="C7" s="515"/>
    </row>
    <row r="8" spans="1:4" ht="15.75" customHeight="1" x14ac:dyDescent="0.25">
      <c r="A8" s="153" t="s">
        <v>52</v>
      </c>
      <c r="B8" s="154" t="s">
        <v>245</v>
      </c>
      <c r="C8" s="155" t="s">
        <v>246</v>
      </c>
    </row>
    <row r="9" spans="1:4" ht="15.75" customHeight="1" x14ac:dyDescent="0.25">
      <c r="A9" s="156" t="s">
        <v>247</v>
      </c>
      <c r="B9" s="516" t="s">
        <v>248</v>
      </c>
      <c r="C9" s="516"/>
    </row>
    <row r="10" spans="1:4" ht="15.75" customHeight="1" x14ac:dyDescent="0.25">
      <c r="A10" s="157">
        <v>1</v>
      </c>
      <c r="B10" s="158" t="s">
        <v>249</v>
      </c>
      <c r="C10" s="159">
        <v>0.2</v>
      </c>
    </row>
    <row r="11" spans="1:4" ht="15.75" customHeight="1" x14ac:dyDescent="0.25">
      <c r="A11" s="157">
        <v>2</v>
      </c>
      <c r="B11" s="158" t="s">
        <v>250</v>
      </c>
      <c r="C11" s="159">
        <v>1.4999999999999999E-2</v>
      </c>
    </row>
    <row r="12" spans="1:4" ht="15.75" customHeight="1" x14ac:dyDescent="0.25">
      <c r="A12" s="157">
        <v>3</v>
      </c>
      <c r="B12" s="158" t="s">
        <v>251</v>
      </c>
      <c r="C12" s="159">
        <v>0.01</v>
      </c>
    </row>
    <row r="13" spans="1:4" ht="15.75" customHeight="1" x14ac:dyDescent="0.25">
      <c r="A13" s="157">
        <v>4</v>
      </c>
      <c r="B13" s="158" t="s">
        <v>252</v>
      </c>
      <c r="C13" s="159">
        <v>2E-3</v>
      </c>
    </row>
    <row r="14" spans="1:4" ht="15.75" customHeight="1" x14ac:dyDescent="0.25">
      <c r="A14" s="157">
        <v>5</v>
      </c>
      <c r="B14" s="158" t="s">
        <v>253</v>
      </c>
      <c r="C14" s="159">
        <v>2.5000000000000001E-2</v>
      </c>
    </row>
    <row r="15" spans="1:4" ht="15.75" customHeight="1" x14ac:dyDescent="0.25">
      <c r="A15" s="157">
        <v>6</v>
      </c>
      <c r="B15" s="158" t="s">
        <v>254</v>
      </c>
      <c r="C15" s="159">
        <v>0.08</v>
      </c>
    </row>
    <row r="16" spans="1:4" ht="15.75" customHeight="1" x14ac:dyDescent="0.25">
      <c r="A16" s="157">
        <v>7</v>
      </c>
      <c r="B16" s="158" t="s">
        <v>255</v>
      </c>
      <c r="C16" s="160">
        <f>Dados!G22</f>
        <v>0.06</v>
      </c>
      <c r="D16" s="161" t="s">
        <v>256</v>
      </c>
    </row>
    <row r="17" spans="1:3" ht="15.75" customHeight="1" x14ac:dyDescent="0.25">
      <c r="A17" s="157">
        <v>8</v>
      </c>
      <c r="B17" s="158" t="s">
        <v>257</v>
      </c>
      <c r="C17" s="159">
        <v>6.0000000000000001E-3</v>
      </c>
    </row>
    <row r="18" spans="1:3" ht="15.75" customHeight="1" x14ac:dyDescent="0.25">
      <c r="A18" s="517" t="s">
        <v>258</v>
      </c>
      <c r="B18" s="517"/>
      <c r="C18" s="162">
        <f>SUM(C10:C17)</f>
        <v>0.39800000000000008</v>
      </c>
    </row>
    <row r="19" spans="1:3" ht="15.75" customHeight="1" x14ac:dyDescent="0.25">
      <c r="A19" s="518" t="s">
        <v>259</v>
      </c>
      <c r="B19" s="518"/>
      <c r="C19" s="518"/>
    </row>
    <row r="20" spans="1:3" ht="15.75" customHeight="1" x14ac:dyDescent="0.25">
      <c r="A20" s="518" t="s">
        <v>260</v>
      </c>
      <c r="B20" s="518"/>
      <c r="C20" s="518"/>
    </row>
    <row r="21" spans="1:3" ht="15.75" customHeight="1" x14ac:dyDescent="0.25">
      <c r="A21" s="157">
        <v>9</v>
      </c>
      <c r="B21" s="163" t="s">
        <v>261</v>
      </c>
      <c r="C21" s="164">
        <f>ROUND((100%/11),4)</f>
        <v>9.0899999999999995E-2</v>
      </c>
    </row>
    <row r="22" spans="1:3" ht="15.75" customHeight="1" x14ac:dyDescent="0.25">
      <c r="A22" s="157">
        <v>10</v>
      </c>
      <c r="B22" s="163" t="s">
        <v>262</v>
      </c>
      <c r="C22" s="164">
        <f>ROUND((C21/3),4)</f>
        <v>3.0300000000000001E-2</v>
      </c>
    </row>
    <row r="23" spans="1:3" ht="15.75" customHeight="1" x14ac:dyDescent="0.25">
      <c r="A23" s="519" t="s">
        <v>263</v>
      </c>
      <c r="B23" s="519"/>
      <c r="C23" s="165">
        <f>SUM(C21:C22)</f>
        <v>0.1212</v>
      </c>
    </row>
    <row r="24" spans="1:3" ht="15.75" customHeight="1" x14ac:dyDescent="0.25">
      <c r="A24" s="520" t="s">
        <v>264</v>
      </c>
      <c r="B24" s="520"/>
      <c r="C24" s="160">
        <f>(C18*C23)</f>
        <v>4.8237600000000012E-2</v>
      </c>
    </row>
    <row r="25" spans="1:3" ht="15.75" customHeight="1" x14ac:dyDescent="0.25">
      <c r="A25" s="519" t="s">
        <v>265</v>
      </c>
      <c r="B25" s="519"/>
      <c r="C25" s="165">
        <f>SUM(C23:C24)</f>
        <v>0.16943760000000002</v>
      </c>
    </row>
    <row r="26" spans="1:3" ht="15.75" customHeight="1" x14ac:dyDescent="0.25">
      <c r="A26" s="156" t="s">
        <v>266</v>
      </c>
      <c r="B26" s="516" t="s">
        <v>267</v>
      </c>
      <c r="C26" s="516"/>
    </row>
    <row r="27" spans="1:3" ht="15.75" customHeight="1" x14ac:dyDescent="0.25">
      <c r="A27" s="157">
        <v>11</v>
      </c>
      <c r="B27" s="158" t="s">
        <v>268</v>
      </c>
      <c r="C27" s="159">
        <f>ROUND((0.0144*0.1*0.4509*6/12),4)</f>
        <v>2.9999999999999997E-4</v>
      </c>
    </row>
    <row r="28" spans="1:3" ht="15.75" customHeight="1" x14ac:dyDescent="0.25">
      <c r="A28" s="520" t="s">
        <v>269</v>
      </c>
      <c r="B28" s="520"/>
      <c r="C28" s="166">
        <f>C18*C27</f>
        <v>1.1940000000000002E-4</v>
      </c>
    </row>
    <row r="29" spans="1:3" ht="15.75" customHeight="1" x14ac:dyDescent="0.25">
      <c r="A29" s="519" t="s">
        <v>270</v>
      </c>
      <c r="B29" s="519"/>
      <c r="C29" s="167">
        <f>SUM(C27:C28)</f>
        <v>4.194E-4</v>
      </c>
    </row>
    <row r="30" spans="1:3" ht="15.75" customHeight="1" x14ac:dyDescent="0.25">
      <c r="A30" s="156" t="s">
        <v>271</v>
      </c>
      <c r="B30" s="516" t="s">
        <v>272</v>
      </c>
      <c r="C30" s="516"/>
    </row>
    <row r="31" spans="1:3" ht="15.75" customHeight="1" x14ac:dyDescent="0.25">
      <c r="A31" s="157">
        <v>12</v>
      </c>
      <c r="B31" s="158" t="s">
        <v>273</v>
      </c>
      <c r="C31" s="159">
        <f>ROUND((100%/12)*5%,4)</f>
        <v>4.1999999999999997E-3</v>
      </c>
    </row>
    <row r="32" spans="1:3" ht="15.75" customHeight="1" x14ac:dyDescent="0.25">
      <c r="A32" s="521" t="s">
        <v>274</v>
      </c>
      <c r="B32" s="521"/>
      <c r="C32" s="160">
        <f>C15*C31</f>
        <v>3.3599999999999998E-4</v>
      </c>
    </row>
    <row r="33" spans="1:8" ht="15.75" customHeight="1" x14ac:dyDescent="0.25">
      <c r="A33" s="157">
        <v>13</v>
      </c>
      <c r="B33" s="158" t="s">
        <v>275</v>
      </c>
      <c r="C33" s="164">
        <f>ROUND((C15*0.4*0.9*(1+1/11+1/11+(1/3*1/11))),5)</f>
        <v>3.4909999999999997E-2</v>
      </c>
    </row>
    <row r="34" spans="1:8" ht="15.75" customHeight="1" x14ac:dyDescent="0.25">
      <c r="A34" s="157">
        <v>14</v>
      </c>
      <c r="B34" s="158" t="s">
        <v>276</v>
      </c>
      <c r="C34" s="159">
        <f>(7/30/12)*0.02*100%</f>
        <v>3.8888888888888892E-4</v>
      </c>
    </row>
    <row r="35" spans="1:8" ht="15.75" customHeight="1" x14ac:dyDescent="0.25">
      <c r="A35" s="521" t="s">
        <v>277</v>
      </c>
      <c r="B35" s="521"/>
      <c r="C35" s="160">
        <f>ROUND((C34*C18),4)</f>
        <v>2.0000000000000001E-4</v>
      </c>
    </row>
    <row r="36" spans="1:8" ht="15.75" customHeight="1" x14ac:dyDescent="0.25">
      <c r="A36" s="157">
        <v>15</v>
      </c>
      <c r="B36" s="158" t="s">
        <v>278</v>
      </c>
      <c r="C36" s="160">
        <f>(0.4*C15/100)</f>
        <v>3.2000000000000003E-4</v>
      </c>
    </row>
    <row r="37" spans="1:8" ht="15.75" customHeight="1" x14ac:dyDescent="0.25">
      <c r="A37" s="522" t="s">
        <v>279</v>
      </c>
      <c r="B37" s="522"/>
      <c r="C37" s="165">
        <f>SUM(C31:C36)</f>
        <v>4.0354888888888885E-2</v>
      </c>
    </row>
    <row r="38" spans="1:8" ht="15.75" customHeight="1" x14ac:dyDescent="0.25">
      <c r="A38" s="156" t="s">
        <v>280</v>
      </c>
      <c r="B38" s="516" t="s">
        <v>281</v>
      </c>
      <c r="C38" s="516"/>
    </row>
    <row r="39" spans="1:8" ht="15.75" customHeight="1" x14ac:dyDescent="0.25">
      <c r="A39" s="157">
        <v>16</v>
      </c>
      <c r="B39" s="158" t="s">
        <v>282</v>
      </c>
      <c r="C39" s="164">
        <f>ROUND((100%/11),4)</f>
        <v>9.0899999999999995E-2</v>
      </c>
    </row>
    <row r="40" spans="1:8" ht="15.75" customHeight="1" x14ac:dyDescent="0.25">
      <c r="A40" s="157">
        <v>17</v>
      </c>
      <c r="B40" s="158" t="s">
        <v>283</v>
      </c>
      <c r="C40" s="159">
        <v>1.66E-2</v>
      </c>
    </row>
    <row r="41" spans="1:8" ht="15.75" customHeight="1" x14ac:dyDescent="0.25">
      <c r="A41" s="157">
        <v>18</v>
      </c>
      <c r="B41" s="158" t="s">
        <v>284</v>
      </c>
      <c r="C41" s="159">
        <f>ROUND((5/30/12)*0.022,4)</f>
        <v>2.9999999999999997E-4</v>
      </c>
    </row>
    <row r="42" spans="1:8" ht="15.75" customHeight="1" x14ac:dyDescent="0.25">
      <c r="A42" s="157">
        <v>19</v>
      </c>
      <c r="B42" s="158" t="s">
        <v>285</v>
      </c>
      <c r="C42" s="159">
        <f>ROUND((1/30/12),4)</f>
        <v>2.8E-3</v>
      </c>
    </row>
    <row r="43" spans="1:8" ht="15.75" customHeight="1" x14ac:dyDescent="0.25">
      <c r="A43" s="157">
        <v>20</v>
      </c>
      <c r="B43" s="158" t="s">
        <v>286</v>
      </c>
      <c r="C43" s="159">
        <f>ROUND((15/30/12*0.0078),4)</f>
        <v>2.9999999999999997E-4</v>
      </c>
    </row>
    <row r="44" spans="1:8" ht="15.75" customHeight="1" x14ac:dyDescent="0.25">
      <c r="A44" s="522" t="s">
        <v>263</v>
      </c>
      <c r="B44" s="522"/>
      <c r="C44" s="165">
        <f>SUM(C39:C43)</f>
        <v>0.11089999999999998</v>
      </c>
      <c r="E44" s="523" t="s">
        <v>287</v>
      </c>
      <c r="F44" s="523"/>
      <c r="G44" s="523"/>
      <c r="H44" s="523"/>
    </row>
    <row r="45" spans="1:8" ht="15.75" customHeight="1" x14ac:dyDescent="0.25">
      <c r="A45" s="521" t="s">
        <v>288</v>
      </c>
      <c r="B45" s="521"/>
      <c r="C45" s="160">
        <f>C18*C44</f>
        <v>4.4138200000000002E-2</v>
      </c>
      <c r="E45" s="523"/>
      <c r="F45" s="523"/>
      <c r="G45" s="523"/>
      <c r="H45" s="523"/>
    </row>
    <row r="46" spans="1:8" ht="15" customHeight="1" x14ac:dyDescent="0.25">
      <c r="A46" s="522" t="s">
        <v>289</v>
      </c>
      <c r="B46" s="522"/>
      <c r="C46" s="165">
        <f>SUM(C44:C45)</f>
        <v>0.15503819999999999</v>
      </c>
      <c r="E46" s="524" t="s">
        <v>290</v>
      </c>
      <c r="F46" s="525" t="s">
        <v>291</v>
      </c>
      <c r="G46" s="525"/>
      <c r="H46" s="525"/>
    </row>
    <row r="47" spans="1:8" ht="15.75" customHeight="1" x14ac:dyDescent="0.25">
      <c r="A47" s="168" t="s">
        <v>292</v>
      </c>
      <c r="B47" s="169" t="s">
        <v>293</v>
      </c>
      <c r="C47" s="165" t="s">
        <v>187</v>
      </c>
      <c r="E47" s="524"/>
      <c r="F47" s="525" t="s">
        <v>294</v>
      </c>
      <c r="G47" s="525"/>
      <c r="H47" s="525"/>
    </row>
    <row r="48" spans="1:8" ht="15.75" customHeight="1" x14ac:dyDescent="0.25">
      <c r="A48" s="157">
        <v>21</v>
      </c>
      <c r="B48" s="158" t="s">
        <v>295</v>
      </c>
      <c r="C48" s="159">
        <f>1*1%/12</f>
        <v>8.3333333333333339E-4</v>
      </c>
      <c r="E48" s="170" t="s">
        <v>296</v>
      </c>
      <c r="F48" s="171" t="s">
        <v>297</v>
      </c>
      <c r="G48" s="171" t="s">
        <v>298</v>
      </c>
      <c r="H48" s="172" t="s">
        <v>299</v>
      </c>
    </row>
    <row r="49" spans="1:8" ht="15.75" customHeight="1" x14ac:dyDescent="0.25">
      <c r="A49" s="522" t="s">
        <v>300</v>
      </c>
      <c r="B49" s="522"/>
      <c r="C49" s="165">
        <f>SUM(C47:C48)</f>
        <v>8.3333333333333339E-4</v>
      </c>
      <c r="E49" s="170" t="s">
        <v>301</v>
      </c>
      <c r="F49" s="173">
        <v>0.34300000000000003</v>
      </c>
      <c r="G49" s="173">
        <v>0.39800000000000002</v>
      </c>
      <c r="H49" s="174">
        <f>$C$18</f>
        <v>0.39800000000000008</v>
      </c>
    </row>
    <row r="50" spans="1:8" ht="15.75" customHeight="1" x14ac:dyDescent="0.25">
      <c r="A50" s="526" t="s">
        <v>302</v>
      </c>
      <c r="B50" s="526"/>
      <c r="C50" s="526"/>
      <c r="E50" s="170" t="s">
        <v>303</v>
      </c>
      <c r="F50" s="173">
        <v>5.0000000000000001E-3</v>
      </c>
      <c r="G50" s="173">
        <v>0.06</v>
      </c>
      <c r="H50" s="174">
        <f>$C$16</f>
        <v>0.06</v>
      </c>
    </row>
    <row r="51" spans="1:8" ht="15.75" customHeight="1" x14ac:dyDescent="0.25">
      <c r="A51" s="521" t="s">
        <v>248</v>
      </c>
      <c r="B51" s="521"/>
      <c r="C51" s="160">
        <f>ROUND(C18,4)</f>
        <v>0.39800000000000002</v>
      </c>
      <c r="E51" s="175" t="s">
        <v>304</v>
      </c>
      <c r="F51" s="176">
        <f>$C$21</f>
        <v>9.0899999999999995E-2</v>
      </c>
      <c r="G51" s="176">
        <f>$F$51</f>
        <v>9.0899999999999995E-2</v>
      </c>
      <c r="H51" s="160">
        <f>$F$51</f>
        <v>9.0899999999999995E-2</v>
      </c>
    </row>
    <row r="52" spans="1:8" ht="15.75" customHeight="1" x14ac:dyDescent="0.25">
      <c r="A52" s="521" t="s">
        <v>305</v>
      </c>
      <c r="B52" s="521"/>
      <c r="C52" s="160">
        <f>ROUND(C25,4)</f>
        <v>0.1694</v>
      </c>
      <c r="E52" s="175" t="s">
        <v>306</v>
      </c>
      <c r="F52" s="176">
        <f>$C$39</f>
        <v>9.0899999999999995E-2</v>
      </c>
      <c r="G52" s="176">
        <f>$F$52</f>
        <v>9.0899999999999995E-2</v>
      </c>
      <c r="H52" s="160">
        <f>$F$52</f>
        <v>9.0899999999999995E-2</v>
      </c>
    </row>
    <row r="53" spans="1:8" ht="15.75" customHeight="1" x14ac:dyDescent="0.25">
      <c r="A53" s="521" t="s">
        <v>267</v>
      </c>
      <c r="B53" s="521"/>
      <c r="C53" s="160">
        <f>ROUND(C29,4)</f>
        <v>4.0000000000000002E-4</v>
      </c>
      <c r="E53" s="175" t="s">
        <v>307</v>
      </c>
      <c r="F53" s="176">
        <f>$C$22</f>
        <v>3.0300000000000001E-2</v>
      </c>
      <c r="G53" s="176">
        <f>$F$53</f>
        <v>3.0300000000000001E-2</v>
      </c>
      <c r="H53" s="160">
        <f>$F$53</f>
        <v>3.0300000000000001E-2</v>
      </c>
    </row>
    <row r="54" spans="1:8" ht="15.75" customHeight="1" x14ac:dyDescent="0.25">
      <c r="A54" s="521" t="s">
        <v>308</v>
      </c>
      <c r="B54" s="521"/>
      <c r="C54" s="160">
        <f>ROUND(C37,4)</f>
        <v>4.0399999999999998E-2</v>
      </c>
      <c r="E54" s="177" t="s">
        <v>263</v>
      </c>
      <c r="F54" s="178">
        <f>SUM(F51:F53)</f>
        <v>0.21209999999999998</v>
      </c>
      <c r="G54" s="178">
        <f>SUM(G51:G53)</f>
        <v>0.21209999999999998</v>
      </c>
      <c r="H54" s="179">
        <f>ROUND((SUM(H51:H53)),4)</f>
        <v>0.21210000000000001</v>
      </c>
    </row>
    <row r="55" spans="1:8" ht="15.75" customHeight="1" x14ac:dyDescent="0.25">
      <c r="A55" s="521" t="s">
        <v>309</v>
      </c>
      <c r="B55" s="521"/>
      <c r="C55" s="160">
        <f>ROUND(C46,4)</f>
        <v>0.155</v>
      </c>
      <c r="E55" s="175" t="s">
        <v>310</v>
      </c>
      <c r="F55" s="176">
        <f>F54*F49</f>
        <v>7.2750300000000004E-2</v>
      </c>
      <c r="G55" s="176">
        <f>G54*G49</f>
        <v>8.4415799999999999E-2</v>
      </c>
      <c r="H55" s="160">
        <f>ROUND((H54*H49),4)</f>
        <v>8.4400000000000003E-2</v>
      </c>
    </row>
    <row r="56" spans="1:8" ht="15.75" customHeight="1" x14ac:dyDescent="0.25">
      <c r="A56" s="521" t="s">
        <v>295</v>
      </c>
      <c r="B56" s="521"/>
      <c r="C56" s="160">
        <f>ROUND(C49,4)</f>
        <v>8.0000000000000004E-4</v>
      </c>
      <c r="E56" s="175" t="s">
        <v>311</v>
      </c>
      <c r="F56" s="176">
        <v>3.4909999999999997E-2</v>
      </c>
      <c r="G56" s="176">
        <v>3.4909999999999997E-2</v>
      </c>
      <c r="H56" s="180">
        <f>C33</f>
        <v>3.4909999999999997E-2</v>
      </c>
    </row>
    <row r="57" spans="1:8" ht="15.75" customHeight="1" x14ac:dyDescent="0.25">
      <c r="A57" s="527" t="s">
        <v>312</v>
      </c>
      <c r="B57" s="527"/>
      <c r="C57" s="162">
        <f>SUM(C51:C56)</f>
        <v>0.76400000000000001</v>
      </c>
      <c r="E57" s="181" t="s">
        <v>313</v>
      </c>
      <c r="F57" s="182">
        <f>SUM(F54:F56)</f>
        <v>0.3197603</v>
      </c>
      <c r="G57" s="182">
        <f>SUM(G54:G56)</f>
        <v>0.33142579999999999</v>
      </c>
      <c r="H57" s="183">
        <f>ROUND((SUM(H54:H56)),4)</f>
        <v>0.33139999999999997</v>
      </c>
    </row>
    <row r="58" spans="1:8" ht="24" x14ac:dyDescent="0.25">
      <c r="A58" s="184" t="s">
        <v>43</v>
      </c>
      <c r="B58" s="185"/>
      <c r="C58" s="186"/>
      <c r="E58" s="175" t="s">
        <v>314</v>
      </c>
      <c r="F58" s="187" t="s">
        <v>187</v>
      </c>
      <c r="G58" s="187" t="s">
        <v>187</v>
      </c>
      <c r="H58" s="188" t="s">
        <v>187</v>
      </c>
    </row>
    <row r="59" spans="1:8" ht="54.75" customHeight="1" x14ac:dyDescent="0.25">
      <c r="A59" s="528" t="s">
        <v>315</v>
      </c>
      <c r="B59" s="528"/>
      <c r="C59" s="528"/>
      <c r="E59" s="189" t="s">
        <v>316</v>
      </c>
      <c r="F59" s="190">
        <f>F57</f>
        <v>0.3197603</v>
      </c>
      <c r="G59" s="190">
        <f>G57</f>
        <v>0.33142579999999999</v>
      </c>
      <c r="H59" s="191">
        <f>ROUND((H57),4)</f>
        <v>0.33139999999999997</v>
      </c>
    </row>
    <row r="61" spans="1:8" ht="12.75" customHeight="1" x14ac:dyDescent="0.25"/>
  </sheetData>
  <sheetProtection algorithmName="SHA-512" hashValue="M5hEkVeGZCQtOSKUOJEhiW+bFvTWKr4nQ/WWp83v1p4H8h+J19VXeVVRL/f5soWy3P0lfO1XbT7m1qvbCCjEwQ==" saltValue="h7o/saAZ1gPNabDngeZYqg==" spinCount="100000" sheet="1" objects="1" scenarios="1"/>
  <mergeCells count="36">
    <mergeCell ref="A54:B54"/>
    <mergeCell ref="A55:B55"/>
    <mergeCell ref="A56:B56"/>
    <mergeCell ref="A57:B57"/>
    <mergeCell ref="A59:C59"/>
    <mergeCell ref="A49:B49"/>
    <mergeCell ref="A50:C50"/>
    <mergeCell ref="A51:B51"/>
    <mergeCell ref="A52:B52"/>
    <mergeCell ref="A53:B53"/>
    <mergeCell ref="E44:H45"/>
    <mergeCell ref="A45:B45"/>
    <mergeCell ref="A46:B46"/>
    <mergeCell ref="E46:E47"/>
    <mergeCell ref="F46:H46"/>
    <mergeCell ref="F47:H47"/>
    <mergeCell ref="A32:B32"/>
    <mergeCell ref="A35:B35"/>
    <mergeCell ref="A37:B37"/>
    <mergeCell ref="B38:C38"/>
    <mergeCell ref="A44:B44"/>
    <mergeCell ref="A25:B25"/>
    <mergeCell ref="B26:C26"/>
    <mergeCell ref="A28:B28"/>
    <mergeCell ref="A29:B29"/>
    <mergeCell ref="B30:C30"/>
    <mergeCell ref="A18:B18"/>
    <mergeCell ref="A19:C19"/>
    <mergeCell ref="A20:C20"/>
    <mergeCell ref="A23:B23"/>
    <mergeCell ref="A24:B24"/>
    <mergeCell ref="A4:C4"/>
    <mergeCell ref="A5:C5"/>
    <mergeCell ref="A6:C6"/>
    <mergeCell ref="A7:C7"/>
    <mergeCell ref="B9:C9"/>
  </mergeCells>
  <printOptions horizontalCentered="1" verticalCentered="1"/>
  <pageMargins left="0.51180555555555596" right="0.51180555555555596" top="0.78749999999999998" bottom="0.78749999999999998" header="0.511811023622047" footer="0.511811023622047"/>
  <pageSetup paperSize="9" scale="58"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A1:V67"/>
  <sheetViews>
    <sheetView showGridLines="0" view="pageBreakPreview" zoomScaleNormal="100" zoomScaleSheetLayoutView="100" zoomScalePageLayoutView="120" workbookViewId="0">
      <selection activeCell="G11" sqref="G11"/>
    </sheetView>
  </sheetViews>
  <sheetFormatPr defaultColWidth="8.7109375" defaultRowHeight="15" x14ac:dyDescent="0.25"/>
  <cols>
    <col min="1" max="1" width="5" style="61" customWidth="1"/>
    <col min="2" max="2" width="59.140625" style="66" customWidth="1"/>
    <col min="3" max="3" width="10.42578125" style="66" customWidth="1"/>
    <col min="4" max="7" width="18.42578125" style="66" customWidth="1"/>
    <col min="8" max="8" width="23.7109375" customWidth="1"/>
    <col min="9" max="9" width="4.28515625" customWidth="1"/>
    <col min="10" max="10" width="11.42578125" customWidth="1"/>
    <col min="11" max="11" width="12.42578125" style="66" customWidth="1"/>
    <col min="12" max="12" width="8.5703125" hidden="1" customWidth="1"/>
    <col min="13" max="13" width="9" customWidth="1"/>
    <col min="14" max="14" width="26.140625" hidden="1" customWidth="1"/>
    <col min="15" max="19" width="11.5703125" hidden="1" customWidth="1"/>
    <col min="20" max="256" width="9" customWidth="1"/>
    <col min="257" max="257" width="8.28515625" customWidth="1"/>
    <col min="258" max="258" width="44.5703125" customWidth="1"/>
    <col min="259" max="259" width="7.42578125" customWidth="1"/>
    <col min="260" max="260" width="13" customWidth="1"/>
    <col min="261" max="261" width="11.7109375" customWidth="1"/>
    <col min="262" max="262" width="10.5703125" customWidth="1"/>
    <col min="263" max="263" width="14.42578125" customWidth="1"/>
    <col min="264" max="264" width="35.42578125" customWidth="1"/>
    <col min="265" max="265" width="14" customWidth="1"/>
    <col min="266" max="266" width="11.7109375" customWidth="1"/>
    <col min="267" max="267" width="13.5703125" customWidth="1"/>
    <col min="268" max="512" width="9" customWidth="1"/>
    <col min="513" max="513" width="8.28515625" customWidth="1"/>
    <col min="514" max="514" width="44.5703125" customWidth="1"/>
    <col min="515" max="515" width="7.42578125" customWidth="1"/>
    <col min="516" max="516" width="13" customWidth="1"/>
    <col min="517" max="517" width="11.7109375" customWidth="1"/>
    <col min="518" max="518" width="10.5703125" customWidth="1"/>
    <col min="519" max="519" width="14.42578125" customWidth="1"/>
    <col min="520" max="520" width="35.42578125" customWidth="1"/>
    <col min="521" max="521" width="14" customWidth="1"/>
    <col min="522" max="522" width="11.7109375" customWidth="1"/>
    <col min="523" max="523" width="13.5703125" customWidth="1"/>
    <col min="524" max="768" width="9" customWidth="1"/>
    <col min="769" max="769" width="8.28515625" customWidth="1"/>
    <col min="770" max="770" width="44.5703125" customWidth="1"/>
    <col min="771" max="771" width="7.42578125" customWidth="1"/>
    <col min="772" max="772" width="13" customWidth="1"/>
    <col min="773" max="773" width="11.7109375" customWidth="1"/>
    <col min="774" max="774" width="10.5703125" customWidth="1"/>
    <col min="775" max="775" width="14.42578125" customWidth="1"/>
    <col min="776" max="776" width="35.42578125" customWidth="1"/>
    <col min="777" max="777" width="14" customWidth="1"/>
    <col min="778" max="778" width="11.7109375" customWidth="1"/>
    <col min="779" max="779" width="13.5703125" customWidth="1"/>
    <col min="780" max="1025" width="9" customWidth="1"/>
  </cols>
  <sheetData>
    <row r="1" spans="1:22" s="66" customFormat="1" ht="15" customHeight="1" x14ac:dyDescent="0.2">
      <c r="A1" s="192"/>
      <c r="B1" s="93" t="str">
        <f>INSTRUÇÕES!B1</f>
        <v>Tribunal Regional Federal da 6ª Região</v>
      </c>
      <c r="C1" s="193"/>
      <c r="D1" s="193"/>
      <c r="E1" s="193"/>
      <c r="F1" s="193"/>
      <c r="G1" s="193"/>
      <c r="H1" s="194"/>
    </row>
    <row r="2" spans="1:22" s="66" customFormat="1" ht="17.25" customHeight="1" x14ac:dyDescent="0.2">
      <c r="A2" s="195"/>
      <c r="B2" s="95" t="str">
        <f>INSTRUÇÕES!B2</f>
        <v>Seção Judiciária de Minas Gerais</v>
      </c>
      <c r="H2" s="196"/>
    </row>
    <row r="3" spans="1:22" s="66" customFormat="1" ht="16.5" customHeight="1" x14ac:dyDescent="0.25">
      <c r="A3" s="195"/>
      <c r="B3" s="95" t="str">
        <f>INSTRUÇÕES!B3</f>
        <v>Subseção Judiciária de Lavras</v>
      </c>
      <c r="H3" s="196"/>
      <c r="N3" s="2"/>
      <c r="O3" s="2"/>
      <c r="P3" s="2"/>
      <c r="Q3" s="2"/>
      <c r="R3" s="2"/>
      <c r="S3" s="2"/>
      <c r="T3" s="2"/>
    </row>
    <row r="4" spans="1:22" s="66" customFormat="1" ht="27.75" customHeight="1" x14ac:dyDescent="0.25">
      <c r="A4" s="529" t="s">
        <v>594</v>
      </c>
      <c r="B4" s="529"/>
      <c r="C4" s="529"/>
      <c r="D4" s="529"/>
      <c r="E4" s="529"/>
      <c r="F4" s="529"/>
      <c r="G4" s="529"/>
      <c r="H4" s="529"/>
      <c r="I4" s="197"/>
      <c r="J4" s="197"/>
      <c r="U4" s="2"/>
      <c r="V4" s="2"/>
    </row>
    <row r="5" spans="1:22" s="2" customFormat="1" ht="24" customHeight="1" x14ac:dyDescent="0.25">
      <c r="A5" s="530" t="s">
        <v>317</v>
      </c>
      <c r="B5" s="530"/>
      <c r="C5" s="530"/>
      <c r="D5" s="530"/>
      <c r="E5" s="530"/>
      <c r="F5" s="530"/>
      <c r="G5" s="530"/>
      <c r="H5" s="530"/>
      <c r="K5" s="198"/>
      <c r="N5" s="484" t="s">
        <v>318</v>
      </c>
      <c r="O5" s="484"/>
      <c r="P5" s="484"/>
      <c r="Q5" s="484"/>
      <c r="R5" s="484"/>
      <c r="S5" s="484"/>
      <c r="T5" s="66"/>
      <c r="U5" s="66"/>
      <c r="V5" s="66"/>
    </row>
    <row r="6" spans="1:22" s="66" customFormat="1" ht="15" customHeight="1" x14ac:dyDescent="0.2">
      <c r="A6" s="531" t="s">
        <v>52</v>
      </c>
      <c r="B6" s="532" t="s">
        <v>578</v>
      </c>
      <c r="C6" s="532"/>
      <c r="D6" s="532"/>
      <c r="E6" s="200"/>
      <c r="F6" s="200"/>
      <c r="G6" s="200"/>
      <c r="H6" s="533" t="s">
        <v>319</v>
      </c>
      <c r="I6" s="65"/>
      <c r="J6" s="65"/>
      <c r="N6" s="484"/>
      <c r="O6" s="484"/>
      <c r="P6" s="484"/>
      <c r="Q6" s="484"/>
      <c r="R6" s="484"/>
      <c r="S6" s="484"/>
    </row>
    <row r="7" spans="1:22" s="66" customFormat="1" ht="13.5" customHeight="1" x14ac:dyDescent="0.2">
      <c r="A7" s="531"/>
      <c r="B7" s="532"/>
      <c r="C7" s="532"/>
      <c r="D7" s="532"/>
      <c r="E7" s="200"/>
      <c r="F7" s="200"/>
      <c r="G7" s="200"/>
      <c r="H7" s="533"/>
      <c r="I7" s="65"/>
      <c r="J7" s="534" t="s">
        <v>320</v>
      </c>
      <c r="K7" s="534"/>
      <c r="L7" s="534"/>
      <c r="N7" s="484"/>
      <c r="O7" s="484"/>
      <c r="P7" s="484"/>
      <c r="Q7" s="484"/>
      <c r="R7" s="484"/>
      <c r="S7" s="484"/>
    </row>
    <row r="8" spans="1:22" s="66" customFormat="1" ht="38.25" x14ac:dyDescent="0.2">
      <c r="A8" s="531"/>
      <c r="B8" s="199" t="s">
        <v>570</v>
      </c>
      <c r="C8" s="202" t="s">
        <v>55</v>
      </c>
      <c r="D8" s="202" t="s">
        <v>56</v>
      </c>
      <c r="E8" s="203" t="s">
        <v>321</v>
      </c>
      <c r="F8" s="204" t="s">
        <v>61</v>
      </c>
      <c r="G8" s="202" t="s">
        <v>322</v>
      </c>
      <c r="H8" s="533"/>
      <c r="I8" s="65"/>
      <c r="J8" s="203" t="s">
        <v>59</v>
      </c>
      <c r="K8" s="204" t="s">
        <v>58</v>
      </c>
      <c r="L8" s="203" t="s">
        <v>323</v>
      </c>
      <c r="N8" s="205" t="s">
        <v>324</v>
      </c>
      <c r="O8" s="20" t="s">
        <v>237</v>
      </c>
      <c r="P8" s="20" t="s">
        <v>238</v>
      </c>
      <c r="Q8" s="20" t="s">
        <v>239</v>
      </c>
      <c r="R8" s="20" t="s">
        <v>240</v>
      </c>
      <c r="S8" s="22" t="s">
        <v>241</v>
      </c>
    </row>
    <row r="9" spans="1:22" s="66" customFormat="1" ht="38.25" x14ac:dyDescent="0.2">
      <c r="A9" s="206">
        <v>1</v>
      </c>
      <c r="B9" s="207" t="s">
        <v>325</v>
      </c>
      <c r="C9" s="208" t="s">
        <v>326</v>
      </c>
      <c r="D9" s="208" t="s">
        <v>327</v>
      </c>
      <c r="E9" s="209">
        <v>1</v>
      </c>
      <c r="F9" s="210" t="s">
        <v>328</v>
      </c>
      <c r="G9" s="211">
        <v>15.23</v>
      </c>
      <c r="H9" s="212"/>
      <c r="I9" s="65"/>
      <c r="J9" s="37">
        <f>'Ocorrências Mensais - FAT'!G25</f>
        <v>1</v>
      </c>
      <c r="K9" s="213">
        <f t="shared" ref="K9:K43" si="0">G9*J9</f>
        <v>15.23</v>
      </c>
      <c r="L9" s="203"/>
      <c r="N9" s="205"/>
      <c r="O9" s="20"/>
      <c r="P9" s="20"/>
      <c r="Q9" s="20"/>
      <c r="R9" s="20"/>
      <c r="S9" s="22"/>
    </row>
    <row r="10" spans="1:22" s="66" customFormat="1" ht="76.5" x14ac:dyDescent="0.2">
      <c r="A10" s="78">
        <v>2</v>
      </c>
      <c r="B10" s="214" t="s">
        <v>329</v>
      </c>
      <c r="C10" s="215" t="s">
        <v>326</v>
      </c>
      <c r="D10" s="215" t="s">
        <v>330</v>
      </c>
      <c r="E10" s="27">
        <v>1</v>
      </c>
      <c r="F10" s="216" t="s">
        <v>328</v>
      </c>
      <c r="G10" s="211">
        <v>57.39</v>
      </c>
      <c r="H10" s="212"/>
      <c r="I10" s="65"/>
      <c r="J10" s="215">
        <f>'Ocorrências Mensais - FAT'!G26</f>
        <v>1</v>
      </c>
      <c r="K10" s="213">
        <f t="shared" si="0"/>
        <v>57.39</v>
      </c>
      <c r="L10" s="37">
        <f>IF(F10="MENSAL",1,IF(F10="BIMESTRAL",2,IF(F10="TRIMESTRAL",3,IF(F10="QUADRIMESTRAL",4,IF(F10="SEMESTRAL",6,IF(F10="ANUAL",12,IF(F10="BIENAL",24,"")))))))</f>
        <v>1</v>
      </c>
      <c r="N10" s="217">
        <v>6</v>
      </c>
      <c r="O10" s="37">
        <f>ROUND(IF(Dados!$J$56="SIM",N10*Dados!$N$56,N10),2)</f>
        <v>6</v>
      </c>
      <c r="P10" s="37">
        <f>ROUND(IF(Dados!$J$57="SIM",O10*Dados!$N$57,O10),2)</f>
        <v>6</v>
      </c>
      <c r="Q10" s="37" t="e">
        <f>ROUND(IF(Dados!#REF!="SIM",P10*Dados!#REF!,P10),2)</f>
        <v>#REF!</v>
      </c>
      <c r="R10" s="37" t="e">
        <f>ROUND(IF(Dados!#REF!="SIM",Q10*Dados!#REF!,Q10),2)</f>
        <v>#REF!</v>
      </c>
      <c r="S10" s="77" t="e">
        <f>ROUND(IF(Dados!#REF!="SIM",R10*Dados!#REF!,R10),2)</f>
        <v>#REF!</v>
      </c>
    </row>
    <row r="11" spans="1:22" s="66" customFormat="1" ht="51" x14ac:dyDescent="0.2">
      <c r="A11" s="78">
        <v>3</v>
      </c>
      <c r="B11" s="218" t="s">
        <v>331</v>
      </c>
      <c r="C11" s="215" t="s">
        <v>332</v>
      </c>
      <c r="D11" s="215" t="s">
        <v>333</v>
      </c>
      <c r="E11" s="27">
        <v>1</v>
      </c>
      <c r="F11" s="216" t="s">
        <v>334</v>
      </c>
      <c r="G11" s="211">
        <v>26.38</v>
      </c>
      <c r="H11" s="212"/>
      <c r="I11" s="65"/>
      <c r="J11" s="215">
        <f>'Ocorrências Mensais - FAT'!G27</f>
        <v>0.33333333333333331</v>
      </c>
      <c r="K11" s="213">
        <f t="shared" si="0"/>
        <v>8.793333333333333</v>
      </c>
      <c r="L11" s="37">
        <f>IF(F11="MENSAL",1,IF(F11="BIMESTRAL",2,IF(F11="TRIMESTRAL",3,IF(F11="QUADRIMESTRAL",4,IF(F11="SEMESTRAL",6,IF(F11="ANUAL",12,IF(F11="BIENAL",24,"")))))))</f>
        <v>3</v>
      </c>
      <c r="N11" s="217">
        <v>3.8</v>
      </c>
      <c r="O11" s="37">
        <f>ROUND(IF(Dados!$J$56="SIM",N11*Dados!$N$56,N11),2)</f>
        <v>3.8</v>
      </c>
      <c r="P11" s="37">
        <f>ROUND(IF(Dados!$J$57="SIM",O11*Dados!$N$57,O11),2)</f>
        <v>3.8</v>
      </c>
      <c r="Q11" s="37" t="e">
        <f>ROUND(IF(Dados!#REF!="SIM",P11*Dados!#REF!,P11),2)</f>
        <v>#REF!</v>
      </c>
      <c r="R11" s="37" t="e">
        <f>ROUND(IF(Dados!#REF!="SIM",Q11*Dados!#REF!,Q11),2)</f>
        <v>#REF!</v>
      </c>
      <c r="S11" s="77" t="e">
        <f>ROUND(IF(Dados!#REF!="SIM",R11*Dados!#REF!,R11),2)</f>
        <v>#REF!</v>
      </c>
    </row>
    <row r="12" spans="1:22" s="66" customFormat="1" ht="38.25" x14ac:dyDescent="0.2">
      <c r="A12" s="78">
        <v>4</v>
      </c>
      <c r="B12" s="218" t="s">
        <v>335</v>
      </c>
      <c r="C12" s="215" t="s">
        <v>332</v>
      </c>
      <c r="D12" s="215" t="s">
        <v>336</v>
      </c>
      <c r="E12" s="27">
        <v>1</v>
      </c>
      <c r="F12" s="216" t="s">
        <v>334</v>
      </c>
      <c r="G12" s="211">
        <v>13.89</v>
      </c>
      <c r="H12" s="212"/>
      <c r="I12" s="65"/>
      <c r="J12" s="215">
        <f>'Ocorrências Mensais - FAT'!G28</f>
        <v>0.33333333333333331</v>
      </c>
      <c r="K12" s="213">
        <f t="shared" si="0"/>
        <v>4.63</v>
      </c>
      <c r="L12" s="37"/>
      <c r="N12" s="217"/>
      <c r="O12" s="37"/>
      <c r="P12" s="37"/>
      <c r="Q12" s="37"/>
      <c r="R12" s="37"/>
      <c r="S12" s="77"/>
    </row>
    <row r="13" spans="1:22" s="66" customFormat="1" ht="102" x14ac:dyDescent="0.2">
      <c r="A13" s="78">
        <v>5</v>
      </c>
      <c r="B13" s="214" t="s">
        <v>337</v>
      </c>
      <c r="C13" s="215" t="s">
        <v>332</v>
      </c>
      <c r="D13" s="215" t="s">
        <v>338</v>
      </c>
      <c r="E13" s="27">
        <v>1</v>
      </c>
      <c r="F13" s="216" t="s">
        <v>328</v>
      </c>
      <c r="G13" s="211">
        <v>5.46</v>
      </c>
      <c r="H13" s="212"/>
      <c r="I13" s="65"/>
      <c r="J13" s="215">
        <f>'Ocorrências Mensais - FAT'!G29</f>
        <v>1</v>
      </c>
      <c r="K13" s="213">
        <f t="shared" si="0"/>
        <v>5.46</v>
      </c>
      <c r="L13" s="37">
        <f t="shared" ref="L13:L40" si="1">IF(F13="MENSAL",1,IF(F13="BIMESTRAL",2,IF(F13="TRIMESTRAL",3,IF(F13="QUADRIMESTRAL",4,IF(F13="SEMESTRAL",6,IF(F13="ANUAL",12,IF(F13="BIENAL",24,"")))))))</f>
        <v>1</v>
      </c>
      <c r="N13" s="217">
        <v>4.1399999999999997</v>
      </c>
      <c r="O13" s="37">
        <f>ROUND(IF(Dados!$J$56="SIM",N13*Dados!$N$56,N13),2)</f>
        <v>4.1399999999999997</v>
      </c>
      <c r="P13" s="37">
        <f>ROUND(IF(Dados!$J$57="SIM",O13*Dados!$N$57,O13),2)</f>
        <v>4.1399999999999997</v>
      </c>
      <c r="Q13" s="37" t="e">
        <f>ROUND(IF(Dados!#REF!="SIM",P13*Dados!#REF!,P13),2)</f>
        <v>#REF!</v>
      </c>
      <c r="R13" s="37" t="e">
        <f>ROUND(IF(Dados!#REF!="SIM",Q13*Dados!#REF!,Q13),2)</f>
        <v>#REF!</v>
      </c>
      <c r="S13" s="77" t="e">
        <f>ROUND(IF(Dados!#REF!="SIM",R13*Dados!#REF!,R13),2)</f>
        <v>#REF!</v>
      </c>
    </row>
    <row r="14" spans="1:22" s="66" customFormat="1" ht="25.5" x14ac:dyDescent="0.2">
      <c r="A14" s="78">
        <v>6</v>
      </c>
      <c r="B14" s="219" t="s">
        <v>339</v>
      </c>
      <c r="C14" s="215" t="s">
        <v>326</v>
      </c>
      <c r="D14" s="215"/>
      <c r="E14" s="27">
        <v>1</v>
      </c>
      <c r="F14" s="216" t="s">
        <v>340</v>
      </c>
      <c r="G14" s="211">
        <v>12.43</v>
      </c>
      <c r="H14" s="212"/>
      <c r="I14" s="65"/>
      <c r="J14" s="215">
        <f>'Ocorrências Mensais - FAT'!G30</f>
        <v>0.5</v>
      </c>
      <c r="K14" s="213">
        <f t="shared" si="0"/>
        <v>6.2149999999999999</v>
      </c>
      <c r="L14" s="37">
        <f t="shared" si="1"/>
        <v>2</v>
      </c>
      <c r="N14" s="217"/>
      <c r="O14" s="37"/>
      <c r="P14" s="37"/>
      <c r="Q14" s="37"/>
      <c r="R14" s="37"/>
      <c r="S14" s="77"/>
    </row>
    <row r="15" spans="1:22" s="66" customFormat="1" ht="38.25" x14ac:dyDescent="0.2">
      <c r="A15" s="78">
        <v>7</v>
      </c>
      <c r="B15" s="218" t="s">
        <v>341</v>
      </c>
      <c r="C15" s="215" t="s">
        <v>332</v>
      </c>
      <c r="D15" s="215" t="s">
        <v>342</v>
      </c>
      <c r="E15" s="27">
        <v>1</v>
      </c>
      <c r="F15" s="216" t="s">
        <v>343</v>
      </c>
      <c r="G15" s="211">
        <v>10.41</v>
      </c>
      <c r="H15" s="212"/>
      <c r="I15" s="65"/>
      <c r="J15" s="215">
        <f>'Ocorrências Mensais - FAT'!G31</f>
        <v>0.16666666666666666</v>
      </c>
      <c r="K15" s="213">
        <f t="shared" si="0"/>
        <v>1.7349999999999999</v>
      </c>
      <c r="L15" s="37">
        <f t="shared" si="1"/>
        <v>6</v>
      </c>
      <c r="N15" s="217">
        <v>1.4</v>
      </c>
      <c r="O15" s="37">
        <f>ROUND(IF(Dados!$J$56="SIM",N15*Dados!$N$56,N15),2)</f>
        <v>1.4</v>
      </c>
      <c r="P15" s="37">
        <f>ROUND(IF(Dados!$J$57="SIM",O15*Dados!$N$57,O15),2)</f>
        <v>1.4</v>
      </c>
      <c r="Q15" s="37" t="e">
        <f>ROUND(IF(Dados!#REF!="SIM",P15*Dados!#REF!,P15),2)</f>
        <v>#REF!</v>
      </c>
      <c r="R15" s="37" t="e">
        <f>ROUND(IF(Dados!#REF!="SIM",Q15*Dados!#REF!,Q15),2)</f>
        <v>#REF!</v>
      </c>
      <c r="S15" s="77" t="e">
        <f>ROUND(IF(Dados!#REF!="SIM",R15*Dados!#REF!,R15),2)</f>
        <v>#REF!</v>
      </c>
    </row>
    <row r="16" spans="1:22" s="66" customFormat="1" ht="38.25" x14ac:dyDescent="0.2">
      <c r="A16" s="78">
        <v>8</v>
      </c>
      <c r="B16" s="214" t="s">
        <v>344</v>
      </c>
      <c r="C16" s="215" t="s">
        <v>332</v>
      </c>
      <c r="D16" s="215" t="s">
        <v>345</v>
      </c>
      <c r="E16" s="27">
        <v>1</v>
      </c>
      <c r="F16" s="216" t="s">
        <v>343</v>
      </c>
      <c r="G16" s="211">
        <v>11.08</v>
      </c>
      <c r="H16" s="212"/>
      <c r="I16" s="65"/>
      <c r="J16" s="215">
        <f>'Ocorrências Mensais - FAT'!G32</f>
        <v>0.16666666666666666</v>
      </c>
      <c r="K16" s="213">
        <f t="shared" si="0"/>
        <v>1.8466666666666667</v>
      </c>
      <c r="L16" s="37">
        <f t="shared" si="1"/>
        <v>6</v>
      </c>
      <c r="N16" s="217">
        <v>3.2</v>
      </c>
      <c r="O16" s="37">
        <f>ROUND(IF(Dados!$J$56="SIM",N16*Dados!$N$56,N16),2)</f>
        <v>3.2</v>
      </c>
      <c r="P16" s="37">
        <f>ROUND(IF(Dados!$J$57="SIM",O16*Dados!$N$57,O16),2)</f>
        <v>3.2</v>
      </c>
      <c r="Q16" s="37" t="e">
        <f>ROUND(IF(Dados!#REF!="SIM",P16*Dados!#REF!,P16),2)</f>
        <v>#REF!</v>
      </c>
      <c r="R16" s="37" t="e">
        <f>ROUND(IF(Dados!#REF!="SIM",Q16*Dados!#REF!,Q16),2)</f>
        <v>#REF!</v>
      </c>
      <c r="S16" s="77" t="e">
        <f>ROUND(IF(Dados!#REF!="SIM",R16*Dados!#REF!,R16),2)</f>
        <v>#REF!</v>
      </c>
    </row>
    <row r="17" spans="1:19" s="66" customFormat="1" ht="25.5" x14ac:dyDescent="0.2">
      <c r="A17" s="79">
        <v>9</v>
      </c>
      <c r="B17" s="218" t="s">
        <v>346</v>
      </c>
      <c r="C17" s="215" t="s">
        <v>326</v>
      </c>
      <c r="D17" s="215" t="s">
        <v>347</v>
      </c>
      <c r="E17" s="27">
        <v>1</v>
      </c>
      <c r="F17" s="216" t="s">
        <v>328</v>
      </c>
      <c r="G17" s="211">
        <v>44.79</v>
      </c>
      <c r="H17" s="212"/>
      <c r="I17" s="65"/>
      <c r="J17" s="215">
        <f>'Ocorrências Mensais - FAT'!G33</f>
        <v>1</v>
      </c>
      <c r="K17" s="213">
        <f t="shared" si="0"/>
        <v>44.79</v>
      </c>
      <c r="L17" s="37">
        <f t="shared" si="1"/>
        <v>1</v>
      </c>
      <c r="N17" s="217">
        <v>4</v>
      </c>
      <c r="O17" s="37">
        <f>ROUND(IF(Dados!$J$56="SIM",N17*Dados!$N$56,N17),2)</f>
        <v>4</v>
      </c>
      <c r="P17" s="37">
        <f>ROUND(IF(Dados!$J$57="SIM",O17*Dados!$N$57,O17),2)</f>
        <v>4</v>
      </c>
      <c r="Q17" s="37" t="e">
        <f>ROUND(IF(Dados!#REF!="SIM",P17*Dados!#REF!,P17),2)</f>
        <v>#REF!</v>
      </c>
      <c r="R17" s="37" t="e">
        <f>ROUND(IF(Dados!#REF!="SIM",Q17*Dados!#REF!,Q17),2)</f>
        <v>#REF!</v>
      </c>
      <c r="S17" s="77" t="e">
        <f>ROUND(IF(Dados!#REF!="SIM",R17*Dados!#REF!,R17),2)</f>
        <v>#REF!</v>
      </c>
    </row>
    <row r="18" spans="1:19" s="66" customFormat="1" ht="51" x14ac:dyDescent="0.2">
      <c r="A18" s="79">
        <v>10</v>
      </c>
      <c r="B18" s="218" t="s">
        <v>348</v>
      </c>
      <c r="C18" s="215" t="s">
        <v>332</v>
      </c>
      <c r="D18" s="215" t="s">
        <v>349</v>
      </c>
      <c r="E18" s="27">
        <v>5</v>
      </c>
      <c r="F18" s="216" t="s">
        <v>328</v>
      </c>
      <c r="G18" s="211">
        <v>2.99</v>
      </c>
      <c r="H18" s="212"/>
      <c r="I18" s="65"/>
      <c r="J18" s="215">
        <f>'Ocorrências Mensais - FAT'!G34</f>
        <v>5</v>
      </c>
      <c r="K18" s="213">
        <f t="shared" si="0"/>
        <v>14.950000000000001</v>
      </c>
      <c r="L18" s="37">
        <f t="shared" si="1"/>
        <v>1</v>
      </c>
      <c r="N18" s="217"/>
      <c r="O18" s="37"/>
      <c r="P18" s="37"/>
      <c r="Q18" s="37"/>
      <c r="R18" s="37"/>
      <c r="S18" s="77"/>
    </row>
    <row r="19" spans="1:19" s="66" customFormat="1" ht="25.5" x14ac:dyDescent="0.2">
      <c r="A19" s="78">
        <v>11</v>
      </c>
      <c r="B19" s="214" t="s">
        <v>350</v>
      </c>
      <c r="C19" s="215" t="s">
        <v>332</v>
      </c>
      <c r="D19" s="215" t="s">
        <v>351</v>
      </c>
      <c r="E19" s="27">
        <v>1</v>
      </c>
      <c r="F19" s="216" t="s">
        <v>334</v>
      </c>
      <c r="G19" s="211">
        <v>5.57</v>
      </c>
      <c r="H19" s="212"/>
      <c r="I19" s="65"/>
      <c r="J19" s="215">
        <f>'Ocorrências Mensais - FAT'!G35</f>
        <v>0.33333333333333331</v>
      </c>
      <c r="K19" s="213">
        <f t="shared" si="0"/>
        <v>1.8566666666666667</v>
      </c>
      <c r="L19" s="37">
        <f t="shared" si="1"/>
        <v>3</v>
      </c>
      <c r="N19" s="217">
        <v>1.2</v>
      </c>
      <c r="O19" s="37">
        <f>ROUND(IF(Dados!$J$56="SIM",N19*Dados!$N$56,N19),2)</f>
        <v>1.2</v>
      </c>
      <c r="P19" s="37">
        <f>ROUND(IF(Dados!$J$57="SIM",O19*Dados!$N$57,O19),2)</f>
        <v>1.2</v>
      </c>
      <c r="Q19" s="37" t="e">
        <f>ROUND(IF(Dados!#REF!="SIM",P19*Dados!#REF!,P19),2)</f>
        <v>#REF!</v>
      </c>
      <c r="R19" s="37" t="e">
        <f>ROUND(IF(Dados!#REF!="SIM",Q19*Dados!#REF!,Q19),2)</f>
        <v>#REF!</v>
      </c>
      <c r="S19" s="77" t="e">
        <f>ROUND(IF(Dados!#REF!="SIM",R19*Dados!#REF!,R19),2)</f>
        <v>#REF!</v>
      </c>
    </row>
    <row r="20" spans="1:19" s="66" customFormat="1" ht="25.5" x14ac:dyDescent="0.2">
      <c r="A20" s="78">
        <v>12</v>
      </c>
      <c r="B20" s="214" t="s">
        <v>352</v>
      </c>
      <c r="C20" s="215" t="s">
        <v>332</v>
      </c>
      <c r="D20" s="215" t="s">
        <v>353</v>
      </c>
      <c r="E20" s="27">
        <v>1</v>
      </c>
      <c r="F20" s="216" t="s">
        <v>334</v>
      </c>
      <c r="G20" s="211">
        <v>16.11</v>
      </c>
      <c r="H20" s="212"/>
      <c r="I20" s="65"/>
      <c r="J20" s="215">
        <f>'Ocorrências Mensais - FAT'!G36</f>
        <v>0.33333333333333331</v>
      </c>
      <c r="K20" s="213">
        <f t="shared" si="0"/>
        <v>5.3699999999999992</v>
      </c>
      <c r="L20" s="37">
        <f t="shared" si="1"/>
        <v>3</v>
      </c>
      <c r="N20" s="217">
        <v>1.3</v>
      </c>
      <c r="O20" s="37">
        <f>ROUND(IF(Dados!$J$56="SIM",N20*Dados!$N$56,N20),2)</f>
        <v>1.3</v>
      </c>
      <c r="P20" s="37">
        <f>ROUND(IF(Dados!$J$57="SIM",O20*Dados!$N$57,O20),2)</f>
        <v>1.3</v>
      </c>
      <c r="Q20" s="37" t="e">
        <f>ROUND(IF(Dados!#REF!="SIM",P20*Dados!#REF!,P20),2)</f>
        <v>#REF!</v>
      </c>
      <c r="R20" s="37" t="e">
        <f>ROUND(IF(Dados!#REF!="SIM",Q20*Dados!#REF!,Q20),2)</f>
        <v>#REF!</v>
      </c>
      <c r="S20" s="77" t="e">
        <f>ROUND(IF(Dados!#REF!="SIM",R20*Dados!#REF!,R20),2)</f>
        <v>#REF!</v>
      </c>
    </row>
    <row r="21" spans="1:19" s="66" customFormat="1" ht="63.75" x14ac:dyDescent="0.2">
      <c r="A21" s="79">
        <v>13</v>
      </c>
      <c r="B21" s="214" t="s">
        <v>354</v>
      </c>
      <c r="C21" s="215" t="s">
        <v>355</v>
      </c>
      <c r="D21" s="215" t="s">
        <v>356</v>
      </c>
      <c r="E21" s="27">
        <v>2</v>
      </c>
      <c r="F21" s="216" t="s">
        <v>328</v>
      </c>
      <c r="G21" s="211">
        <v>6.4</v>
      </c>
      <c r="H21" s="212"/>
      <c r="I21" s="65"/>
      <c r="J21" s="215">
        <f>'Ocorrências Mensais - FAT'!G37</f>
        <v>2</v>
      </c>
      <c r="K21" s="213">
        <f t="shared" si="0"/>
        <v>12.8</v>
      </c>
      <c r="L21" s="37">
        <f t="shared" si="1"/>
        <v>1</v>
      </c>
      <c r="N21" s="217">
        <v>1.48</v>
      </c>
      <c r="O21" s="37">
        <f>ROUND(IF(Dados!$J$56="SIM",N21*Dados!$N$56,N21),2)</f>
        <v>1.48</v>
      </c>
      <c r="P21" s="37">
        <f>ROUND(IF(Dados!$J$57="SIM",O21*Dados!$N$57,O21),2)</f>
        <v>1.48</v>
      </c>
      <c r="Q21" s="37" t="e">
        <f>ROUND(IF(Dados!#REF!="SIM",P21*Dados!#REF!,P21),2)</f>
        <v>#REF!</v>
      </c>
      <c r="R21" s="37" t="e">
        <f>ROUND(IF(Dados!#REF!="SIM",Q21*Dados!#REF!,Q21),2)</f>
        <v>#REF!</v>
      </c>
      <c r="S21" s="77" t="e">
        <f>ROUND(IF(Dados!#REF!="SIM",R21*Dados!#REF!,R21),2)</f>
        <v>#REF!</v>
      </c>
    </row>
    <row r="22" spans="1:19" s="66" customFormat="1" ht="38.25" x14ac:dyDescent="0.2">
      <c r="A22" s="78">
        <v>14</v>
      </c>
      <c r="B22" s="218" t="s">
        <v>357</v>
      </c>
      <c r="C22" s="215" t="s">
        <v>355</v>
      </c>
      <c r="D22" s="215" t="s">
        <v>358</v>
      </c>
      <c r="E22" s="27">
        <v>1</v>
      </c>
      <c r="F22" s="216" t="s">
        <v>328</v>
      </c>
      <c r="G22" s="211">
        <v>2.94</v>
      </c>
      <c r="H22" s="212"/>
      <c r="I22" s="65"/>
      <c r="J22" s="215">
        <f>'Ocorrências Mensais - FAT'!G38</f>
        <v>1</v>
      </c>
      <c r="K22" s="213">
        <f t="shared" si="0"/>
        <v>2.94</v>
      </c>
      <c r="L22" s="37">
        <f t="shared" si="1"/>
        <v>1</v>
      </c>
      <c r="N22" s="217">
        <v>1</v>
      </c>
      <c r="O22" s="37">
        <f>ROUND(IF(Dados!$J$56="SIM",N22*Dados!$N$56,N22),2)</f>
        <v>1</v>
      </c>
      <c r="P22" s="37">
        <f>ROUND(IF(Dados!$J$57="SIM",O22*Dados!$N$57,O22),2)</f>
        <v>1</v>
      </c>
      <c r="Q22" s="37" t="e">
        <f>ROUND(IF(Dados!#REF!="SIM",P22*Dados!#REF!,P22),2)</f>
        <v>#REF!</v>
      </c>
      <c r="R22" s="37" t="e">
        <f>ROUND(IF(Dados!#REF!="SIM",Q22*Dados!#REF!,Q22),2)</f>
        <v>#REF!</v>
      </c>
      <c r="S22" s="77" t="e">
        <f>ROUND(IF(Dados!#REF!="SIM",R22*Dados!#REF!,R22),2)</f>
        <v>#REF!</v>
      </c>
    </row>
    <row r="23" spans="1:19" s="66" customFormat="1" ht="38.25" x14ac:dyDescent="0.2">
      <c r="A23" s="78">
        <v>15</v>
      </c>
      <c r="B23" s="214" t="s">
        <v>359</v>
      </c>
      <c r="C23" s="215" t="s">
        <v>332</v>
      </c>
      <c r="D23" s="215" t="s">
        <v>360</v>
      </c>
      <c r="E23" s="27">
        <v>1</v>
      </c>
      <c r="F23" s="216" t="s">
        <v>361</v>
      </c>
      <c r="G23" s="211">
        <v>85.97</v>
      </c>
      <c r="H23" s="212"/>
      <c r="I23" s="65"/>
      <c r="J23" s="215">
        <f>'Ocorrências Mensais - FAT'!G39</f>
        <v>8.3333333333333329E-2</v>
      </c>
      <c r="K23" s="213">
        <f t="shared" si="0"/>
        <v>7.1641666666666666</v>
      </c>
      <c r="L23" s="37">
        <f t="shared" si="1"/>
        <v>12</v>
      </c>
      <c r="N23" s="217">
        <v>1.4</v>
      </c>
      <c r="O23" s="37">
        <f>ROUND(IF(Dados!$J$56="SIM",N23*Dados!$N$56,N23),2)</f>
        <v>1.4</v>
      </c>
      <c r="P23" s="37">
        <f>ROUND(IF(Dados!$J$57="SIM",O23*Dados!$N$57,O23),2)</f>
        <v>1.4</v>
      </c>
      <c r="Q23" s="37" t="e">
        <f>ROUND(IF(Dados!#REF!="SIM",P23*Dados!#REF!,P23),2)</f>
        <v>#REF!</v>
      </c>
      <c r="R23" s="37" t="e">
        <f>ROUND(IF(Dados!#REF!="SIM",Q23*Dados!#REF!,Q23),2)</f>
        <v>#REF!</v>
      </c>
      <c r="S23" s="77" t="e">
        <f>ROUND(IF(Dados!#REF!="SIM",R23*Dados!#REF!,R23),2)</f>
        <v>#REF!</v>
      </c>
    </row>
    <row r="24" spans="1:19" s="66" customFormat="1" ht="114.75" x14ac:dyDescent="0.2">
      <c r="A24" s="78">
        <v>16</v>
      </c>
      <c r="B24" s="214" t="s">
        <v>362</v>
      </c>
      <c r="C24" s="215" t="s">
        <v>332</v>
      </c>
      <c r="D24" s="215" t="s">
        <v>363</v>
      </c>
      <c r="E24" s="27">
        <v>3</v>
      </c>
      <c r="F24" s="216" t="s">
        <v>328</v>
      </c>
      <c r="G24" s="211">
        <v>4.28</v>
      </c>
      <c r="H24" s="212"/>
      <c r="I24" s="65"/>
      <c r="J24" s="215">
        <f>'Ocorrências Mensais - FAT'!G40</f>
        <v>3</v>
      </c>
      <c r="K24" s="213">
        <f t="shared" si="0"/>
        <v>12.84</v>
      </c>
      <c r="L24" s="37">
        <f t="shared" si="1"/>
        <v>1</v>
      </c>
      <c r="N24" s="217">
        <v>9.1</v>
      </c>
      <c r="O24" s="37">
        <f>ROUND(IF(Dados!$J$56="SIM",N24*Dados!$N$56,N24),2)</f>
        <v>9.1</v>
      </c>
      <c r="P24" s="37">
        <f>ROUND(IF(Dados!$J$57="SIM",O24*Dados!$N$57,O24),2)</f>
        <v>9.1</v>
      </c>
      <c r="Q24" s="37" t="e">
        <f>ROUND(IF(Dados!#REF!="SIM",P24*Dados!#REF!,P24),2)</f>
        <v>#REF!</v>
      </c>
      <c r="R24" s="37" t="e">
        <f>ROUND(IF(Dados!#REF!="SIM",Q24*Dados!#REF!,Q24),2)</f>
        <v>#REF!</v>
      </c>
      <c r="S24" s="77" t="e">
        <f>ROUND(IF(Dados!#REF!="SIM",R24*Dados!#REF!,R24),2)</f>
        <v>#REF!</v>
      </c>
    </row>
    <row r="25" spans="1:19" s="66" customFormat="1" ht="25.5" x14ac:dyDescent="0.2">
      <c r="A25" s="78">
        <v>17</v>
      </c>
      <c r="B25" s="214" t="s">
        <v>364</v>
      </c>
      <c r="C25" s="215" t="s">
        <v>332</v>
      </c>
      <c r="D25" s="215" t="s">
        <v>365</v>
      </c>
      <c r="E25" s="27">
        <v>1</v>
      </c>
      <c r="F25" s="216" t="s">
        <v>334</v>
      </c>
      <c r="G25" s="211">
        <v>13.82</v>
      </c>
      <c r="H25" s="212"/>
      <c r="I25" s="65"/>
      <c r="J25" s="215">
        <f>'Ocorrências Mensais - FAT'!G41</f>
        <v>0.33333333333333331</v>
      </c>
      <c r="K25" s="213">
        <f t="shared" si="0"/>
        <v>4.6066666666666665</v>
      </c>
      <c r="L25" s="37">
        <f t="shared" si="1"/>
        <v>3</v>
      </c>
      <c r="N25" s="217">
        <v>1</v>
      </c>
      <c r="O25" s="37">
        <f>ROUND(IF(Dados!$J$56="SIM",N25*Dados!$N$56,N25),2)</f>
        <v>1</v>
      </c>
      <c r="P25" s="37">
        <f>ROUND(IF(Dados!$J$57="SIM",O25*Dados!$N$57,O25),2)</f>
        <v>1</v>
      </c>
      <c r="Q25" s="37" t="e">
        <f>ROUND(IF(Dados!#REF!="SIM",P25*Dados!#REF!,P25),2)</f>
        <v>#REF!</v>
      </c>
      <c r="R25" s="37" t="e">
        <f>ROUND(IF(Dados!#REF!="SIM",Q25*Dados!#REF!,Q25),2)</f>
        <v>#REF!</v>
      </c>
      <c r="S25" s="77" t="e">
        <f>ROUND(IF(Dados!#REF!="SIM",R25*Dados!#REF!,R25),2)</f>
        <v>#REF!</v>
      </c>
    </row>
    <row r="26" spans="1:19" s="66" customFormat="1" ht="51" x14ac:dyDescent="0.2">
      <c r="A26" s="78">
        <v>18</v>
      </c>
      <c r="B26" s="214" t="s">
        <v>366</v>
      </c>
      <c r="C26" s="215" t="s">
        <v>332</v>
      </c>
      <c r="D26" s="215" t="s">
        <v>367</v>
      </c>
      <c r="E26" s="27">
        <v>1</v>
      </c>
      <c r="F26" s="216" t="s">
        <v>361</v>
      </c>
      <c r="G26" s="211">
        <v>165.65</v>
      </c>
      <c r="H26" s="212"/>
      <c r="I26" s="65"/>
      <c r="J26" s="215">
        <f>'Ocorrências Mensais - FAT'!G42</f>
        <v>8.3333333333333329E-2</v>
      </c>
      <c r="K26" s="213">
        <f t="shared" si="0"/>
        <v>13.804166666666667</v>
      </c>
      <c r="L26" s="37">
        <f t="shared" si="1"/>
        <v>12</v>
      </c>
      <c r="N26" s="217">
        <v>1.59</v>
      </c>
      <c r="O26" s="37">
        <f>ROUND(IF(Dados!$J$56="SIM",N26*Dados!$N$56,N26),2)</f>
        <v>1.59</v>
      </c>
      <c r="P26" s="37">
        <f>ROUND(IF(Dados!$J$57="SIM",O26*Dados!$N$57,O26),2)</f>
        <v>1.59</v>
      </c>
      <c r="Q26" s="37" t="e">
        <f>ROUND(IF(Dados!#REF!="SIM",P26*Dados!#REF!,P26),2)</f>
        <v>#REF!</v>
      </c>
      <c r="R26" s="37" t="e">
        <f>ROUND(IF(Dados!#REF!="SIM",Q26*Dados!#REF!,Q26),2)</f>
        <v>#REF!</v>
      </c>
      <c r="S26" s="77" t="e">
        <f>ROUND(IF(Dados!#REF!="SIM",R26*Dados!#REF!,R26),2)</f>
        <v>#REF!</v>
      </c>
    </row>
    <row r="27" spans="1:19" s="66" customFormat="1" ht="12.75" x14ac:dyDescent="0.2">
      <c r="A27" s="78">
        <v>19</v>
      </c>
      <c r="B27" s="214" t="s">
        <v>368</v>
      </c>
      <c r="C27" s="215" t="s">
        <v>332</v>
      </c>
      <c r="D27" s="215" t="s">
        <v>369</v>
      </c>
      <c r="E27" s="27">
        <v>1</v>
      </c>
      <c r="F27" s="216" t="s">
        <v>328</v>
      </c>
      <c r="G27" s="211">
        <v>9.9</v>
      </c>
      <c r="H27" s="212"/>
      <c r="I27" s="65"/>
      <c r="J27" s="215">
        <f>'Ocorrências Mensais - FAT'!G43</f>
        <v>1</v>
      </c>
      <c r="K27" s="213">
        <f t="shared" si="0"/>
        <v>9.9</v>
      </c>
      <c r="L27" s="37">
        <f t="shared" si="1"/>
        <v>1</v>
      </c>
      <c r="N27" s="217">
        <v>10.9</v>
      </c>
      <c r="O27" s="37">
        <f>ROUND(IF(Dados!$J$56="SIM",N27*Dados!$N$56,N27),2)</f>
        <v>10.9</v>
      </c>
      <c r="P27" s="37">
        <f>ROUND(IF(Dados!$J$57="SIM",O27*Dados!$N$57,O27),2)</f>
        <v>10.9</v>
      </c>
      <c r="Q27" s="37" t="e">
        <f>ROUND(IF(Dados!#REF!="SIM",P27*Dados!#REF!,P27),2)</f>
        <v>#REF!</v>
      </c>
      <c r="R27" s="37" t="e">
        <f>ROUND(IF(Dados!#REF!="SIM",Q27*Dados!#REF!,Q27),2)</f>
        <v>#REF!</v>
      </c>
      <c r="S27" s="77" t="e">
        <f>ROUND(IF(Dados!#REF!="SIM",R27*Dados!#REF!,R27),2)</f>
        <v>#REF!</v>
      </c>
    </row>
    <row r="28" spans="1:19" s="66" customFormat="1" ht="51" x14ac:dyDescent="0.2">
      <c r="A28" s="78">
        <v>20</v>
      </c>
      <c r="B28" s="214" t="s">
        <v>370</v>
      </c>
      <c r="C28" s="215" t="s">
        <v>332</v>
      </c>
      <c r="D28" s="215" t="s">
        <v>369</v>
      </c>
      <c r="E28" s="27">
        <v>1</v>
      </c>
      <c r="F28" s="216" t="s">
        <v>328</v>
      </c>
      <c r="G28" s="211">
        <v>7.5</v>
      </c>
      <c r="H28" s="212"/>
      <c r="I28" s="65"/>
      <c r="J28" s="215">
        <f>'Ocorrências Mensais - FAT'!G44</f>
        <v>1</v>
      </c>
      <c r="K28" s="213">
        <f t="shared" si="0"/>
        <v>7.5</v>
      </c>
      <c r="L28" s="37">
        <f t="shared" si="1"/>
        <v>1</v>
      </c>
      <c r="N28" s="217">
        <v>3</v>
      </c>
      <c r="O28" s="37">
        <f>ROUND(IF(Dados!$J$56="SIM",N28*Dados!$N$56,N28),2)</f>
        <v>3</v>
      </c>
      <c r="P28" s="37">
        <f>ROUND(IF(Dados!$J$57="SIM",O28*Dados!$N$57,O28),2)</f>
        <v>3</v>
      </c>
      <c r="Q28" s="37" t="e">
        <f>ROUND(IF(Dados!#REF!="SIM",P28*Dados!#REF!,P28),2)</f>
        <v>#REF!</v>
      </c>
      <c r="R28" s="37" t="e">
        <f>ROUND(IF(Dados!#REF!="SIM",Q28*Dados!#REF!,Q28),2)</f>
        <v>#REF!</v>
      </c>
      <c r="S28" s="77" t="e">
        <f>ROUND(IF(Dados!#REF!="SIM",R28*Dados!#REF!,R28),2)</f>
        <v>#REF!</v>
      </c>
    </row>
    <row r="29" spans="1:19" s="66" customFormat="1" ht="51" x14ac:dyDescent="0.2">
      <c r="A29" s="78">
        <v>21</v>
      </c>
      <c r="B29" s="214" t="s">
        <v>371</v>
      </c>
      <c r="C29" s="215" t="s">
        <v>372</v>
      </c>
      <c r="D29" s="215" t="s">
        <v>373</v>
      </c>
      <c r="E29" s="27">
        <v>1</v>
      </c>
      <c r="F29" s="216" t="s">
        <v>328</v>
      </c>
      <c r="G29" s="211">
        <v>13.38</v>
      </c>
      <c r="H29" s="212"/>
      <c r="I29" s="65"/>
      <c r="J29" s="215">
        <f>'Ocorrências Mensais - FAT'!G45</f>
        <v>1</v>
      </c>
      <c r="K29" s="213">
        <f t="shared" si="0"/>
        <v>13.38</v>
      </c>
      <c r="L29" s="37">
        <f t="shared" si="1"/>
        <v>1</v>
      </c>
      <c r="N29" s="217">
        <v>1</v>
      </c>
      <c r="O29" s="37">
        <f>ROUND(IF(Dados!$J$56="SIM",N29*Dados!$N$56,N29),2)</f>
        <v>1</v>
      </c>
      <c r="P29" s="37">
        <f>ROUND(IF(Dados!$J$57="SIM",O29*Dados!$N$57,O29),2)</f>
        <v>1</v>
      </c>
      <c r="Q29" s="37" t="e">
        <f>ROUND(IF(Dados!#REF!="SIM",P29*Dados!#REF!,P29),2)</f>
        <v>#REF!</v>
      </c>
      <c r="R29" s="37" t="e">
        <f>ROUND(IF(Dados!#REF!="SIM",Q29*Dados!#REF!,Q29),2)</f>
        <v>#REF!</v>
      </c>
      <c r="S29" s="77" t="e">
        <f>ROUND(IF(Dados!#REF!="SIM",R29*Dados!#REF!,R29),2)</f>
        <v>#REF!</v>
      </c>
    </row>
    <row r="30" spans="1:19" s="66" customFormat="1" ht="25.5" x14ac:dyDescent="0.2">
      <c r="A30" s="78">
        <v>22</v>
      </c>
      <c r="B30" s="214" t="s">
        <v>374</v>
      </c>
      <c r="C30" s="215" t="s">
        <v>332</v>
      </c>
      <c r="D30" s="215" t="s">
        <v>373</v>
      </c>
      <c r="E30" s="27">
        <v>1</v>
      </c>
      <c r="F30" s="216" t="s">
        <v>334</v>
      </c>
      <c r="G30" s="211">
        <v>13.09</v>
      </c>
      <c r="H30" s="212"/>
      <c r="I30" s="65"/>
      <c r="J30" s="215">
        <f>'Ocorrências Mensais - FAT'!G46</f>
        <v>0.33333333333333331</v>
      </c>
      <c r="K30" s="213">
        <f t="shared" si="0"/>
        <v>4.3633333333333333</v>
      </c>
      <c r="L30" s="37">
        <f t="shared" si="1"/>
        <v>3</v>
      </c>
      <c r="N30" s="217">
        <v>2</v>
      </c>
      <c r="O30" s="37">
        <f>ROUND(IF(Dados!$J$56="SIM",N30*Dados!$N$56,N30),2)</f>
        <v>2</v>
      </c>
      <c r="P30" s="37">
        <f>ROUND(IF(Dados!$J$57="SIM",O30*Dados!$N$57,O30),2)</f>
        <v>2</v>
      </c>
      <c r="Q30" s="37" t="e">
        <f>ROUND(IF(Dados!#REF!="SIM",P30*Dados!#REF!,P30),2)</f>
        <v>#REF!</v>
      </c>
      <c r="R30" s="37" t="e">
        <f>ROUND(IF(Dados!#REF!="SIM",Q30*Dados!#REF!,Q30),2)</f>
        <v>#REF!</v>
      </c>
      <c r="S30" s="77" t="e">
        <f>ROUND(IF(Dados!#REF!="SIM",R30*Dados!#REF!,R30),2)</f>
        <v>#REF!</v>
      </c>
    </row>
    <row r="31" spans="1:19" s="66" customFormat="1" ht="51" x14ac:dyDescent="0.2">
      <c r="A31" s="78">
        <v>23</v>
      </c>
      <c r="B31" s="218" t="s">
        <v>375</v>
      </c>
      <c r="C31" s="215" t="s">
        <v>376</v>
      </c>
      <c r="D31" s="215" t="s">
        <v>377</v>
      </c>
      <c r="E31" s="27">
        <v>7</v>
      </c>
      <c r="F31" s="216" t="s">
        <v>328</v>
      </c>
      <c r="G31" s="211">
        <v>16.11</v>
      </c>
      <c r="H31" s="212"/>
      <c r="I31" s="65"/>
      <c r="J31" s="215">
        <f>'Ocorrências Mensais - FAT'!G47</f>
        <v>7</v>
      </c>
      <c r="K31" s="213">
        <f t="shared" si="0"/>
        <v>112.77</v>
      </c>
      <c r="L31" s="37">
        <f t="shared" si="1"/>
        <v>1</v>
      </c>
      <c r="N31" s="217">
        <v>20</v>
      </c>
      <c r="O31" s="37">
        <f>ROUND(IF(Dados!$J$56="SIM",N31*Dados!$N$56,N31),2)</f>
        <v>20</v>
      </c>
      <c r="P31" s="37">
        <f>ROUND(IF(Dados!$J$57="SIM",O31*Dados!$N$57,O31),2)</f>
        <v>20</v>
      </c>
      <c r="Q31" s="37" t="e">
        <f>ROUND(IF(Dados!#REF!="SIM",P31*Dados!#REF!,P31),2)</f>
        <v>#REF!</v>
      </c>
      <c r="R31" s="37" t="e">
        <f>ROUND(IF(Dados!#REF!="SIM",Q31*Dados!#REF!,Q31),2)</f>
        <v>#REF!</v>
      </c>
      <c r="S31" s="77" t="e">
        <f>ROUND(IF(Dados!#REF!="SIM",R31*Dados!#REF!,R31),2)</f>
        <v>#REF!</v>
      </c>
    </row>
    <row r="32" spans="1:19" s="66" customFormat="1" ht="51" x14ac:dyDescent="0.2">
      <c r="A32" s="78">
        <v>24</v>
      </c>
      <c r="B32" s="214" t="s">
        <v>378</v>
      </c>
      <c r="C32" s="215" t="s">
        <v>379</v>
      </c>
      <c r="D32" s="215" t="s">
        <v>380</v>
      </c>
      <c r="E32" s="27">
        <v>12</v>
      </c>
      <c r="F32" s="216" t="s">
        <v>328</v>
      </c>
      <c r="G32" s="211">
        <v>22.89</v>
      </c>
      <c r="H32" s="212"/>
      <c r="I32" s="65"/>
      <c r="J32" s="215">
        <f>'Ocorrências Mensais - FAT'!G48</f>
        <v>12</v>
      </c>
      <c r="K32" s="213">
        <f t="shared" si="0"/>
        <v>274.68</v>
      </c>
      <c r="L32" s="37">
        <f t="shared" si="1"/>
        <v>1</v>
      </c>
      <c r="N32" s="217">
        <v>6.3</v>
      </c>
      <c r="O32" s="37">
        <f>ROUND(IF(Dados!$J$56="SIM",N32*Dados!$N$56,N32),2)</f>
        <v>6.3</v>
      </c>
      <c r="P32" s="37">
        <f>ROUND(IF(Dados!$J$57="SIM",O32*Dados!$N$57,O32),2)</f>
        <v>6.3</v>
      </c>
      <c r="Q32" s="37" t="e">
        <f>ROUND(IF(Dados!#REF!="SIM",P32*Dados!#REF!,P32),2)</f>
        <v>#REF!</v>
      </c>
      <c r="R32" s="37" t="e">
        <f>ROUND(IF(Dados!#REF!="SIM",Q32*Dados!#REF!,Q32),2)</f>
        <v>#REF!</v>
      </c>
      <c r="S32" s="77" t="e">
        <f>ROUND(IF(Dados!#REF!="SIM",R32*Dados!#REF!,R32),2)</f>
        <v>#REF!</v>
      </c>
    </row>
    <row r="33" spans="1:19" s="66" customFormat="1" ht="25.5" x14ac:dyDescent="0.2">
      <c r="A33" s="78">
        <v>25</v>
      </c>
      <c r="B33" s="214" t="s">
        <v>381</v>
      </c>
      <c r="C33" s="215" t="s">
        <v>332</v>
      </c>
      <c r="D33" s="215" t="s">
        <v>382</v>
      </c>
      <c r="E33" s="27">
        <v>10</v>
      </c>
      <c r="F33" s="216" t="s">
        <v>328</v>
      </c>
      <c r="G33" s="211">
        <v>2.41</v>
      </c>
      <c r="H33" s="212"/>
      <c r="I33" s="65"/>
      <c r="J33" s="215">
        <f>'Ocorrências Mensais - FAT'!G49</f>
        <v>10</v>
      </c>
      <c r="K33" s="213">
        <f t="shared" si="0"/>
        <v>24.1</v>
      </c>
      <c r="L33" s="37">
        <f t="shared" si="1"/>
        <v>1</v>
      </c>
      <c r="N33" s="217">
        <v>8.99</v>
      </c>
      <c r="O33" s="37">
        <f>ROUND(IF(Dados!$J$56="SIM",N33*Dados!$N$56,N33),2)</f>
        <v>8.99</v>
      </c>
      <c r="P33" s="37">
        <f>ROUND(IF(Dados!$J$57="SIM",O33*Dados!$N$57,O33),2)</f>
        <v>8.99</v>
      </c>
      <c r="Q33" s="37" t="e">
        <f>ROUND(IF(Dados!#REF!="SIM",P33*Dados!#REF!,P33),2)</f>
        <v>#REF!</v>
      </c>
      <c r="R33" s="37" t="e">
        <f>ROUND(IF(Dados!#REF!="SIM",Q33*Dados!#REF!,Q33),2)</f>
        <v>#REF!</v>
      </c>
      <c r="S33" s="77" t="e">
        <f>ROUND(IF(Dados!#REF!="SIM",R33*Dados!#REF!,R33),2)</f>
        <v>#REF!</v>
      </c>
    </row>
    <row r="34" spans="1:19" s="66" customFormat="1" ht="38.25" x14ac:dyDescent="0.2">
      <c r="A34" s="78">
        <v>26</v>
      </c>
      <c r="B34" s="218" t="s">
        <v>383</v>
      </c>
      <c r="C34" s="215" t="s">
        <v>332</v>
      </c>
      <c r="D34" s="215" t="s">
        <v>384</v>
      </c>
      <c r="E34" s="27">
        <v>1</v>
      </c>
      <c r="F34" s="216" t="s">
        <v>340</v>
      </c>
      <c r="G34" s="211">
        <v>25.67</v>
      </c>
      <c r="H34" s="212"/>
      <c r="I34" s="65"/>
      <c r="J34" s="215">
        <f>'Ocorrências Mensais - FAT'!G50</f>
        <v>0.5</v>
      </c>
      <c r="K34" s="213">
        <f t="shared" si="0"/>
        <v>12.835000000000001</v>
      </c>
      <c r="L34" s="37">
        <f t="shared" si="1"/>
        <v>2</v>
      </c>
      <c r="N34" s="217">
        <v>5</v>
      </c>
      <c r="O34" s="37">
        <f>ROUND(IF(Dados!$J$56="SIM",N34*Dados!$N$56,N34),2)</f>
        <v>5</v>
      </c>
      <c r="P34" s="37">
        <f>ROUND(IF(Dados!$J$57="SIM",O34*Dados!$N$57,O34),2)</f>
        <v>5</v>
      </c>
      <c r="Q34" s="37" t="e">
        <f>ROUND(IF(Dados!#REF!="SIM",P34*Dados!#REF!,P34),2)</f>
        <v>#REF!</v>
      </c>
      <c r="R34" s="37" t="e">
        <f>ROUND(IF(Dados!#REF!="SIM",Q34*Dados!#REF!,Q34),2)</f>
        <v>#REF!</v>
      </c>
      <c r="S34" s="77" t="e">
        <f>ROUND(IF(Dados!#REF!="SIM",R34*Dados!#REF!,R34),2)</f>
        <v>#REF!</v>
      </c>
    </row>
    <row r="35" spans="1:19" s="66" customFormat="1" ht="25.5" x14ac:dyDescent="0.2">
      <c r="A35" s="78">
        <v>27</v>
      </c>
      <c r="B35" s="214" t="s">
        <v>385</v>
      </c>
      <c r="C35" s="215" t="s">
        <v>355</v>
      </c>
      <c r="D35" s="215" t="s">
        <v>386</v>
      </c>
      <c r="E35" s="27">
        <v>4</v>
      </c>
      <c r="F35" s="216" t="s">
        <v>328</v>
      </c>
      <c r="G35" s="211">
        <v>12</v>
      </c>
      <c r="H35" s="212"/>
      <c r="I35" s="65"/>
      <c r="J35" s="215">
        <f>'Ocorrências Mensais - FAT'!G51</f>
        <v>4</v>
      </c>
      <c r="K35" s="213">
        <f t="shared" si="0"/>
        <v>48</v>
      </c>
      <c r="L35" s="37">
        <f t="shared" si="1"/>
        <v>1</v>
      </c>
      <c r="N35" s="217">
        <v>1.5</v>
      </c>
      <c r="O35" s="37">
        <f>ROUND(IF(Dados!$J$56="SIM",N35*Dados!$N$56,N35),2)</f>
        <v>1.5</v>
      </c>
      <c r="P35" s="37">
        <f>ROUND(IF(Dados!$J$57="SIM",O35*Dados!$N$57,O35),2)</f>
        <v>1.5</v>
      </c>
      <c r="Q35" s="37" t="e">
        <f>ROUND(IF(Dados!#REF!="SIM",P35*Dados!#REF!,P35),2)</f>
        <v>#REF!</v>
      </c>
      <c r="R35" s="37" t="e">
        <f>ROUND(IF(Dados!#REF!="SIM",Q35*Dados!#REF!,Q35),2)</f>
        <v>#REF!</v>
      </c>
      <c r="S35" s="77" t="e">
        <f>ROUND(IF(Dados!#REF!="SIM",R35*Dados!#REF!,R35),2)</f>
        <v>#REF!</v>
      </c>
    </row>
    <row r="36" spans="1:19" s="66" customFormat="1" ht="25.5" x14ac:dyDescent="0.2">
      <c r="A36" s="78">
        <v>28</v>
      </c>
      <c r="B36" s="214" t="s">
        <v>387</v>
      </c>
      <c r="C36" s="215" t="s">
        <v>388</v>
      </c>
      <c r="D36" s="215" t="s">
        <v>389</v>
      </c>
      <c r="E36" s="27">
        <v>1</v>
      </c>
      <c r="F36" s="216" t="s">
        <v>328</v>
      </c>
      <c r="G36" s="211">
        <v>15.6</v>
      </c>
      <c r="H36" s="212"/>
      <c r="I36" s="65"/>
      <c r="J36" s="215">
        <f>'Ocorrências Mensais - FAT'!G52</f>
        <v>1</v>
      </c>
      <c r="K36" s="213">
        <f t="shared" si="0"/>
        <v>15.6</v>
      </c>
      <c r="L36" s="37">
        <f t="shared" si="1"/>
        <v>1</v>
      </c>
      <c r="N36" s="217">
        <v>3.2</v>
      </c>
      <c r="O36" s="37">
        <f>ROUND(IF(Dados!$J$56="SIM",N36*Dados!$N$56,N36),2)</f>
        <v>3.2</v>
      </c>
      <c r="P36" s="37">
        <f>ROUND(IF(Dados!$J$57="SIM",O36*Dados!$N$57,O36),2)</f>
        <v>3.2</v>
      </c>
      <c r="Q36" s="37" t="e">
        <f>ROUND(IF(Dados!#REF!="SIM",P36*Dados!#REF!,P36),2)</f>
        <v>#REF!</v>
      </c>
      <c r="R36" s="37" t="e">
        <f>ROUND(IF(Dados!#REF!="SIM",Q36*Dados!#REF!,Q36),2)</f>
        <v>#REF!</v>
      </c>
      <c r="S36" s="77" t="e">
        <f>ROUND(IF(Dados!#REF!="SIM",R36*Dados!#REF!,R36),2)</f>
        <v>#REF!</v>
      </c>
    </row>
    <row r="37" spans="1:19" s="66" customFormat="1" ht="12.75" x14ac:dyDescent="0.2">
      <c r="A37" s="78">
        <v>29</v>
      </c>
      <c r="B37" s="214" t="s">
        <v>390</v>
      </c>
      <c r="C37" s="215" t="s">
        <v>391</v>
      </c>
      <c r="D37" s="215" t="s">
        <v>358</v>
      </c>
      <c r="E37" s="27">
        <v>2</v>
      </c>
      <c r="F37" s="216" t="s">
        <v>328</v>
      </c>
      <c r="G37" s="211">
        <v>6.24</v>
      </c>
      <c r="H37" s="212"/>
      <c r="I37" s="65"/>
      <c r="J37" s="215">
        <f>'Ocorrências Mensais - FAT'!G53</f>
        <v>2</v>
      </c>
      <c r="K37" s="213">
        <f t="shared" si="0"/>
        <v>12.48</v>
      </c>
      <c r="L37" s="37">
        <f t="shared" si="1"/>
        <v>1</v>
      </c>
      <c r="N37" s="217">
        <v>3.99</v>
      </c>
      <c r="O37" s="37">
        <f>ROUND(IF(Dados!$J$56="SIM",N37*Dados!$N$56,N37),2)</f>
        <v>3.99</v>
      </c>
      <c r="P37" s="37">
        <f>ROUND(IF(Dados!$J$57="SIM",O37*Dados!$N$57,O37),2)</f>
        <v>3.99</v>
      </c>
      <c r="Q37" s="37" t="e">
        <f>ROUND(IF(Dados!#REF!="SIM",P37*Dados!#REF!,P37),2)</f>
        <v>#REF!</v>
      </c>
      <c r="R37" s="37" t="e">
        <f>ROUND(IF(Dados!#REF!="SIM",Q37*Dados!#REF!,Q37),2)</f>
        <v>#REF!</v>
      </c>
      <c r="S37" s="77" t="e">
        <f>ROUND(IF(Dados!#REF!="SIM",R37*Dados!#REF!,R37),2)</f>
        <v>#REF!</v>
      </c>
    </row>
    <row r="38" spans="1:19" s="66" customFormat="1" ht="25.5" x14ac:dyDescent="0.2">
      <c r="A38" s="78">
        <v>30</v>
      </c>
      <c r="B38" s="218" t="s">
        <v>392</v>
      </c>
      <c r="C38" s="215" t="s">
        <v>326</v>
      </c>
      <c r="D38" s="215" t="s">
        <v>393</v>
      </c>
      <c r="E38" s="27">
        <v>2</v>
      </c>
      <c r="F38" s="216" t="s">
        <v>328</v>
      </c>
      <c r="G38" s="211">
        <v>23.76</v>
      </c>
      <c r="H38" s="212"/>
      <c r="I38" s="65"/>
      <c r="J38" s="215">
        <f>'Ocorrências Mensais - FAT'!G54</f>
        <v>2</v>
      </c>
      <c r="K38" s="213">
        <f t="shared" si="0"/>
        <v>47.52</v>
      </c>
      <c r="L38" s="37">
        <f t="shared" si="1"/>
        <v>1</v>
      </c>
      <c r="N38" s="217">
        <v>1.4</v>
      </c>
      <c r="O38" s="37">
        <f>ROUND(IF(Dados!$J$56="SIM",N38*Dados!$N$56,N38),2)</f>
        <v>1.4</v>
      </c>
      <c r="P38" s="37">
        <f>ROUND(IF(Dados!$J$57="SIM",O38*Dados!$N$57,O38),2)</f>
        <v>1.4</v>
      </c>
      <c r="Q38" s="37" t="e">
        <f>ROUND(IF(Dados!#REF!="SIM",P38*Dados!#REF!,P38),2)</f>
        <v>#REF!</v>
      </c>
      <c r="R38" s="37" t="e">
        <f>ROUND(IF(Dados!#REF!="SIM",Q38*Dados!#REF!,Q38),2)</f>
        <v>#REF!</v>
      </c>
      <c r="S38" s="77" t="e">
        <f>ROUND(IF(Dados!#REF!="SIM",R38*Dados!#REF!,R38),2)</f>
        <v>#REF!</v>
      </c>
    </row>
    <row r="39" spans="1:19" s="66" customFormat="1" ht="25.5" x14ac:dyDescent="0.2">
      <c r="A39" s="78">
        <v>31</v>
      </c>
      <c r="B39" s="214" t="s">
        <v>394</v>
      </c>
      <c r="C39" s="215" t="s">
        <v>332</v>
      </c>
      <c r="D39" s="215" t="s">
        <v>395</v>
      </c>
      <c r="E39" s="27">
        <v>1</v>
      </c>
      <c r="F39" s="216" t="s">
        <v>328</v>
      </c>
      <c r="G39" s="211">
        <v>8.23</v>
      </c>
      <c r="H39" s="212"/>
      <c r="I39" s="65"/>
      <c r="J39" s="215">
        <f>'Ocorrências Mensais - FAT'!G55</f>
        <v>1</v>
      </c>
      <c r="K39" s="213">
        <f t="shared" si="0"/>
        <v>8.23</v>
      </c>
      <c r="L39" s="37">
        <f t="shared" si="1"/>
        <v>1</v>
      </c>
      <c r="N39" s="217">
        <v>2.04</v>
      </c>
      <c r="O39" s="37">
        <f>ROUND(IF(Dados!$J$56="SIM",N39*Dados!$N$56,N39),2)</f>
        <v>2.04</v>
      </c>
      <c r="P39" s="37">
        <f>ROUND(IF(Dados!$J$57="SIM",O39*Dados!$N$57,O39),2)</f>
        <v>2.04</v>
      </c>
      <c r="Q39" s="37" t="e">
        <f>ROUND(IF(Dados!#REF!="SIM",P39*Dados!#REF!,P39),2)</f>
        <v>#REF!</v>
      </c>
      <c r="R39" s="37" t="e">
        <f>ROUND(IF(Dados!#REF!="SIM",Q39*Dados!#REF!,Q39),2)</f>
        <v>#REF!</v>
      </c>
      <c r="S39" s="77" t="e">
        <f>ROUND(IF(Dados!#REF!="SIM",R39*Dados!#REF!,R39),2)</f>
        <v>#REF!</v>
      </c>
    </row>
    <row r="40" spans="1:19" s="66" customFormat="1" ht="51" x14ac:dyDescent="0.2">
      <c r="A40" s="78">
        <v>32</v>
      </c>
      <c r="B40" s="214" t="s">
        <v>396</v>
      </c>
      <c r="C40" s="215" t="s">
        <v>379</v>
      </c>
      <c r="D40" s="215" t="s">
        <v>397</v>
      </c>
      <c r="E40" s="27">
        <v>2</v>
      </c>
      <c r="F40" s="216" t="s">
        <v>328</v>
      </c>
      <c r="G40" s="211">
        <v>60.16</v>
      </c>
      <c r="H40" s="212"/>
      <c r="I40" s="65"/>
      <c r="J40" s="215">
        <f>'Ocorrências Mensais - FAT'!G56</f>
        <v>2</v>
      </c>
      <c r="K40" s="213">
        <f t="shared" si="0"/>
        <v>120.32</v>
      </c>
      <c r="L40" s="37">
        <f t="shared" si="1"/>
        <v>1</v>
      </c>
      <c r="N40" s="217">
        <v>6.55</v>
      </c>
      <c r="O40" s="37">
        <f>ROUND(IF(Dados!$J$56="SIM",N40*Dados!$N$56,N40),2)</f>
        <v>6.55</v>
      </c>
      <c r="P40" s="37">
        <f>ROUND(IF(Dados!$J$57="SIM",O40*Dados!$N$57,O40),2)</f>
        <v>6.55</v>
      </c>
      <c r="Q40" s="37" t="e">
        <f>ROUND(IF(Dados!#REF!="SIM",P40*Dados!#REF!,P40),2)</f>
        <v>#REF!</v>
      </c>
      <c r="R40" s="37" t="e">
        <f>ROUND(IF(Dados!#REF!="SIM",Q40*Dados!#REF!,Q40),2)</f>
        <v>#REF!</v>
      </c>
      <c r="S40" s="77" t="e">
        <f>ROUND(IF(Dados!#REF!="SIM",R40*Dados!#REF!,R40),2)</f>
        <v>#REF!</v>
      </c>
    </row>
    <row r="41" spans="1:19" s="66" customFormat="1" ht="51" x14ac:dyDescent="0.2">
      <c r="A41" s="78">
        <v>33</v>
      </c>
      <c r="B41" s="214" t="s">
        <v>398</v>
      </c>
      <c r="C41" s="215" t="s">
        <v>379</v>
      </c>
      <c r="D41" s="215" t="s">
        <v>399</v>
      </c>
      <c r="E41" s="27">
        <v>1</v>
      </c>
      <c r="F41" s="216" t="s">
        <v>328</v>
      </c>
      <c r="G41" s="211">
        <v>16.489999999999998</v>
      </c>
      <c r="H41" s="212"/>
      <c r="I41" s="65"/>
      <c r="J41" s="215">
        <f>'Ocorrências Mensais - FAT'!G57</f>
        <v>1</v>
      </c>
      <c r="K41" s="213">
        <f t="shared" si="0"/>
        <v>16.489999999999998</v>
      </c>
      <c r="L41" s="37"/>
      <c r="N41" s="217"/>
      <c r="O41" s="37"/>
      <c r="P41" s="37"/>
      <c r="Q41" s="37"/>
      <c r="R41" s="37"/>
      <c r="S41" s="77"/>
    </row>
    <row r="42" spans="1:19" s="66" customFormat="1" ht="38.25" x14ac:dyDescent="0.2">
      <c r="A42" s="78">
        <v>34</v>
      </c>
      <c r="B42" s="214" t="s">
        <v>400</v>
      </c>
      <c r="C42" s="215" t="s">
        <v>332</v>
      </c>
      <c r="D42" s="215" t="s">
        <v>342</v>
      </c>
      <c r="E42" s="27">
        <v>2</v>
      </c>
      <c r="F42" s="216" t="s">
        <v>328</v>
      </c>
      <c r="G42" s="211">
        <v>16.46</v>
      </c>
      <c r="H42" s="212"/>
      <c r="I42" s="65"/>
      <c r="J42" s="215">
        <f>'Ocorrências Mensais - FAT'!G58</f>
        <v>2</v>
      </c>
      <c r="K42" s="213">
        <f t="shared" si="0"/>
        <v>32.92</v>
      </c>
      <c r="L42" s="37"/>
      <c r="N42" s="217"/>
      <c r="O42" s="37"/>
      <c r="P42" s="37"/>
      <c r="Q42" s="37"/>
      <c r="R42" s="37"/>
      <c r="S42" s="77"/>
    </row>
    <row r="43" spans="1:19" s="66" customFormat="1" ht="38.25" x14ac:dyDescent="0.2">
      <c r="A43" s="78">
        <v>35</v>
      </c>
      <c r="B43" s="214" t="s">
        <v>401</v>
      </c>
      <c r="C43" s="215" t="s">
        <v>332</v>
      </c>
      <c r="D43" s="215" t="s">
        <v>402</v>
      </c>
      <c r="E43" s="27">
        <v>1</v>
      </c>
      <c r="F43" s="216" t="s">
        <v>334</v>
      </c>
      <c r="G43" s="211">
        <v>18.100000000000001</v>
      </c>
      <c r="H43" s="212"/>
      <c r="I43" s="65"/>
      <c r="J43" s="215">
        <f>'Ocorrências Mensais - FAT'!G59</f>
        <v>0.33333333333333331</v>
      </c>
      <c r="K43" s="213">
        <f t="shared" si="0"/>
        <v>6.0333333333333332</v>
      </c>
      <c r="L43" s="37">
        <f>IF(F43="MENSAL",1,IF(F43="BIMESTRAL",2,IF(F43="TRIMESTRAL",3,IF(F43="QUADRIMESTRAL",4,IF(F43="SEMESTRAL",6,IF(F43="ANUAL",12,IF(F43="BIENAL",24,"")))))))</f>
        <v>3</v>
      </c>
      <c r="N43" s="217">
        <v>2.8</v>
      </c>
      <c r="O43" s="37">
        <f>ROUND(IF(Dados!$J$56="SIM",N43*Dados!$N$56,N43),2)</f>
        <v>2.8</v>
      </c>
      <c r="P43" s="37">
        <f>ROUND(IF(Dados!$J$57="SIM",O43*Dados!$N$57,O43),2)</f>
        <v>2.8</v>
      </c>
      <c r="Q43" s="37" t="e">
        <f>ROUND(IF(Dados!#REF!="SIM",P43*Dados!#REF!,P43),2)</f>
        <v>#REF!</v>
      </c>
      <c r="R43" s="37" t="e">
        <f>ROUND(IF(Dados!#REF!="SIM",Q43*Dados!#REF!,Q43),2)</f>
        <v>#REF!</v>
      </c>
      <c r="S43" s="77" t="e">
        <f>ROUND(IF(Dados!#REF!="SIM",R43*Dados!#REF!,R43),2)</f>
        <v>#REF!</v>
      </c>
    </row>
    <row r="44" spans="1:19" ht="15.75" x14ac:dyDescent="0.25">
      <c r="A44" s="535"/>
      <c r="B44" s="535"/>
      <c r="C44" s="535"/>
      <c r="D44" s="535"/>
      <c r="E44" s="535"/>
      <c r="F44" s="535"/>
      <c r="G44" s="535"/>
      <c r="H44" s="220"/>
      <c r="I44" s="56"/>
      <c r="J44" s="221" t="s">
        <v>169</v>
      </c>
      <c r="K44" s="222">
        <f>SUM(K9:K43)</f>
        <v>989.54333333333341</v>
      </c>
      <c r="N44" s="223"/>
      <c r="O44" s="61"/>
      <c r="P44" s="61"/>
      <c r="Q44" s="61"/>
      <c r="R44" s="61"/>
      <c r="S44" s="61"/>
    </row>
    <row r="45" spans="1:19" x14ac:dyDescent="0.25">
      <c r="A45" s="224"/>
      <c r="H45" s="225"/>
      <c r="N45" s="223"/>
      <c r="O45" s="61"/>
      <c r="P45" s="61"/>
      <c r="Q45" s="61"/>
      <c r="R45" s="61"/>
      <c r="S45" s="61"/>
    </row>
    <row r="46" spans="1:19" ht="18.75" customHeight="1" x14ac:dyDescent="0.25">
      <c r="A46" s="529" t="s">
        <v>595</v>
      </c>
      <c r="B46" s="529"/>
      <c r="C46" s="529"/>
      <c r="D46" s="529"/>
      <c r="E46" s="529"/>
      <c r="F46" s="529"/>
      <c r="G46" s="529"/>
      <c r="H46" s="529"/>
      <c r="I46" s="66"/>
      <c r="J46" s="66"/>
      <c r="L46" s="66"/>
      <c r="N46" s="484" t="s">
        <v>318</v>
      </c>
      <c r="O46" s="484"/>
      <c r="P46" s="484"/>
      <c r="Q46" s="484"/>
      <c r="R46" s="484"/>
      <c r="S46" s="484"/>
    </row>
    <row r="47" spans="1:19" ht="15" customHeight="1" x14ac:dyDescent="0.25">
      <c r="A47" s="226"/>
      <c r="B47" s="65"/>
      <c r="C47" s="65"/>
      <c r="D47" s="65"/>
      <c r="E47" s="65"/>
      <c r="F47" s="65"/>
      <c r="G47" s="65"/>
      <c r="H47" s="227"/>
      <c r="I47" s="66"/>
      <c r="J47" s="66"/>
      <c r="L47" s="66"/>
      <c r="N47" s="484"/>
      <c r="O47" s="484"/>
      <c r="P47" s="484"/>
      <c r="Q47" s="484"/>
      <c r="R47" s="484"/>
      <c r="S47" s="484"/>
    </row>
    <row r="48" spans="1:19" ht="15" customHeight="1" x14ac:dyDescent="0.25">
      <c r="A48" s="531" t="s">
        <v>52</v>
      </c>
      <c r="B48" s="532" t="s">
        <v>578</v>
      </c>
      <c r="C48" s="532"/>
      <c r="D48" s="532"/>
      <c r="E48" s="200"/>
      <c r="F48" s="200"/>
      <c r="G48" s="200"/>
      <c r="H48" s="533" t="s">
        <v>319</v>
      </c>
      <c r="I48" s="66"/>
      <c r="J48" s="534" t="s">
        <v>320</v>
      </c>
      <c r="K48" s="534"/>
      <c r="L48" s="534"/>
      <c r="N48" s="484"/>
      <c r="O48" s="484"/>
      <c r="P48" s="484"/>
      <c r="Q48" s="484"/>
      <c r="R48" s="484"/>
      <c r="S48" s="484"/>
    </row>
    <row r="49" spans="1:19" ht="38.25" x14ac:dyDescent="0.25">
      <c r="A49" s="531"/>
      <c r="B49" s="199" t="s">
        <v>570</v>
      </c>
      <c r="C49" s="202" t="s">
        <v>55</v>
      </c>
      <c r="D49" s="202" t="s">
        <v>403</v>
      </c>
      <c r="E49" s="203" t="s">
        <v>321</v>
      </c>
      <c r="F49" s="204" t="s">
        <v>61</v>
      </c>
      <c r="G49" s="202" t="s">
        <v>322</v>
      </c>
      <c r="H49" s="533"/>
      <c r="I49" s="66"/>
      <c r="J49" s="228" t="s">
        <v>59</v>
      </c>
      <c r="K49" s="228" t="s">
        <v>58</v>
      </c>
      <c r="L49" s="203" t="s">
        <v>323</v>
      </c>
      <c r="N49" s="205" t="s">
        <v>324</v>
      </c>
      <c r="O49" s="20" t="s">
        <v>237</v>
      </c>
      <c r="P49" s="20" t="s">
        <v>238</v>
      </c>
      <c r="Q49" s="20" t="s">
        <v>239</v>
      </c>
      <c r="R49" s="20" t="s">
        <v>240</v>
      </c>
      <c r="S49" s="22" t="s">
        <v>241</v>
      </c>
    </row>
    <row r="50" spans="1:19" ht="39" x14ac:dyDescent="0.25">
      <c r="A50" s="27">
        <v>1</v>
      </c>
      <c r="B50" s="214" t="s">
        <v>404</v>
      </c>
      <c r="C50" s="215" t="s">
        <v>332</v>
      </c>
      <c r="D50" s="215" t="s">
        <v>336</v>
      </c>
      <c r="E50" s="27">
        <v>1</v>
      </c>
      <c r="F50" s="215" t="s">
        <v>343</v>
      </c>
      <c r="G50" s="211">
        <v>13.89</v>
      </c>
      <c r="H50" s="229"/>
      <c r="I50" s="66"/>
      <c r="J50" s="215">
        <f>'Ocorrências Mensais - FAT'!G68</f>
        <v>0.16666666666666666</v>
      </c>
      <c r="K50" s="213">
        <f t="shared" ref="K50:K65" si="2">G50*J50</f>
        <v>2.3149999999999999</v>
      </c>
      <c r="L50" s="37">
        <f t="shared" ref="L50:L65" si="3">IF(F50="MENSAL",1,IF(F50="BIMESTRAL",2,IF(F50="TRIMESTRAL",3,IF(F50="QUADRIMESTRAL",4,IF(F50="SEMESTRAL",6,IF(F50="ANUAL",12,IF(F50="BIENAL",24,"")))))))</f>
        <v>6</v>
      </c>
      <c r="N50" s="230">
        <v>3.1</v>
      </c>
      <c r="O50" s="37">
        <f>ROUND(IF(Dados!$J$56="SIM",N50*Dados!$N$56,N50),2)</f>
        <v>3.1</v>
      </c>
      <c r="P50" s="37">
        <f>ROUND(IF(Dados!$J$57="SIM",O50*Dados!$N$57,O50),2)</f>
        <v>3.1</v>
      </c>
      <c r="Q50" s="37" t="e">
        <f>ROUND(IF(Dados!#REF!="SIM",P50*Dados!#REF!,P50),2)</f>
        <v>#REF!</v>
      </c>
      <c r="R50" s="37" t="e">
        <f>ROUND(IF(Dados!#REF!="SIM",Q50*Dados!#REF!,Q50),2)</f>
        <v>#REF!</v>
      </c>
      <c r="S50" s="77" t="e">
        <f>ROUND(IF(Dados!#REF!="SIM",R50*Dados!#REF!,R50),2)</f>
        <v>#REF!</v>
      </c>
    </row>
    <row r="51" spans="1:19" ht="51.75" x14ac:dyDescent="0.25">
      <c r="A51" s="27">
        <v>2</v>
      </c>
      <c r="B51" s="214" t="s">
        <v>405</v>
      </c>
      <c r="C51" s="215" t="s">
        <v>332</v>
      </c>
      <c r="D51" s="215" t="s">
        <v>406</v>
      </c>
      <c r="E51" s="27">
        <v>1</v>
      </c>
      <c r="F51" s="215" t="s">
        <v>328</v>
      </c>
      <c r="G51" s="211">
        <v>9.99</v>
      </c>
      <c r="H51" s="229"/>
      <c r="I51" s="66"/>
      <c r="J51" s="215">
        <f>'Ocorrências Mensais - FAT'!G69</f>
        <v>1</v>
      </c>
      <c r="K51" s="213">
        <f t="shared" si="2"/>
        <v>9.99</v>
      </c>
      <c r="L51" s="37">
        <f t="shared" si="3"/>
        <v>1</v>
      </c>
      <c r="N51" s="230">
        <v>4.04</v>
      </c>
      <c r="O51" s="37">
        <f>ROUND(IF(Dados!$J$56="SIM",N51*Dados!$N$56,N51),2)</f>
        <v>4.04</v>
      </c>
      <c r="P51" s="37">
        <f>ROUND(IF(Dados!$J$57="SIM",O51*Dados!$N$57,O51),2)</f>
        <v>4.04</v>
      </c>
      <c r="Q51" s="37" t="e">
        <f>ROUND(IF(Dados!#REF!="SIM",P51*Dados!#REF!,P51),2)</f>
        <v>#REF!</v>
      </c>
      <c r="R51" s="37" t="e">
        <f>ROUND(IF(Dados!#REF!="SIM",Q51*Dados!#REF!,Q51),2)</f>
        <v>#REF!</v>
      </c>
      <c r="S51" s="77" t="e">
        <f>ROUND(IF(Dados!#REF!="SIM",R51*Dados!#REF!,R51),2)</f>
        <v>#REF!</v>
      </c>
    </row>
    <row r="52" spans="1:19" ht="25.5" x14ac:dyDescent="0.25">
      <c r="A52" s="27">
        <v>3</v>
      </c>
      <c r="B52" s="218" t="s">
        <v>407</v>
      </c>
      <c r="C52" s="215" t="s">
        <v>332</v>
      </c>
      <c r="D52" s="215" t="s">
        <v>342</v>
      </c>
      <c r="E52" s="27">
        <v>1</v>
      </c>
      <c r="F52" s="215" t="s">
        <v>343</v>
      </c>
      <c r="G52" s="211">
        <v>10.41</v>
      </c>
      <c r="H52" s="229"/>
      <c r="I52" s="66"/>
      <c r="J52" s="215">
        <f>'Ocorrências Mensais - FAT'!G70</f>
        <v>0.16666666666666666</v>
      </c>
      <c r="K52" s="213">
        <f t="shared" si="2"/>
        <v>1.7349999999999999</v>
      </c>
      <c r="L52" s="37">
        <f t="shared" si="3"/>
        <v>6</v>
      </c>
      <c r="N52" s="230">
        <v>1.5</v>
      </c>
      <c r="O52" s="37">
        <f>ROUND(IF(Dados!$J$56="SIM",N52*Dados!$N$56,N52),2)</f>
        <v>1.5</v>
      </c>
      <c r="P52" s="37">
        <f>ROUND(IF(Dados!$J$57="SIM",O52*Dados!$N$57,O52),2)</f>
        <v>1.5</v>
      </c>
      <c r="Q52" s="37" t="e">
        <f>ROUND(IF(Dados!#REF!="SIM",P52*Dados!#REF!,P52),2)</f>
        <v>#REF!</v>
      </c>
      <c r="R52" s="37" t="e">
        <f>ROUND(IF(Dados!#REF!="SIM",Q52*Dados!#REF!,Q52),2)</f>
        <v>#REF!</v>
      </c>
      <c r="S52" s="77" t="e">
        <f>ROUND(IF(Dados!#REF!="SIM",R52*Dados!#REF!,R52),2)</f>
        <v>#REF!</v>
      </c>
    </row>
    <row r="53" spans="1:19" ht="51" x14ac:dyDescent="0.25">
      <c r="A53" s="27">
        <v>4</v>
      </c>
      <c r="B53" s="218" t="s">
        <v>348</v>
      </c>
      <c r="C53" s="215" t="s">
        <v>332</v>
      </c>
      <c r="D53" s="215" t="s">
        <v>408</v>
      </c>
      <c r="E53" s="27">
        <v>4</v>
      </c>
      <c r="F53" s="215" t="s">
        <v>328</v>
      </c>
      <c r="G53" s="211">
        <v>2.99</v>
      </c>
      <c r="H53" s="229"/>
      <c r="I53" s="66"/>
      <c r="J53" s="215">
        <f>'Ocorrências Mensais - FAT'!G71</f>
        <v>4</v>
      </c>
      <c r="K53" s="213">
        <f t="shared" si="2"/>
        <v>11.96</v>
      </c>
      <c r="L53" s="37">
        <f t="shared" si="3"/>
        <v>1</v>
      </c>
      <c r="N53" s="230">
        <v>1.2</v>
      </c>
      <c r="O53" s="37">
        <f>ROUND(IF(Dados!$J$56="SIM",N53*Dados!$N$56,N53),2)</f>
        <v>1.2</v>
      </c>
      <c r="P53" s="37">
        <f>ROUND(IF(Dados!$J$57="SIM",O53*Dados!$N$57,O53),2)</f>
        <v>1.2</v>
      </c>
      <c r="Q53" s="37" t="e">
        <f>ROUND(IF(Dados!#REF!="SIM",P53*Dados!#REF!,P53),2)</f>
        <v>#REF!</v>
      </c>
      <c r="R53" s="37" t="e">
        <f>ROUND(IF(Dados!#REF!="SIM",Q53*Dados!#REF!,Q53),2)</f>
        <v>#REF!</v>
      </c>
      <c r="S53" s="77" t="e">
        <f>ROUND(IF(Dados!#REF!="SIM",R53*Dados!#REF!,R53),2)</f>
        <v>#REF!</v>
      </c>
    </row>
    <row r="54" spans="1:19" ht="25.5" x14ac:dyDescent="0.25">
      <c r="A54" s="27">
        <v>5</v>
      </c>
      <c r="B54" s="218" t="s">
        <v>350</v>
      </c>
      <c r="C54" s="215" t="s">
        <v>332</v>
      </c>
      <c r="D54" s="215" t="s">
        <v>351</v>
      </c>
      <c r="E54" s="27">
        <v>1</v>
      </c>
      <c r="F54" s="215" t="s">
        <v>334</v>
      </c>
      <c r="G54" s="211">
        <v>5.57</v>
      </c>
      <c r="H54" s="229"/>
      <c r="I54" s="66"/>
      <c r="J54" s="215">
        <f>'Ocorrências Mensais - FAT'!G72</f>
        <v>0.33333333333333331</v>
      </c>
      <c r="K54" s="213">
        <f t="shared" si="2"/>
        <v>1.8566666666666667</v>
      </c>
      <c r="L54" s="37">
        <f t="shared" si="3"/>
        <v>3</v>
      </c>
      <c r="N54" s="230">
        <v>1.5</v>
      </c>
      <c r="O54" s="37">
        <f>ROUND(IF(Dados!$J$56="SIM",N54*Dados!$N$56,N54),2)</f>
        <v>1.5</v>
      </c>
      <c r="P54" s="37">
        <f>ROUND(IF(Dados!$J$57="SIM",O54*Dados!$N$57,O54),2)</f>
        <v>1.5</v>
      </c>
      <c r="Q54" s="37" t="e">
        <f>ROUND(IF(Dados!#REF!="SIM",P54*Dados!#REF!,P54),2)</f>
        <v>#REF!</v>
      </c>
      <c r="R54" s="37" t="e">
        <f>ROUND(IF(Dados!#REF!="SIM",Q54*Dados!#REF!,Q54),2)</f>
        <v>#REF!</v>
      </c>
      <c r="S54" s="77" t="e">
        <f>ROUND(IF(Dados!#REF!="SIM",R54*Dados!#REF!,R54),2)</f>
        <v>#REF!</v>
      </c>
    </row>
    <row r="55" spans="1:19" ht="63.75" x14ac:dyDescent="0.25">
      <c r="A55" s="27">
        <v>6</v>
      </c>
      <c r="B55" s="218" t="s">
        <v>354</v>
      </c>
      <c r="C55" s="215" t="s">
        <v>332</v>
      </c>
      <c r="D55" s="215" t="s">
        <v>356</v>
      </c>
      <c r="E55" s="27">
        <v>2</v>
      </c>
      <c r="F55" s="215" t="s">
        <v>328</v>
      </c>
      <c r="G55" s="211">
        <v>6.4</v>
      </c>
      <c r="H55" s="229"/>
      <c r="I55" s="66"/>
      <c r="J55" s="215">
        <f>'Ocorrências Mensais - FAT'!G73</f>
        <v>2</v>
      </c>
      <c r="K55" s="213">
        <f t="shared" si="2"/>
        <v>12.8</v>
      </c>
      <c r="L55" s="37">
        <f t="shared" si="3"/>
        <v>1</v>
      </c>
      <c r="N55" s="230">
        <v>1.6</v>
      </c>
      <c r="O55" s="37">
        <f>ROUND(IF(Dados!$J$56="SIM",N55*Dados!$N$56,N55),2)</f>
        <v>1.6</v>
      </c>
      <c r="P55" s="37">
        <f>ROUND(IF(Dados!$J$57="SIM",O55*Dados!$N$57,O55),2)</f>
        <v>1.6</v>
      </c>
      <c r="Q55" s="37" t="e">
        <f>ROUND(IF(Dados!#REF!="SIM",P55*Dados!#REF!,P55),2)</f>
        <v>#REF!</v>
      </c>
      <c r="R55" s="37" t="e">
        <f>ROUND(IF(Dados!#REF!="SIM",Q55*Dados!#REF!,Q55),2)</f>
        <v>#REF!</v>
      </c>
      <c r="S55" s="77" t="e">
        <f>ROUND(IF(Dados!#REF!="SIM",R55*Dados!#REF!,R55),2)</f>
        <v>#REF!</v>
      </c>
    </row>
    <row r="56" spans="1:19" ht="39" x14ac:dyDescent="0.25">
      <c r="A56" s="27">
        <v>7</v>
      </c>
      <c r="B56" s="214" t="s">
        <v>409</v>
      </c>
      <c r="C56" s="215" t="s">
        <v>379</v>
      </c>
      <c r="D56" s="215" t="s">
        <v>358</v>
      </c>
      <c r="E56" s="27">
        <v>1</v>
      </c>
      <c r="F56" s="215" t="s">
        <v>328</v>
      </c>
      <c r="G56" s="211">
        <v>2.94</v>
      </c>
      <c r="H56" s="229"/>
      <c r="I56" s="66"/>
      <c r="J56" s="215">
        <f>'Ocorrências Mensais - FAT'!G74</f>
        <v>1</v>
      </c>
      <c r="K56" s="213">
        <f t="shared" si="2"/>
        <v>2.94</v>
      </c>
      <c r="L56" s="37">
        <f t="shared" si="3"/>
        <v>1</v>
      </c>
      <c r="N56" s="230">
        <v>1.3</v>
      </c>
      <c r="O56" s="37">
        <f>ROUND(IF(Dados!$J$56="SIM",N56*Dados!$N$56,N56),2)</f>
        <v>1.3</v>
      </c>
      <c r="P56" s="37">
        <f>ROUND(IF(Dados!$J$57="SIM",O56*Dados!$N$57,O56),2)</f>
        <v>1.3</v>
      </c>
      <c r="Q56" s="37" t="e">
        <f>ROUND(IF(Dados!#REF!="SIM",P56*Dados!#REF!,P56),2)</f>
        <v>#REF!</v>
      </c>
      <c r="R56" s="37" t="e">
        <f>ROUND(IF(Dados!#REF!="SIM",Q56*Dados!#REF!,Q56),2)</f>
        <v>#REF!</v>
      </c>
      <c r="S56" s="77" t="e">
        <f>ROUND(IF(Dados!#REF!="SIM",R56*Dados!#REF!,R56),2)</f>
        <v>#REF!</v>
      </c>
    </row>
    <row r="57" spans="1:19" ht="114.75" x14ac:dyDescent="0.25">
      <c r="A57" s="27">
        <v>8</v>
      </c>
      <c r="B57" s="218" t="s">
        <v>410</v>
      </c>
      <c r="C57" s="215" t="s">
        <v>332</v>
      </c>
      <c r="D57" s="215" t="s">
        <v>395</v>
      </c>
      <c r="E57" s="27">
        <v>2</v>
      </c>
      <c r="F57" s="215" t="s">
        <v>328</v>
      </c>
      <c r="G57" s="211">
        <v>4.28</v>
      </c>
      <c r="H57" s="229"/>
      <c r="I57" s="66"/>
      <c r="J57" s="215">
        <f>'Ocorrências Mensais - FAT'!G75</f>
        <v>2</v>
      </c>
      <c r="K57" s="213">
        <f t="shared" si="2"/>
        <v>8.56</v>
      </c>
      <c r="L57" s="37">
        <f t="shared" si="3"/>
        <v>1</v>
      </c>
      <c r="N57" s="230">
        <v>1.2</v>
      </c>
      <c r="O57" s="37">
        <f>ROUND(IF(Dados!$J$56="SIM",N57*Dados!$N$56,N57),2)</f>
        <v>1.2</v>
      </c>
      <c r="P57" s="37">
        <f>ROUND(IF(Dados!$J$57="SIM",O57*Dados!$N$57,O57),2)</f>
        <v>1.2</v>
      </c>
      <c r="Q57" s="37" t="e">
        <f>ROUND(IF(Dados!#REF!="SIM",P57*Dados!#REF!,P57),2)</f>
        <v>#REF!</v>
      </c>
      <c r="R57" s="37" t="e">
        <f>ROUND(IF(Dados!#REF!="SIM",Q57*Dados!#REF!,Q57),2)</f>
        <v>#REF!</v>
      </c>
      <c r="S57" s="77" t="e">
        <f>ROUND(IF(Dados!#REF!="SIM",R57*Dados!#REF!,R57),2)</f>
        <v>#REF!</v>
      </c>
    </row>
    <row r="58" spans="1:19" ht="76.5" x14ac:dyDescent="0.25">
      <c r="A58" s="27">
        <v>9</v>
      </c>
      <c r="B58" s="218" t="s">
        <v>411</v>
      </c>
      <c r="C58" s="215" t="s">
        <v>379</v>
      </c>
      <c r="D58" s="215" t="s">
        <v>412</v>
      </c>
      <c r="E58" s="27">
        <v>4</v>
      </c>
      <c r="F58" s="215" t="s">
        <v>328</v>
      </c>
      <c r="G58" s="211">
        <v>5.95</v>
      </c>
      <c r="H58" s="229"/>
      <c r="I58" s="66"/>
      <c r="J58" s="215">
        <f>'Ocorrências Mensais - FAT'!G76</f>
        <v>4</v>
      </c>
      <c r="K58" s="213">
        <f t="shared" si="2"/>
        <v>23.8</v>
      </c>
      <c r="L58" s="37">
        <f t="shared" si="3"/>
        <v>1</v>
      </c>
      <c r="N58" s="230">
        <v>1.4</v>
      </c>
      <c r="O58" s="37">
        <f>ROUND(IF(Dados!$J$56="SIM",N58*Dados!$N$56,N58),2)</f>
        <v>1.4</v>
      </c>
      <c r="P58" s="37">
        <f>ROUND(IF(Dados!$J$57="SIM",O58*Dados!$N$57,O58),2)</f>
        <v>1.4</v>
      </c>
      <c r="Q58" s="37" t="e">
        <f>ROUND(IF(Dados!#REF!="SIM",P58*Dados!#REF!,P58),2)</f>
        <v>#REF!</v>
      </c>
      <c r="R58" s="37" t="e">
        <f>ROUND(IF(Dados!#REF!="SIM",Q58*Dados!#REF!,Q58),2)</f>
        <v>#REF!</v>
      </c>
      <c r="S58" s="77" t="e">
        <f>ROUND(IF(Dados!#REF!="SIM",R58*Dados!#REF!,R58),2)</f>
        <v>#REF!</v>
      </c>
    </row>
    <row r="59" spans="1:19" ht="51.75" x14ac:dyDescent="0.25">
      <c r="A59" s="37">
        <v>10</v>
      </c>
      <c r="B59" s="214" t="s">
        <v>413</v>
      </c>
      <c r="C59" s="215" t="s">
        <v>372</v>
      </c>
      <c r="D59" s="215" t="s">
        <v>373</v>
      </c>
      <c r="E59" s="27">
        <v>1</v>
      </c>
      <c r="F59" s="215" t="s">
        <v>328</v>
      </c>
      <c r="G59" s="211">
        <v>13.38</v>
      </c>
      <c r="H59" s="229"/>
      <c r="I59" s="66"/>
      <c r="J59" s="215">
        <f>'Ocorrências Mensais - FAT'!G77</f>
        <v>1</v>
      </c>
      <c r="K59" s="213">
        <f t="shared" si="2"/>
        <v>13.38</v>
      </c>
      <c r="L59" s="37">
        <f t="shared" si="3"/>
        <v>1</v>
      </c>
      <c r="N59" s="230">
        <v>1.2</v>
      </c>
      <c r="O59" s="37">
        <f>ROUND(IF(Dados!$J$56="SIM",N59*Dados!$N$56,N59),2)</f>
        <v>1.2</v>
      </c>
      <c r="P59" s="37">
        <f>ROUND(IF(Dados!$J$57="SIM",O59*Dados!$N$57,O59),2)</f>
        <v>1.2</v>
      </c>
      <c r="Q59" s="37" t="e">
        <f>ROUND(IF(Dados!#REF!="SIM",P59*Dados!#REF!,P59),2)</f>
        <v>#REF!</v>
      </c>
      <c r="R59" s="37" t="e">
        <f>ROUND(IF(Dados!#REF!="SIM",Q59*Dados!#REF!,Q59),2)</f>
        <v>#REF!</v>
      </c>
      <c r="S59" s="77" t="e">
        <f>ROUND(IF(Dados!#REF!="SIM",R59*Dados!#REF!,R59),2)</f>
        <v>#REF!</v>
      </c>
    </row>
    <row r="60" spans="1:19" ht="64.5" x14ac:dyDescent="0.25">
      <c r="A60" s="37">
        <v>11</v>
      </c>
      <c r="B60" s="214" t="s">
        <v>414</v>
      </c>
      <c r="C60" s="215" t="s">
        <v>332</v>
      </c>
      <c r="D60" s="215" t="s">
        <v>369</v>
      </c>
      <c r="E60" s="27">
        <v>1</v>
      </c>
      <c r="F60" s="215" t="s">
        <v>328</v>
      </c>
      <c r="G60" s="211">
        <v>5.08</v>
      </c>
      <c r="H60" s="229"/>
      <c r="I60" s="66"/>
      <c r="J60" s="215">
        <f>'Ocorrências Mensais - FAT'!G78</f>
        <v>1</v>
      </c>
      <c r="K60" s="213">
        <f t="shared" si="2"/>
        <v>5.08</v>
      </c>
      <c r="L60" s="37">
        <f t="shared" si="3"/>
        <v>1</v>
      </c>
      <c r="N60" s="230"/>
      <c r="O60" s="37"/>
      <c r="P60" s="37"/>
      <c r="Q60" s="37"/>
      <c r="R60" s="37"/>
      <c r="S60" s="77"/>
    </row>
    <row r="61" spans="1:19" ht="25.5" x14ac:dyDescent="0.25">
      <c r="A61" s="37">
        <v>12</v>
      </c>
      <c r="B61" s="218" t="s">
        <v>415</v>
      </c>
      <c r="C61" s="215" t="s">
        <v>332</v>
      </c>
      <c r="D61" s="215" t="s">
        <v>373</v>
      </c>
      <c r="E61" s="27">
        <v>1</v>
      </c>
      <c r="F61" s="215" t="s">
        <v>343</v>
      </c>
      <c r="G61" s="211">
        <v>13.09</v>
      </c>
      <c r="H61" s="229"/>
      <c r="I61" s="66"/>
      <c r="J61" s="215">
        <f>'Ocorrências Mensais - FAT'!G79</f>
        <v>0.16666666666666666</v>
      </c>
      <c r="K61" s="213">
        <f t="shared" si="2"/>
        <v>2.1816666666666666</v>
      </c>
      <c r="L61" s="37">
        <f t="shared" si="3"/>
        <v>6</v>
      </c>
      <c r="N61" s="230"/>
      <c r="O61" s="37"/>
      <c r="P61" s="37"/>
      <c r="Q61" s="37"/>
      <c r="R61" s="37"/>
      <c r="S61" s="77"/>
    </row>
    <row r="62" spans="1:19" x14ac:dyDescent="0.25">
      <c r="A62" s="37">
        <v>13</v>
      </c>
      <c r="B62" s="214" t="s">
        <v>416</v>
      </c>
      <c r="C62" s="215" t="s">
        <v>332</v>
      </c>
      <c r="D62" s="215" t="s">
        <v>417</v>
      </c>
      <c r="E62" s="27">
        <v>2</v>
      </c>
      <c r="F62" s="215" t="s">
        <v>328</v>
      </c>
      <c r="G62" s="211">
        <v>10</v>
      </c>
      <c r="H62" s="229"/>
      <c r="I62" s="66"/>
      <c r="J62" s="215">
        <f>'Ocorrências Mensais - FAT'!G80</f>
        <v>2</v>
      </c>
      <c r="K62" s="213">
        <f t="shared" si="2"/>
        <v>20</v>
      </c>
      <c r="L62" s="37">
        <f t="shared" si="3"/>
        <v>1</v>
      </c>
      <c r="N62" s="230"/>
      <c r="O62" s="37"/>
      <c r="P62" s="37"/>
      <c r="Q62" s="37"/>
      <c r="R62" s="37"/>
      <c r="S62" s="77"/>
    </row>
    <row r="63" spans="1:19" ht="90" x14ac:dyDescent="0.25">
      <c r="A63" s="37">
        <v>14</v>
      </c>
      <c r="B63" s="214" t="s">
        <v>418</v>
      </c>
      <c r="C63" s="215" t="s">
        <v>332</v>
      </c>
      <c r="D63" s="215" t="s">
        <v>384</v>
      </c>
      <c r="E63" s="27">
        <v>1</v>
      </c>
      <c r="F63" s="215" t="s">
        <v>343</v>
      </c>
      <c r="G63" s="211">
        <v>25.67</v>
      </c>
      <c r="H63" s="229"/>
      <c r="I63" s="66"/>
      <c r="J63" s="215">
        <f>'Ocorrências Mensais - FAT'!G81</f>
        <v>0.16666666666666666</v>
      </c>
      <c r="K63" s="213">
        <f t="shared" si="2"/>
        <v>4.2783333333333333</v>
      </c>
      <c r="L63" s="37">
        <f t="shared" si="3"/>
        <v>6</v>
      </c>
      <c r="N63" s="230"/>
      <c r="O63" s="37"/>
      <c r="P63" s="37"/>
      <c r="Q63" s="37"/>
      <c r="R63" s="37"/>
      <c r="S63" s="77"/>
    </row>
    <row r="64" spans="1:19" x14ac:dyDescent="0.25">
      <c r="A64" s="37">
        <v>15</v>
      </c>
      <c r="B64" s="214" t="s">
        <v>419</v>
      </c>
      <c r="C64" s="215" t="s">
        <v>332</v>
      </c>
      <c r="D64" s="215" t="s">
        <v>386</v>
      </c>
      <c r="E64" s="27">
        <v>2</v>
      </c>
      <c r="F64" s="215" t="s">
        <v>328</v>
      </c>
      <c r="G64" s="211">
        <f>12/5</f>
        <v>2.4</v>
      </c>
      <c r="H64" s="229"/>
      <c r="I64" s="66"/>
      <c r="J64" s="215">
        <f>'Ocorrências Mensais - FAT'!G82</f>
        <v>2</v>
      </c>
      <c r="K64" s="213">
        <f t="shared" si="2"/>
        <v>4.8</v>
      </c>
      <c r="L64" s="37">
        <f t="shared" si="3"/>
        <v>1</v>
      </c>
      <c r="N64" s="230"/>
      <c r="O64" s="37"/>
      <c r="P64" s="37"/>
      <c r="Q64" s="37"/>
      <c r="R64" s="37"/>
      <c r="S64" s="77"/>
    </row>
    <row r="65" spans="1:19" ht="26.25" x14ac:dyDescent="0.25">
      <c r="A65" s="37">
        <v>16</v>
      </c>
      <c r="B65" s="214" t="s">
        <v>420</v>
      </c>
      <c r="C65" s="215" t="s">
        <v>332</v>
      </c>
      <c r="D65" s="215" t="s">
        <v>421</v>
      </c>
      <c r="E65" s="27">
        <v>1</v>
      </c>
      <c r="F65" s="215" t="s">
        <v>340</v>
      </c>
      <c r="G65" s="211">
        <v>8.23</v>
      </c>
      <c r="H65" s="229"/>
      <c r="I65" s="66"/>
      <c r="J65" s="215">
        <f>'Ocorrências Mensais - FAT'!G83</f>
        <v>0.5</v>
      </c>
      <c r="K65" s="213">
        <f t="shared" si="2"/>
        <v>4.1150000000000002</v>
      </c>
      <c r="L65" s="37">
        <f t="shared" si="3"/>
        <v>2</v>
      </c>
      <c r="N65" s="230"/>
      <c r="O65" s="37"/>
      <c r="P65" s="37"/>
      <c r="Q65" s="37"/>
      <c r="R65" s="37"/>
      <c r="S65" s="77"/>
    </row>
    <row r="66" spans="1:19" ht="15.75" x14ac:dyDescent="0.25">
      <c r="A66" s="535"/>
      <c r="B66" s="535"/>
      <c r="C66" s="535"/>
      <c r="D66" s="535"/>
      <c r="E66" s="535"/>
      <c r="F66" s="535"/>
      <c r="G66" s="535"/>
      <c r="H66" s="231"/>
      <c r="I66" s="66"/>
      <c r="J66" s="232" t="s">
        <v>169</v>
      </c>
      <c r="K66" s="233">
        <f>SUM(K50:K65)</f>
        <v>129.79166666666666</v>
      </c>
      <c r="L66" s="66"/>
      <c r="N66" s="5"/>
      <c r="O66" s="5"/>
      <c r="P66" s="5"/>
      <c r="Q66" s="5"/>
      <c r="R66" s="5"/>
      <c r="S66" s="5"/>
    </row>
    <row r="67" spans="1:19" x14ac:dyDescent="0.25">
      <c r="A67" s="224"/>
      <c r="N67" s="5"/>
      <c r="O67" s="5"/>
      <c r="P67" s="5"/>
      <c r="Q67" s="5"/>
      <c r="R67" s="5"/>
      <c r="S67" s="5"/>
    </row>
  </sheetData>
  <sheetProtection algorithmName="SHA-512" hashValue="XaM3vICDObUJsF1QwQycrnfQ3/CR+FjcKF2tagTXTuinEdXOlkiu9oTSQXnJf7sOcPBwNy9Hfw7LSu3fQEINqg==" saltValue="eW9VG4nleX+7HkdVZX3BWA==" spinCount="100000" sheet="1" objects="1" scenarios="1"/>
  <mergeCells count="15">
    <mergeCell ref="A66:G66"/>
    <mergeCell ref="A44:G44"/>
    <mergeCell ref="A46:H46"/>
    <mergeCell ref="N46:S48"/>
    <mergeCell ref="A48:A49"/>
    <mergeCell ref="B48:D48"/>
    <mergeCell ref="H48:H49"/>
    <mergeCell ref="J48:L48"/>
    <mergeCell ref="A4:H4"/>
    <mergeCell ref="A5:H5"/>
    <mergeCell ref="N5:S7"/>
    <mergeCell ref="A6:A8"/>
    <mergeCell ref="B6:D7"/>
    <mergeCell ref="H6:H8"/>
    <mergeCell ref="J7:L7"/>
  </mergeCells>
  <dataValidations count="1">
    <dataValidation type="list" allowBlank="1" showInputMessage="1" showErrorMessage="1" sqref="F10:F43 F50:F65" xr:uid="{00000000-0002-0000-0400-000000000000}">
      <formula1>"Mensal,Bimestral,Trimestral,Quadrimestral,Semestral,Anual,Bienal"</formula1>
      <formula2>0</formula2>
    </dataValidation>
  </dataValidations>
  <printOptions horizontalCentered="1" verticalCentered="1"/>
  <pageMargins left="0.51180555555555596" right="0.51180555555555596" top="0.78749999999999998" bottom="0.78749999999999998" header="0.511811023622047" footer="0.511811023622047"/>
  <pageSetup paperSize="9" scale="46" fitToHeight="2"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pageSetUpPr fitToPage="1"/>
  </sheetPr>
  <dimension ref="A1:F9"/>
  <sheetViews>
    <sheetView showGridLines="0" view="pageBreakPreview" zoomScale="120" zoomScaleNormal="100" zoomScalePageLayoutView="120" workbookViewId="0">
      <selection activeCell="E17" sqref="E17"/>
    </sheetView>
  </sheetViews>
  <sheetFormatPr defaultColWidth="8.7109375" defaultRowHeight="15" x14ac:dyDescent="0.25"/>
  <cols>
    <col min="1" max="1" width="5.5703125" style="66" customWidth="1"/>
    <col min="2" max="2" width="64.42578125" style="66" customWidth="1"/>
    <col min="3" max="3" width="7.85546875" style="66" customWidth="1"/>
    <col min="4" max="6" width="13.7109375" style="66" customWidth="1"/>
    <col min="7" max="255" width="9" customWidth="1"/>
    <col min="256" max="256" width="5.5703125" customWidth="1"/>
    <col min="257" max="257" width="45.140625" customWidth="1"/>
    <col min="258" max="258" width="6.28515625" customWidth="1"/>
    <col min="259" max="262" width="13.7109375" customWidth="1"/>
    <col min="263" max="511" width="9" customWidth="1"/>
    <col min="512" max="512" width="5.5703125" customWidth="1"/>
    <col min="513" max="513" width="45.140625" customWidth="1"/>
    <col min="514" max="514" width="6.28515625" customWidth="1"/>
    <col min="515" max="518" width="13.7109375" customWidth="1"/>
    <col min="519" max="767" width="9" customWidth="1"/>
    <col min="768" max="768" width="5.5703125" customWidth="1"/>
    <col min="769" max="769" width="45.140625" customWidth="1"/>
    <col min="770" max="770" width="6.28515625" customWidth="1"/>
    <col min="771" max="774" width="13.7109375" customWidth="1"/>
    <col min="775" max="1024" width="9" customWidth="1"/>
  </cols>
  <sheetData>
    <row r="1" spans="1:6" s="66" customFormat="1" ht="11.25" customHeight="1" x14ac:dyDescent="0.25">
      <c r="A1" s="148"/>
      <c r="B1" s="93" t="str">
        <f>INSTRUÇÕES!B1</f>
        <v>Tribunal Regional Federal da 6ª Região</v>
      </c>
      <c r="C1" s="234"/>
      <c r="D1" s="235"/>
      <c r="E1" s="235"/>
      <c r="F1" s="236"/>
    </row>
    <row r="2" spans="1:6" s="66" customFormat="1" ht="11.25" customHeight="1" x14ac:dyDescent="0.25">
      <c r="A2" s="150"/>
      <c r="B2" s="95" t="str">
        <f>INSTRUÇÕES!B2</f>
        <v>Seção Judiciária de Minas Gerais</v>
      </c>
      <c r="C2" s="237"/>
      <c r="D2" s="238"/>
      <c r="E2" s="238"/>
      <c r="F2" s="239"/>
    </row>
    <row r="3" spans="1:6" s="66" customFormat="1" ht="10.5" customHeight="1" x14ac:dyDescent="0.25">
      <c r="A3" s="152"/>
      <c r="B3" s="95" t="str">
        <f>INSTRUÇÕES!B3</f>
        <v>Subseção Judiciária de Lavras</v>
      </c>
      <c r="C3" s="237"/>
      <c r="D3" s="238"/>
      <c r="E3" s="238"/>
      <c r="F3" s="239"/>
    </row>
    <row r="4" spans="1:6" s="66" customFormat="1" ht="21.75" customHeight="1" x14ac:dyDescent="0.2">
      <c r="A4" s="536" t="s">
        <v>596</v>
      </c>
      <c r="B4" s="536"/>
      <c r="C4" s="536"/>
      <c r="D4" s="536"/>
      <c r="E4" s="536"/>
      <c r="F4" s="536"/>
    </row>
    <row r="5" spans="1:6" s="66" customFormat="1" ht="26.25" customHeight="1" x14ac:dyDescent="0.2">
      <c r="A5" s="537" t="s">
        <v>317</v>
      </c>
      <c r="B5" s="537"/>
      <c r="C5" s="537"/>
      <c r="D5" s="537"/>
      <c r="E5" s="537"/>
      <c r="F5" s="537"/>
    </row>
    <row r="6" spans="1:6" s="66" customFormat="1" ht="15.75" x14ac:dyDescent="0.2">
      <c r="A6" s="240"/>
      <c r="B6" s="96"/>
      <c r="C6" s="96"/>
      <c r="D6" s="96" t="s">
        <v>422</v>
      </c>
      <c r="E6" s="96"/>
      <c r="F6" s="241"/>
    </row>
    <row r="7" spans="1:6" s="66" customFormat="1" ht="12.75" x14ac:dyDescent="0.2">
      <c r="A7" s="242" t="s">
        <v>423</v>
      </c>
      <c r="B7" s="199" t="s">
        <v>424</v>
      </c>
      <c r="C7" s="199" t="s">
        <v>425</v>
      </c>
      <c r="D7" s="243" t="s">
        <v>426</v>
      </c>
      <c r="E7" s="243" t="s">
        <v>427</v>
      </c>
      <c r="F7" s="244" t="s">
        <v>428</v>
      </c>
    </row>
    <row r="8" spans="1:6" s="66" customFormat="1" ht="54" customHeight="1" x14ac:dyDescent="0.2">
      <c r="A8" s="245">
        <v>1</v>
      </c>
      <c r="B8" s="246" t="s">
        <v>429</v>
      </c>
      <c r="C8" s="247">
        <v>2</v>
      </c>
      <c r="D8" s="248">
        <v>59.29</v>
      </c>
      <c r="E8" s="249">
        <f>D8*C8</f>
        <v>118.58</v>
      </c>
      <c r="F8" s="250">
        <f>ROUND(E8/12,2)</f>
        <v>9.8800000000000008</v>
      </c>
    </row>
    <row r="9" spans="1:6" s="66" customFormat="1" ht="15.75" customHeight="1" x14ac:dyDescent="0.2">
      <c r="A9" s="538" t="s">
        <v>430</v>
      </c>
      <c r="B9" s="538"/>
      <c r="C9" s="538"/>
      <c r="D9" s="538"/>
      <c r="E9" s="538"/>
      <c r="F9" s="251">
        <f>F8</f>
        <v>9.8800000000000008</v>
      </c>
    </row>
  </sheetData>
  <sheetProtection algorithmName="SHA-512" hashValue="j4Lx22xoZnXheMjX+sLJ5avmMFo2G/dRTlFsikWP8HAkU5RfLvwOFGUJnzbY+ha5Fv+bFy/zrntYoeOlpsQiFg==" saltValue="LXGhAtanXJl9ggVambzhJg==" spinCount="100000" sheet="1" objects="1" scenarios="1"/>
  <mergeCells count="3">
    <mergeCell ref="A4:F4"/>
    <mergeCell ref="A5:F5"/>
    <mergeCell ref="A9:E9"/>
  </mergeCells>
  <printOptions horizontalCentered="1" verticalCentered="1"/>
  <pageMargins left="0.51180555555555596" right="0.51180555555555596" top="0.78749999999999998" bottom="0.78749999999999998" header="0.511811023622047" footer="0.511811023622047"/>
  <pageSetup paperSize="9" scale="77" fitToHeight="2"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pageSetUpPr fitToPage="1"/>
  </sheetPr>
  <dimension ref="A1:G11"/>
  <sheetViews>
    <sheetView showGridLines="0" view="pageBreakPreview" zoomScale="120" zoomScaleNormal="100" zoomScalePageLayoutView="120" workbookViewId="0">
      <selection activeCell="D18" sqref="D18"/>
    </sheetView>
  </sheetViews>
  <sheetFormatPr defaultColWidth="8.7109375" defaultRowHeight="15" x14ac:dyDescent="0.25"/>
  <cols>
    <col min="1" max="1" width="5.5703125" style="66" customWidth="1"/>
    <col min="2" max="2" width="64.7109375" style="66" customWidth="1"/>
    <col min="3" max="3" width="7.85546875" style="66" customWidth="1"/>
    <col min="4" max="7" width="13.7109375" style="66" customWidth="1"/>
    <col min="8" max="256" width="9" customWidth="1"/>
    <col min="257" max="257" width="5.5703125" customWidth="1"/>
    <col min="258" max="258" width="45.140625" customWidth="1"/>
    <col min="259" max="259" width="6.28515625" customWidth="1"/>
    <col min="260" max="263" width="13.7109375" customWidth="1"/>
    <col min="264" max="512" width="9" customWidth="1"/>
    <col min="513" max="513" width="5.5703125" customWidth="1"/>
    <col min="514" max="514" width="45.140625" customWidth="1"/>
    <col min="515" max="515" width="6.28515625" customWidth="1"/>
    <col min="516" max="519" width="13.7109375" customWidth="1"/>
    <col min="520" max="768" width="9" customWidth="1"/>
    <col min="769" max="769" width="5.5703125" customWidth="1"/>
    <col min="770" max="770" width="45.140625" customWidth="1"/>
    <col min="771" max="771" width="6.28515625" customWidth="1"/>
    <col min="772" max="775" width="13.7109375" customWidth="1"/>
    <col min="776" max="1025" width="9" customWidth="1"/>
  </cols>
  <sheetData>
    <row r="1" spans="1:7" s="66" customFormat="1" ht="11.25" customHeight="1" x14ac:dyDescent="0.25">
      <c r="A1" s="148"/>
      <c r="B1" s="93" t="str">
        <f>INSTRUÇÕES!B1</f>
        <v>Tribunal Regional Federal da 6ª Região</v>
      </c>
      <c r="C1" s="234"/>
      <c r="D1" s="235"/>
      <c r="E1" s="235"/>
      <c r="F1" s="235"/>
      <c r="G1" s="236"/>
    </row>
    <row r="2" spans="1:7" s="66" customFormat="1" ht="11.25" customHeight="1" x14ac:dyDescent="0.25">
      <c r="A2" s="150"/>
      <c r="B2" s="95" t="str">
        <f>INSTRUÇÕES!B2</f>
        <v>Seção Judiciária de Minas Gerais</v>
      </c>
      <c r="C2" s="237"/>
      <c r="D2" s="238"/>
      <c r="E2" s="238"/>
      <c r="F2" s="238"/>
      <c r="G2" s="239"/>
    </row>
    <row r="3" spans="1:7" s="66" customFormat="1" ht="10.5" customHeight="1" x14ac:dyDescent="0.25">
      <c r="A3" s="152"/>
      <c r="B3" s="95" t="str">
        <f>INSTRUÇÕES!B3</f>
        <v>Subseção Judiciária de Lavras</v>
      </c>
      <c r="C3" s="237"/>
      <c r="D3" s="238"/>
      <c r="E3" s="238"/>
      <c r="F3" s="238"/>
      <c r="G3" s="239"/>
    </row>
    <row r="4" spans="1:7" s="66" customFormat="1" ht="21.75" customHeight="1" x14ac:dyDescent="0.2">
      <c r="A4" s="536" t="s">
        <v>597</v>
      </c>
      <c r="B4" s="536"/>
      <c r="C4" s="536"/>
      <c r="D4" s="536"/>
      <c r="E4" s="536"/>
      <c r="F4" s="536"/>
      <c r="G4" s="536"/>
    </row>
    <row r="5" spans="1:7" s="66" customFormat="1" ht="26.25" customHeight="1" x14ac:dyDescent="0.2">
      <c r="A5" s="537" t="s">
        <v>317</v>
      </c>
      <c r="B5" s="537"/>
      <c r="C5" s="537"/>
      <c r="D5" s="537"/>
      <c r="E5" s="537"/>
      <c r="F5" s="537"/>
      <c r="G5" s="537"/>
    </row>
    <row r="6" spans="1:7" s="66" customFormat="1" ht="15.75" x14ac:dyDescent="0.2">
      <c r="A6" s="240"/>
      <c r="B6" s="96"/>
      <c r="C6" s="96"/>
      <c r="D6" s="96" t="s">
        <v>422</v>
      </c>
      <c r="E6" s="96"/>
      <c r="G6" s="241">
        <v>0.1</v>
      </c>
    </row>
    <row r="7" spans="1:7" s="66" customFormat="1" ht="25.5" x14ac:dyDescent="0.2">
      <c r="A7" s="242" t="s">
        <v>423</v>
      </c>
      <c r="B7" s="199" t="s">
        <v>424</v>
      </c>
      <c r="C7" s="199" t="s">
        <v>425</v>
      </c>
      <c r="D7" s="243" t="s">
        <v>426</v>
      </c>
      <c r="E7" s="243" t="s">
        <v>427</v>
      </c>
      <c r="F7" s="243" t="s">
        <v>431</v>
      </c>
      <c r="G7" s="244" t="s">
        <v>428</v>
      </c>
    </row>
    <row r="8" spans="1:7" s="66" customFormat="1" ht="12.75" x14ac:dyDescent="0.2">
      <c r="A8" s="492" t="s">
        <v>432</v>
      </c>
      <c r="B8" s="492"/>
      <c r="C8" s="492"/>
      <c r="D8" s="492"/>
      <c r="E8" s="492"/>
      <c r="F8" s="492"/>
      <c r="G8" s="492"/>
    </row>
    <row r="9" spans="1:7" s="66" customFormat="1" ht="38.25" x14ac:dyDescent="0.2">
      <c r="A9" s="245">
        <v>1</v>
      </c>
      <c r="B9" s="214" t="s">
        <v>433</v>
      </c>
      <c r="C9" s="252">
        <v>1</v>
      </c>
      <c r="D9" s="253">
        <v>598.49</v>
      </c>
      <c r="E9" s="249">
        <f>D9*C9</f>
        <v>598.49</v>
      </c>
      <c r="F9" s="249">
        <f>ROUND(E9*$G$6,2)</f>
        <v>59.85</v>
      </c>
      <c r="G9" s="250">
        <f>ROUND(F9/12,2)</f>
        <v>4.99</v>
      </c>
    </row>
    <row r="10" spans="1:7" s="66" customFormat="1" ht="51" x14ac:dyDescent="0.2">
      <c r="A10" s="245">
        <v>2</v>
      </c>
      <c r="B10" s="214" t="s">
        <v>434</v>
      </c>
      <c r="C10" s="252">
        <v>1</v>
      </c>
      <c r="D10" s="253">
        <v>404.5</v>
      </c>
      <c r="E10" s="249">
        <f>D10*C10</f>
        <v>404.5</v>
      </c>
      <c r="F10" s="249">
        <f>ROUND(E10*$G$6,2)</f>
        <v>40.450000000000003</v>
      </c>
      <c r="G10" s="250">
        <f>ROUND(F10/12,2)</f>
        <v>3.37</v>
      </c>
    </row>
    <row r="11" spans="1:7" s="66" customFormat="1" ht="15.75" customHeight="1" x14ac:dyDescent="0.2">
      <c r="A11" s="539" t="s">
        <v>435</v>
      </c>
      <c r="B11" s="539"/>
      <c r="C11" s="539"/>
      <c r="D11" s="539"/>
      <c r="E11" s="539"/>
      <c r="F11" s="539"/>
      <c r="G11" s="251">
        <f>SUM(G9:G10)</f>
        <v>8.36</v>
      </c>
    </row>
  </sheetData>
  <sheetProtection algorithmName="SHA-512" hashValue="o3fgkhwvB3Ihr+KEzIl5/KGvbCCyme3e7NxasFetdrIUXZik9of2PgsFUYSyiAHkVmMlWQnpgWc8fKi67UhJHw==" saltValue="zRFd/MBNixlvomofsm2FFA==" spinCount="100000" sheet="1" objects="1" scenarios="1"/>
  <mergeCells count="4">
    <mergeCell ref="A4:G4"/>
    <mergeCell ref="A5:G5"/>
    <mergeCell ref="A8:G8"/>
    <mergeCell ref="A11:F11"/>
  </mergeCells>
  <printOptions horizontalCentered="1" verticalCentered="1"/>
  <pageMargins left="0.51180555555555596" right="0.51180555555555596" top="0.78749999999999998" bottom="0.78749999999999998" header="0.511811023622047" footer="0.511811023622047"/>
  <pageSetup paperSize="9" scale="69" fitToHeight="2"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pageSetUpPr fitToPage="1"/>
  </sheetPr>
  <dimension ref="A1:AMK23"/>
  <sheetViews>
    <sheetView showGridLines="0" view="pageBreakPreview" zoomScaleNormal="100" zoomScaleSheetLayoutView="100" zoomScalePageLayoutView="120" workbookViewId="0">
      <selection activeCell="A4" sqref="A4:W4"/>
    </sheetView>
  </sheetViews>
  <sheetFormatPr defaultColWidth="8.7109375" defaultRowHeight="15" x14ac:dyDescent="0.25"/>
  <cols>
    <col min="1" max="1" width="12" style="2" customWidth="1"/>
    <col min="2" max="2" width="44.42578125" style="2" customWidth="1"/>
    <col min="3" max="3" width="7.140625" style="2" customWidth="1"/>
    <col min="4" max="4" width="6.7109375" style="2" customWidth="1"/>
    <col min="5" max="5" width="10.140625" style="2" customWidth="1"/>
    <col min="6" max="6" width="12.5703125" style="2" customWidth="1"/>
    <col min="7" max="7" width="12.28515625" style="2" customWidth="1"/>
    <col min="8" max="8" width="13.42578125" style="2" customWidth="1"/>
    <col min="9" max="9" width="11.85546875" style="2" customWidth="1"/>
    <col min="10" max="10" width="13.7109375" style="2" customWidth="1"/>
    <col min="11" max="11" width="11.28515625" style="2" customWidth="1"/>
    <col min="12" max="12" width="15.5703125" style="2" customWidth="1"/>
    <col min="13" max="13" width="12.28515625" style="2" customWidth="1"/>
    <col min="14" max="14" width="7.42578125" style="2" customWidth="1"/>
    <col min="15" max="15" width="13.28515625" style="2" customWidth="1"/>
    <col min="16" max="16" width="12" style="2" customWidth="1"/>
    <col min="17" max="17" width="9.5703125" style="2" customWidth="1"/>
    <col min="18" max="18" width="11.28515625" style="2" customWidth="1"/>
    <col min="19" max="19" width="16.140625" style="2" customWidth="1"/>
    <col min="20" max="20" width="12.140625" style="2" customWidth="1"/>
    <col min="21" max="22" width="10.140625" style="2" customWidth="1"/>
    <col min="23" max="23" width="16.42578125" style="2" customWidth="1"/>
    <col min="24" max="259" width="9.140625" style="2" customWidth="1"/>
    <col min="260" max="260" width="13.140625" style="2" customWidth="1"/>
    <col min="261" max="261" width="38.42578125" style="2" customWidth="1"/>
    <col min="262" max="262" width="7.140625" style="2" customWidth="1"/>
    <col min="263" max="263" width="6.7109375" style="2" customWidth="1"/>
    <col min="264" max="264" width="10.140625" style="2" customWidth="1"/>
    <col min="265" max="265" width="12.5703125" style="2" customWidth="1"/>
    <col min="266" max="266" width="12.28515625" style="2" customWidth="1"/>
    <col min="267" max="267" width="13.42578125" style="2" customWidth="1"/>
    <col min="268" max="268" width="12.140625" style="2" customWidth="1"/>
    <col min="269" max="269" width="13.7109375" style="2" customWidth="1"/>
    <col min="270" max="270" width="11.28515625" style="2" customWidth="1"/>
    <col min="271" max="271" width="15.5703125" style="2" customWidth="1"/>
    <col min="272" max="272" width="12.28515625" style="2" customWidth="1"/>
    <col min="273" max="273" width="7.42578125" style="2" customWidth="1"/>
    <col min="274" max="274" width="13.28515625" style="2" customWidth="1"/>
    <col min="275" max="275" width="14" style="2" customWidth="1"/>
    <col min="276" max="276" width="12.140625" style="2" customWidth="1"/>
    <col min="277" max="278" width="10.140625" style="2" customWidth="1"/>
    <col min="279" max="279" width="16.42578125" style="2" customWidth="1"/>
    <col min="280" max="515" width="9.140625" style="2" customWidth="1"/>
    <col min="516" max="516" width="13.140625" style="2" customWidth="1"/>
    <col min="517" max="517" width="38.42578125" style="2" customWidth="1"/>
    <col min="518" max="518" width="7.140625" style="2" customWidth="1"/>
    <col min="519" max="519" width="6.7109375" style="2" customWidth="1"/>
    <col min="520" max="520" width="10.140625" style="2" customWidth="1"/>
    <col min="521" max="521" width="12.5703125" style="2" customWidth="1"/>
    <col min="522" max="522" width="12.28515625" style="2" customWidth="1"/>
    <col min="523" max="523" width="13.42578125" style="2" customWidth="1"/>
    <col min="524" max="524" width="12.140625" style="2" customWidth="1"/>
    <col min="525" max="525" width="13.7109375" style="2" customWidth="1"/>
    <col min="526" max="526" width="11.28515625" style="2" customWidth="1"/>
    <col min="527" max="527" width="15.5703125" style="2" customWidth="1"/>
    <col min="528" max="528" width="12.28515625" style="2" customWidth="1"/>
    <col min="529" max="529" width="7.42578125" style="2" customWidth="1"/>
    <col min="530" max="530" width="13.28515625" style="2" customWidth="1"/>
    <col min="531" max="531" width="14" style="2" customWidth="1"/>
    <col min="532" max="532" width="12.140625" style="2" customWidth="1"/>
    <col min="533" max="534" width="10.140625" style="2" customWidth="1"/>
    <col min="535" max="535" width="16.42578125" style="2" customWidth="1"/>
    <col min="536" max="771" width="9.140625" style="2" customWidth="1"/>
    <col min="772" max="772" width="13.140625" style="2" customWidth="1"/>
    <col min="773" max="773" width="38.42578125" style="2" customWidth="1"/>
    <col min="774" max="774" width="7.140625" style="2" customWidth="1"/>
    <col min="775" max="775" width="6.7109375" style="2" customWidth="1"/>
    <col min="776" max="776" width="10.140625" style="2" customWidth="1"/>
    <col min="777" max="777" width="12.5703125" style="2" customWidth="1"/>
    <col min="778" max="778" width="12.28515625" style="2" customWidth="1"/>
    <col min="779" max="779" width="13.42578125" style="2" customWidth="1"/>
    <col min="780" max="780" width="12.140625" style="2" customWidth="1"/>
    <col min="781" max="781" width="13.7109375" style="2" customWidth="1"/>
    <col min="782" max="782" width="11.28515625" style="2" customWidth="1"/>
    <col min="783" max="783" width="15.5703125" style="2" customWidth="1"/>
    <col min="784" max="784" width="12.28515625" style="2" customWidth="1"/>
    <col min="785" max="785" width="7.42578125" style="2" customWidth="1"/>
    <col min="786" max="786" width="13.28515625" style="2" customWidth="1"/>
    <col min="787" max="787" width="14" style="2" customWidth="1"/>
    <col min="788" max="788" width="12.140625" style="2" customWidth="1"/>
    <col min="789" max="790" width="10.140625" style="2" customWidth="1"/>
    <col min="791" max="791" width="16.42578125" style="2" customWidth="1"/>
    <col min="792" max="1025" width="9.140625" style="2" customWidth="1"/>
  </cols>
  <sheetData>
    <row r="1" spans="1:25" x14ac:dyDescent="0.25">
      <c r="A1" s="6"/>
      <c r="B1" s="307" t="str">
        <f>INSTRUÇÕES!B1</f>
        <v>Tribunal Regional Federal da 6ª Região</v>
      </c>
      <c r="C1" s="193"/>
      <c r="D1" s="193"/>
      <c r="E1" s="193"/>
      <c r="F1" s="193"/>
      <c r="G1" s="193"/>
      <c r="H1" s="193"/>
      <c r="I1" s="193"/>
      <c r="J1" s="308"/>
      <c r="K1" s="308"/>
      <c r="L1" s="308"/>
      <c r="M1" s="308"/>
      <c r="N1" s="308"/>
      <c r="O1" s="308"/>
      <c r="P1" s="308"/>
      <c r="Q1" s="308"/>
      <c r="R1" s="308"/>
      <c r="S1" s="308"/>
      <c r="T1" s="308"/>
      <c r="U1" s="308"/>
      <c r="V1" s="308"/>
      <c r="W1" s="309"/>
    </row>
    <row r="2" spans="1:25" x14ac:dyDescent="0.25">
      <c r="A2" s="310"/>
      <c r="B2" s="109" t="str">
        <f>INSTRUÇÕES!B2</f>
        <v>Seção Judiciária de Minas Gerais</v>
      </c>
      <c r="C2" s="66"/>
      <c r="D2" s="66"/>
      <c r="E2" s="66"/>
      <c r="F2" s="66"/>
      <c r="G2" s="66"/>
      <c r="H2" s="66"/>
      <c r="I2" s="66"/>
      <c r="W2" s="311"/>
    </row>
    <row r="3" spans="1:25" x14ac:dyDescent="0.25">
      <c r="A3" s="310"/>
      <c r="B3" s="109" t="str">
        <f>INSTRUÇÕES!B3</f>
        <v>Subseção Judiciária de Lavras</v>
      </c>
      <c r="C3" s="66"/>
      <c r="D3" s="66"/>
      <c r="E3" s="66"/>
      <c r="F3" s="66"/>
      <c r="G3" s="66"/>
      <c r="H3" s="66"/>
      <c r="I3" s="66"/>
      <c r="W3" s="311"/>
    </row>
    <row r="4" spans="1:25" s="312" customFormat="1" ht="18.75" customHeight="1" x14ac:dyDescent="0.25">
      <c r="A4" s="540" t="s">
        <v>590</v>
      </c>
      <c r="B4" s="540"/>
      <c r="C4" s="540"/>
      <c r="D4" s="540"/>
      <c r="E4" s="540"/>
      <c r="F4" s="540"/>
      <c r="G4" s="540"/>
      <c r="H4" s="540"/>
      <c r="I4" s="540"/>
      <c r="J4" s="540"/>
      <c r="K4" s="540"/>
      <c r="L4" s="540"/>
      <c r="M4" s="540"/>
      <c r="N4" s="540"/>
      <c r="O4" s="540"/>
      <c r="P4" s="540"/>
      <c r="Q4" s="540"/>
      <c r="R4" s="540"/>
      <c r="S4" s="540"/>
      <c r="T4" s="540"/>
      <c r="U4" s="540"/>
      <c r="V4" s="540"/>
      <c r="W4" s="540"/>
    </row>
    <row r="5" spans="1:25" s="112" customFormat="1" ht="21" customHeight="1" x14ac:dyDescent="0.25">
      <c r="A5" s="541" t="str">
        <f>"PREÇO MENSAL GLOBAL - "&amp;B3</f>
        <v>PREÇO MENSAL GLOBAL - Subseção Judiciária de Lavras</v>
      </c>
      <c r="B5" s="541"/>
      <c r="C5" s="541"/>
      <c r="D5" s="541"/>
      <c r="E5" s="541"/>
      <c r="F5" s="541"/>
      <c r="G5" s="541"/>
      <c r="H5" s="541"/>
      <c r="I5" s="541"/>
      <c r="J5" s="541"/>
      <c r="K5" s="541"/>
      <c r="L5" s="541"/>
      <c r="M5" s="541"/>
      <c r="N5" s="541"/>
      <c r="O5" s="541"/>
      <c r="P5" s="541"/>
      <c r="Q5" s="541"/>
      <c r="R5" s="541"/>
      <c r="S5" s="541"/>
      <c r="T5" s="541"/>
      <c r="U5" s="541"/>
      <c r="V5" s="541"/>
      <c r="W5" s="541"/>
    </row>
    <row r="6" spans="1:25" s="5" customFormat="1" ht="23.25" customHeight="1" x14ac:dyDescent="0.25">
      <c r="A6" s="542" t="str">
        <f>Dados!A4</f>
        <v>Sindicato utilizado - SINTAPPI x SINSERHT. Vigência: 2025/2026. Sendo a data base da categoria 01° de Abril. Com número de registro no MTE MG001973/2025.</v>
      </c>
      <c r="B6" s="542"/>
      <c r="C6" s="542"/>
      <c r="D6" s="542"/>
      <c r="E6" s="542"/>
      <c r="F6" s="542"/>
      <c r="G6" s="542"/>
      <c r="H6" s="542"/>
      <c r="I6" s="542"/>
      <c r="J6" s="542"/>
      <c r="K6" s="542"/>
      <c r="L6" s="542"/>
      <c r="M6" s="542"/>
      <c r="N6" s="542"/>
      <c r="O6" s="542"/>
      <c r="P6" s="542"/>
      <c r="Q6" s="542"/>
      <c r="R6" s="542"/>
      <c r="S6" s="542"/>
      <c r="T6" s="542"/>
      <c r="U6" s="542"/>
      <c r="V6" s="542"/>
      <c r="W6" s="542"/>
    </row>
    <row r="7" spans="1:25" s="14" customFormat="1" ht="18.75" customHeight="1" x14ac:dyDescent="0.25">
      <c r="A7" s="313"/>
      <c r="B7" s="314"/>
      <c r="C7" s="314"/>
      <c r="D7" s="314"/>
      <c r="E7" s="315"/>
      <c r="F7" s="315"/>
      <c r="G7" s="315"/>
      <c r="H7" s="316" t="s">
        <v>471</v>
      </c>
      <c r="I7" s="317"/>
      <c r="J7" s="317"/>
      <c r="K7" s="315"/>
      <c r="L7" s="315"/>
      <c r="M7" s="315"/>
      <c r="N7" s="315"/>
      <c r="O7" s="315"/>
      <c r="P7" s="315"/>
      <c r="Q7" s="315"/>
      <c r="R7" s="315"/>
      <c r="S7" s="543" t="s">
        <v>472</v>
      </c>
      <c r="T7" s="543"/>
      <c r="U7" s="543"/>
      <c r="V7" s="543"/>
      <c r="W7" s="543"/>
    </row>
    <row r="8" spans="1:25" s="14" customFormat="1" ht="22.5" customHeight="1" x14ac:dyDescent="0.25">
      <c r="A8" s="544" t="s">
        <v>473</v>
      </c>
      <c r="B8" s="545" t="s">
        <v>474</v>
      </c>
      <c r="C8" s="545"/>
      <c r="D8" s="546" t="s">
        <v>38</v>
      </c>
      <c r="E8" s="546"/>
      <c r="F8" s="546"/>
      <c r="G8" s="546"/>
      <c r="H8" s="546"/>
      <c r="I8" s="546"/>
      <c r="J8" s="546"/>
      <c r="K8" s="546"/>
      <c r="L8" s="546"/>
      <c r="M8" s="546"/>
      <c r="N8" s="546"/>
      <c r="O8" s="546"/>
      <c r="P8" s="546"/>
      <c r="Q8" s="546"/>
      <c r="R8" s="546"/>
      <c r="S8" s="546"/>
      <c r="T8" s="546"/>
      <c r="U8" s="546"/>
      <c r="V8" s="546"/>
      <c r="W8" s="547" t="s">
        <v>475</v>
      </c>
    </row>
    <row r="9" spans="1:25" s="14" customFormat="1" ht="20.25" customHeight="1" x14ac:dyDescent="0.25">
      <c r="A9" s="544"/>
      <c r="B9" s="545"/>
      <c r="C9" s="545"/>
      <c r="D9" s="548" t="s">
        <v>476</v>
      </c>
      <c r="E9" s="548"/>
      <c r="F9" s="548"/>
      <c r="G9" s="548" t="s">
        <v>477</v>
      </c>
      <c r="H9" s="548"/>
      <c r="I9" s="548"/>
      <c r="J9" s="549" t="s">
        <v>579</v>
      </c>
      <c r="K9" s="549"/>
      <c r="L9" s="549"/>
      <c r="M9" s="549"/>
      <c r="N9" s="549"/>
      <c r="O9" s="549"/>
      <c r="P9" s="550" t="s">
        <v>478</v>
      </c>
      <c r="Q9" s="550"/>
      <c r="R9" s="550"/>
      <c r="S9" s="318" t="s">
        <v>479</v>
      </c>
      <c r="T9" s="551" t="s">
        <v>480</v>
      </c>
      <c r="U9" s="551"/>
      <c r="V9" s="551"/>
      <c r="W9" s="547"/>
    </row>
    <row r="10" spans="1:25" s="14" customFormat="1" ht="27.75" customHeight="1" x14ac:dyDescent="0.25">
      <c r="A10" s="544"/>
      <c r="B10" s="545"/>
      <c r="C10" s="545"/>
      <c r="D10" s="552" t="s">
        <v>481</v>
      </c>
      <c r="E10" s="552"/>
      <c r="F10" s="552"/>
      <c r="G10" s="553" t="s">
        <v>482</v>
      </c>
      <c r="H10" s="554" t="s">
        <v>483</v>
      </c>
      <c r="I10" s="554"/>
      <c r="J10" s="555" t="s">
        <v>484</v>
      </c>
      <c r="K10" s="555"/>
      <c r="L10" s="555"/>
      <c r="M10" s="556" t="s">
        <v>485</v>
      </c>
      <c r="N10" s="556"/>
      <c r="O10" s="556"/>
      <c r="P10" s="557" t="s">
        <v>486</v>
      </c>
      <c r="Q10" s="557"/>
      <c r="R10" s="557"/>
      <c r="S10" s="558" t="s">
        <v>487</v>
      </c>
      <c r="T10" s="557" t="s">
        <v>488</v>
      </c>
      <c r="U10" s="557"/>
      <c r="V10" s="557"/>
      <c r="W10" s="547"/>
    </row>
    <row r="11" spans="1:25" s="14" customFormat="1" ht="63.75" x14ac:dyDescent="0.25">
      <c r="A11" s="544"/>
      <c r="B11" s="319" t="s">
        <v>20</v>
      </c>
      <c r="C11" s="320" t="s">
        <v>21</v>
      </c>
      <c r="D11" s="321" t="s">
        <v>19</v>
      </c>
      <c r="E11" s="322" t="s">
        <v>489</v>
      </c>
      <c r="F11" s="323" t="s">
        <v>490</v>
      </c>
      <c r="G11" s="553"/>
      <c r="H11" s="324" t="s">
        <v>491</v>
      </c>
      <c r="I11" s="325" t="s">
        <v>492</v>
      </c>
      <c r="J11" s="326" t="s">
        <v>580</v>
      </c>
      <c r="K11" s="324" t="s">
        <v>28</v>
      </c>
      <c r="L11" s="327" t="s">
        <v>493</v>
      </c>
      <c r="M11" s="319" t="s">
        <v>494</v>
      </c>
      <c r="N11" s="322" t="s">
        <v>29</v>
      </c>
      <c r="O11" s="328" t="s">
        <v>495</v>
      </c>
      <c r="P11" s="319" t="s">
        <v>496</v>
      </c>
      <c r="Q11" s="322" t="s">
        <v>497</v>
      </c>
      <c r="R11" s="320" t="s">
        <v>498</v>
      </c>
      <c r="S11" s="558"/>
      <c r="T11" s="319" t="s">
        <v>499</v>
      </c>
      <c r="U11" s="322" t="s">
        <v>500</v>
      </c>
      <c r="V11" s="329" t="s">
        <v>501</v>
      </c>
      <c r="W11" s="547"/>
    </row>
    <row r="12" spans="1:25" s="14" customFormat="1" ht="15.75" customHeight="1" x14ac:dyDescent="0.25">
      <c r="A12" s="562">
        <f>Dados!A7</f>
        <v>333903702</v>
      </c>
      <c r="B12" s="330" t="str">
        <f>Dados!C7</f>
        <v>Servente de Limpeza com adicional de 40% de Insalubridade</v>
      </c>
      <c r="C12" s="331">
        <f>Dados!D7</f>
        <v>200</v>
      </c>
      <c r="D12" s="332">
        <f>Dados!B7</f>
        <v>1</v>
      </c>
      <c r="E12" s="333">
        <f>'Servente Insalubre'!$F$46</f>
        <v>6159.7</v>
      </c>
      <c r="F12" s="334">
        <f>ROUND((D12*E12),2)</f>
        <v>6159.7</v>
      </c>
      <c r="G12" s="335">
        <f>'Servente Insalubre'!$I$46</f>
        <v>164.07</v>
      </c>
      <c r="H12" s="336">
        <f>'Ocorrências Mensais - FAT'!F10+'Ocorrências Mensais - FAT'!H10</f>
        <v>0</v>
      </c>
      <c r="I12" s="337">
        <f>(ROUND((G12/Dados!$G$34*H12)-(G12/'Ocorrências Mensais - FAT'!$E$4*'Ocorrências Mensais - FAT'!G10),2))</f>
        <v>0</v>
      </c>
      <c r="J12" s="338">
        <f>'Servente Insalubre'!$G$46</f>
        <v>5539.52</v>
      </c>
      <c r="K12" s="336">
        <f>'Ocorrências Mensais - FAT'!K10</f>
        <v>0</v>
      </c>
      <c r="L12" s="337">
        <f>J12/'Ocorrências Mensais - FAT'!$E$4*K12</f>
        <v>0</v>
      </c>
      <c r="M12" s="339">
        <f>'Custo Estimado Substituto'!$F$33</f>
        <v>4882.1499999999996</v>
      </c>
      <c r="N12" s="340">
        <f>'Ocorrências Mensais - FAT'!L10</f>
        <v>0</v>
      </c>
      <c r="O12" s="341">
        <f>M12/'Ocorrências Mensais - FAT'!$E$4*N12</f>
        <v>0</v>
      </c>
      <c r="P12" s="342">
        <f>'Servente Insalubre'!$H$46</f>
        <v>639.78</v>
      </c>
      <c r="Q12" s="343">
        <f>'Ocorrências Mensais - FAT'!M10</f>
        <v>0</v>
      </c>
      <c r="R12" s="341">
        <f>ROUND((P12/Dados!$G$37*Q12),2)</f>
        <v>0</v>
      </c>
      <c r="S12" s="344">
        <f>I12+L12+O12+R12</f>
        <v>0</v>
      </c>
      <c r="T12" s="345"/>
      <c r="U12" s="346"/>
      <c r="V12" s="347"/>
      <c r="W12" s="348">
        <f>ROUND((F12-S12+V12),2)</f>
        <v>6159.7</v>
      </c>
    </row>
    <row r="13" spans="1:25" s="14" customFormat="1" ht="15.75" x14ac:dyDescent="0.25">
      <c r="A13" s="562"/>
      <c r="B13" s="330" t="str">
        <f>Dados!C8</f>
        <v>Servente de Limpeza  com Acúmulo de função de Copeira</v>
      </c>
      <c r="C13" s="331">
        <f>Dados!D8</f>
        <v>200</v>
      </c>
      <c r="D13" s="332">
        <f>Dados!B8</f>
        <v>1</v>
      </c>
      <c r="E13" s="333">
        <f>'Servente - Copeira'!$F$46</f>
        <v>4987.1899999999996</v>
      </c>
      <c r="F13" s="334">
        <f>ROUND((D13*E13),2)</f>
        <v>4987.1899999999996</v>
      </c>
      <c r="G13" s="349">
        <f>'Servente - Copeira'!$I$46</f>
        <v>164.07</v>
      </c>
      <c r="H13" s="350">
        <f>'Ocorrências Mensais - FAT'!F11+'Ocorrências Mensais - FAT'!H11</f>
        <v>0</v>
      </c>
      <c r="I13" s="351">
        <f>(ROUND((G13/Dados!$G$34*H13)-(G13/'Ocorrências Mensais - FAT'!$E$4*'Ocorrências Mensais - FAT'!G11),2))</f>
        <v>0</v>
      </c>
      <c r="J13" s="352">
        <f>'Servente - Copeira'!$G$46</f>
        <v>4204.3100000000004</v>
      </c>
      <c r="K13" s="350">
        <f>'Ocorrências Mensais - FAT'!K11</f>
        <v>0</v>
      </c>
      <c r="L13" s="351">
        <f>J13/'Ocorrências Mensais - FAT'!$E$4*K13</f>
        <v>0</v>
      </c>
      <c r="M13" s="352">
        <f>'Custo Estimado Substituto'!G33</f>
        <v>3727.84</v>
      </c>
      <c r="N13" s="350">
        <f>'Ocorrências Mensais - FAT'!L11</f>
        <v>0</v>
      </c>
      <c r="O13" s="353">
        <f>M13/'Ocorrências Mensais - FAT'!$E$4*N13</f>
        <v>0</v>
      </c>
      <c r="P13" s="354">
        <f>'Servente - Copeira'!$H$46</f>
        <v>639.78</v>
      </c>
      <c r="Q13" s="355">
        <f>'Ocorrências Mensais - FAT'!M11</f>
        <v>0</v>
      </c>
      <c r="R13" s="353">
        <f>ROUND((P13/Dados!$G$37*Q13),2)</f>
        <v>0</v>
      </c>
      <c r="S13" s="356">
        <f>I13+L13+O13+R13</f>
        <v>0</v>
      </c>
      <c r="T13" s="349">
        <f>'Servente Insalubre'!$J$47</f>
        <v>47.79</v>
      </c>
      <c r="U13" s="355">
        <f>'Ocorrências Mensais - FAT'!N11</f>
        <v>0</v>
      </c>
      <c r="V13" s="357">
        <f>T13*U13</f>
        <v>0</v>
      </c>
      <c r="W13" s="348">
        <f>ROUND((F13-S13+V13),2)</f>
        <v>4987.1899999999996</v>
      </c>
    </row>
    <row r="14" spans="1:25" s="14" customFormat="1" ht="15.75" x14ac:dyDescent="0.25">
      <c r="A14" s="562"/>
      <c r="B14" s="330" t="str">
        <f>Dados!C9</f>
        <v>Zelador</v>
      </c>
      <c r="C14" s="331">
        <f>Dados!D9</f>
        <v>150</v>
      </c>
      <c r="D14" s="332">
        <f>Dados!B9</f>
        <v>1</v>
      </c>
      <c r="E14" s="333">
        <f>Zelador!$F$46</f>
        <v>3837.41</v>
      </c>
      <c r="F14" s="334">
        <f>ROUND((D14*E14),2)</f>
        <v>3837.41</v>
      </c>
      <c r="G14" s="349">
        <f>Zelador!$I$46</f>
        <v>150.59</v>
      </c>
      <c r="H14" s="350">
        <f>'Ocorrências Mensais - FAT'!F12+'Ocorrências Mensais - FAT'!H12</f>
        <v>0</v>
      </c>
      <c r="I14" s="351">
        <f>(ROUND((G14/Dados!$G$34*H14)-(G14/'Ocorrências Mensais - FAT'!$E$4*'Ocorrências Mensais - FAT'!G12),2))</f>
        <v>0</v>
      </c>
      <c r="J14" s="352">
        <f>Zelador!$G$46</f>
        <v>3837.41</v>
      </c>
      <c r="K14" s="350">
        <f>'Ocorrências Mensais - FAT'!K12</f>
        <v>0</v>
      </c>
      <c r="L14" s="351">
        <f>J14/'Ocorrências Mensais - FAT'!$E$4*K14</f>
        <v>0</v>
      </c>
      <c r="M14" s="352">
        <f>'Custo Estimado Substituto'!H33</f>
        <v>3331.9399999999996</v>
      </c>
      <c r="N14" s="350">
        <f>'Ocorrências Mensais - FAT'!L12</f>
        <v>0</v>
      </c>
      <c r="O14" s="353">
        <f>M14/'Ocorrências Mensais - FAT'!$E$4*N14</f>
        <v>0</v>
      </c>
      <c r="P14" s="354">
        <f>Zelador!$H$46</f>
        <v>0</v>
      </c>
      <c r="Q14" s="355">
        <f>'Ocorrências Mensais - FAT'!M12</f>
        <v>0</v>
      </c>
      <c r="R14" s="353">
        <f>ROUND((P14/Dados!$G$37*Q14),2)</f>
        <v>0</v>
      </c>
      <c r="S14" s="356">
        <f>I14+L14+O14+R14</f>
        <v>0</v>
      </c>
      <c r="T14" s="358"/>
      <c r="U14" s="359"/>
      <c r="V14" s="360"/>
      <c r="W14" s="348">
        <f>ROUND((F14-S14+V14),2)</f>
        <v>3837.41</v>
      </c>
    </row>
    <row r="15" spans="1:25" s="14" customFormat="1" ht="15.75" x14ac:dyDescent="0.25">
      <c r="A15" s="361">
        <f>Dados!A10</f>
        <v>333903701</v>
      </c>
      <c r="B15" s="362" t="str">
        <f>Dados!C10</f>
        <v>Auxiliar Administrativo com Acúmulo de função de Mensageiro</v>
      </c>
      <c r="C15" s="363">
        <f>Dados!D10</f>
        <v>200</v>
      </c>
      <c r="D15" s="364">
        <f>Dados!B10</f>
        <v>1</v>
      </c>
      <c r="E15" s="365">
        <f>'Auxiliar Adm - Mensageiro'!$F$46</f>
        <v>5139.53</v>
      </c>
      <c r="F15" s="366">
        <f>ROUND((D15*E15),2)</f>
        <v>5139.53</v>
      </c>
      <c r="G15" s="367">
        <f>'Auxiliar Adm - Mensageiro'!$I$46</f>
        <v>138.9</v>
      </c>
      <c r="H15" s="368">
        <f>'Ocorrências Mensais - FAT'!F13+'Ocorrências Mensais - FAT'!H13</f>
        <v>0</v>
      </c>
      <c r="I15" s="369">
        <f>(ROUND((G15/Dados!$G$34*H15)-(G15/'Ocorrências Mensais - FAT'!$E$4*'Ocorrências Mensais - FAT'!G13),2))</f>
        <v>0</v>
      </c>
      <c r="J15" s="370">
        <f>'Auxiliar Adm - Mensageiro'!$G$46</f>
        <v>5139.53</v>
      </c>
      <c r="K15" s="368">
        <f>'Ocorrências Mensais - FAT'!K13</f>
        <v>0</v>
      </c>
      <c r="L15" s="369">
        <f>J15/'Ocorrências Mensais - FAT'!$E$4*K15</f>
        <v>0</v>
      </c>
      <c r="M15" s="370">
        <f>'Custo Estimado Substituto'!N33</f>
        <v>4441.2199999999993</v>
      </c>
      <c r="N15" s="368">
        <f>'Ocorrências Mensais - FAT'!L13</f>
        <v>0</v>
      </c>
      <c r="O15" s="371">
        <f>M15/'Ocorrências Mensais - FAT'!$E$4*N15</f>
        <v>0</v>
      </c>
      <c r="P15" s="372">
        <f>'Auxiliar Adm - Mensageiro'!$H$46</f>
        <v>654.71</v>
      </c>
      <c r="Q15" s="373">
        <f>'Ocorrências Mensais - FAT'!M13</f>
        <v>0</v>
      </c>
      <c r="R15" s="371">
        <f>ROUND((P15/Dados!$G$37*Q15),2)</f>
        <v>0</v>
      </c>
      <c r="S15" s="374">
        <f>I15+L15+O15+R15</f>
        <v>0</v>
      </c>
      <c r="T15" s="375"/>
      <c r="U15" s="376"/>
      <c r="V15" s="377"/>
      <c r="W15" s="378">
        <f>ROUND((F15-S15+V15),2)</f>
        <v>5139.53</v>
      </c>
    </row>
    <row r="16" spans="1:25" s="61" customFormat="1" ht="21.75" customHeight="1" x14ac:dyDescent="0.25">
      <c r="A16" s="563" t="s">
        <v>502</v>
      </c>
      <c r="B16" s="563"/>
      <c r="C16" s="563"/>
      <c r="D16" s="379">
        <f>SUM(D12:D15)</f>
        <v>4</v>
      </c>
      <c r="E16" s="380"/>
      <c r="F16" s="381">
        <f>SUM(F12:F15)</f>
        <v>20123.829999999998</v>
      </c>
      <c r="G16" s="382"/>
      <c r="H16" s="380">
        <f t="shared" ref="H16:O16" si="0">SUM(H12:H15)</f>
        <v>0</v>
      </c>
      <c r="I16" s="383">
        <f t="shared" si="0"/>
        <v>0</v>
      </c>
      <c r="J16" s="384">
        <f t="shared" si="0"/>
        <v>18720.77</v>
      </c>
      <c r="K16" s="380">
        <f t="shared" si="0"/>
        <v>0</v>
      </c>
      <c r="L16" s="383">
        <f t="shared" si="0"/>
        <v>0</v>
      </c>
      <c r="M16" s="385">
        <f t="shared" si="0"/>
        <v>16383.15</v>
      </c>
      <c r="N16" s="380">
        <f t="shared" si="0"/>
        <v>0</v>
      </c>
      <c r="O16" s="381">
        <f t="shared" si="0"/>
        <v>0</v>
      </c>
      <c r="P16" s="382"/>
      <c r="Q16" s="380">
        <f>SUM(Q12:Q15)</f>
        <v>0</v>
      </c>
      <c r="R16" s="381">
        <f>SUM(R12:R15)</f>
        <v>0</v>
      </c>
      <c r="S16" s="386">
        <f>SUM(S12:S15)</f>
        <v>0</v>
      </c>
      <c r="T16" s="387"/>
      <c r="U16" s="380">
        <f>SUM(U12:U15)</f>
        <v>0</v>
      </c>
      <c r="V16" s="383">
        <f>SUM(V12:V15)</f>
        <v>0</v>
      </c>
      <c r="W16" s="388">
        <f>SUM(W12:W15)</f>
        <v>20123.829999999998</v>
      </c>
      <c r="X16" s="389" t="s">
        <v>503</v>
      </c>
      <c r="Y16" s="100"/>
    </row>
    <row r="17" spans="1:23" s="56" customFormat="1" ht="18" customHeight="1" x14ac:dyDescent="0.25">
      <c r="A17" s="564" t="s">
        <v>581</v>
      </c>
      <c r="B17" s="564"/>
      <c r="C17" s="564"/>
      <c r="D17" s="564"/>
      <c r="E17" s="564"/>
      <c r="F17" s="564"/>
      <c r="G17" s="564"/>
      <c r="H17" s="564"/>
      <c r="I17" s="564"/>
      <c r="J17" s="564"/>
      <c r="K17" s="564"/>
      <c r="L17" s="564"/>
      <c r="M17" s="564"/>
      <c r="N17" s="564"/>
      <c r="O17" s="564"/>
      <c r="P17" s="564"/>
      <c r="Q17" s="564"/>
      <c r="R17" s="564"/>
      <c r="S17" s="564"/>
      <c r="T17" s="564"/>
      <c r="U17" s="564"/>
      <c r="V17" s="564"/>
      <c r="W17" s="390">
        <f>Insumos!K44+Insumos!K66</f>
        <v>1119.335</v>
      </c>
    </row>
    <row r="18" spans="1:23" s="56" customFormat="1" ht="20.25" customHeight="1" x14ac:dyDescent="0.25">
      <c r="A18" s="564" t="s">
        <v>504</v>
      </c>
      <c r="B18" s="564"/>
      <c r="C18" s="564"/>
      <c r="D18" s="564"/>
      <c r="E18" s="564"/>
      <c r="F18" s="564"/>
      <c r="G18" s="564"/>
      <c r="H18" s="564"/>
      <c r="I18" s="564"/>
      <c r="J18" s="564"/>
      <c r="K18" s="564"/>
      <c r="L18" s="564"/>
      <c r="M18" s="564"/>
      <c r="N18" s="564"/>
      <c r="O18" s="564"/>
      <c r="P18" s="564"/>
      <c r="Q18" s="564"/>
      <c r="R18" s="564"/>
      <c r="S18" s="564"/>
      <c r="T18" s="564"/>
      <c r="U18" s="564"/>
      <c r="V18" s="564"/>
      <c r="W18" s="391">
        <f>W16*12</f>
        <v>241485.95999999996</v>
      </c>
    </row>
    <row r="19" spans="1:23" s="66" customFormat="1" ht="24" customHeight="1" x14ac:dyDescent="0.25">
      <c r="A19" s="565" t="s">
        <v>43</v>
      </c>
      <c r="B19" s="565"/>
      <c r="C19" s="565"/>
      <c r="D19" s="565"/>
      <c r="E19" s="565"/>
      <c r="F19" s="565"/>
      <c r="G19" s="565"/>
      <c r="H19" s="565"/>
      <c r="I19" s="565"/>
      <c r="J19" s="565"/>
      <c r="K19" s="565"/>
      <c r="L19" s="565"/>
      <c r="M19" s="565"/>
      <c r="N19" s="565"/>
      <c r="O19" s="565"/>
      <c r="P19" s="565"/>
      <c r="Q19" s="565"/>
      <c r="R19" s="565"/>
      <c r="S19" s="565"/>
      <c r="T19" s="565"/>
      <c r="U19" s="565"/>
      <c r="V19" s="565"/>
      <c r="W19" s="565"/>
    </row>
    <row r="20" spans="1:23" s="56" customFormat="1" ht="12.75" x14ac:dyDescent="0.25">
      <c r="A20" s="559" t="str">
        <f>CONCATENATE("1. Nas FÉRIAS SEM SUBSTITUIÇÃO DA SERVENTE INSALUBRE, quando o trabalho de limpeza de banheiros públicos ou de grande circulação for efetuado por outra servente do quadro, deverá ser acrescentado o valor de R$",T13," por dia em que este fato ocorrer.")</f>
        <v>1. Nas FÉRIAS SEM SUBSTITUIÇÃO DA SERVENTE INSALUBRE, quando o trabalho de limpeza de banheiros públicos ou de grande circulação for efetuado por outra servente do quadro, deverá ser acrescentado o valor de R$47,79 por dia em que este fato ocorrer.</v>
      </c>
      <c r="B20" s="559"/>
      <c r="C20" s="559"/>
      <c r="D20" s="559"/>
      <c r="E20" s="559"/>
      <c r="F20" s="559"/>
      <c r="G20" s="559"/>
      <c r="H20" s="559"/>
      <c r="I20" s="559"/>
      <c r="J20" s="559"/>
      <c r="K20" s="559"/>
      <c r="L20" s="559"/>
      <c r="M20" s="559"/>
      <c r="N20" s="559"/>
      <c r="O20" s="559"/>
      <c r="P20" s="559"/>
      <c r="Q20" s="559"/>
      <c r="R20" s="559"/>
      <c r="S20" s="559"/>
      <c r="T20" s="559"/>
      <c r="U20" s="559"/>
      <c r="V20" s="559"/>
      <c r="W20" s="559"/>
    </row>
    <row r="21" spans="1:23" s="392" customFormat="1" ht="18.75" customHeight="1" x14ac:dyDescent="0.25">
      <c r="A21" s="560" t="s">
        <v>505</v>
      </c>
      <c r="B21" s="560"/>
      <c r="C21" s="560"/>
      <c r="D21" s="560"/>
      <c r="E21" s="560"/>
      <c r="F21" s="560"/>
      <c r="G21" s="560"/>
      <c r="H21" s="560"/>
      <c r="I21" s="560"/>
      <c r="J21" s="560"/>
      <c r="K21" s="560"/>
      <c r="L21" s="560"/>
      <c r="M21" s="560"/>
      <c r="N21" s="560"/>
      <c r="O21" s="560"/>
      <c r="P21" s="560"/>
      <c r="Q21" s="560"/>
      <c r="R21" s="560"/>
      <c r="S21" s="560"/>
      <c r="T21" s="560"/>
      <c r="U21" s="560"/>
      <c r="V21" s="560"/>
      <c r="W21" s="560"/>
    </row>
    <row r="22" spans="1:23" x14ac:dyDescent="0.25">
      <c r="A22" s="561"/>
      <c r="B22" s="561"/>
      <c r="C22" s="561"/>
      <c r="D22" s="561"/>
      <c r="E22" s="561"/>
      <c r="F22" s="561"/>
      <c r="G22" s="561"/>
      <c r="H22" s="561"/>
      <c r="I22" s="561"/>
      <c r="J22" s="561"/>
      <c r="K22" s="561"/>
      <c r="L22" s="561"/>
      <c r="M22" s="561"/>
      <c r="N22" s="561"/>
      <c r="O22" s="561"/>
      <c r="P22" s="561"/>
      <c r="Q22" s="561"/>
      <c r="R22" s="561"/>
      <c r="S22" s="561"/>
      <c r="T22" s="561"/>
      <c r="U22" s="561"/>
      <c r="V22" s="561"/>
      <c r="W22" s="561"/>
    </row>
    <row r="23" spans="1:23" x14ac:dyDescent="0.25">
      <c r="A23" s="561"/>
      <c r="B23" s="561"/>
      <c r="C23" s="561"/>
      <c r="D23" s="561"/>
      <c r="E23" s="561"/>
      <c r="F23" s="561"/>
      <c r="G23" s="561"/>
      <c r="H23" s="561"/>
      <c r="I23" s="561"/>
      <c r="J23" s="561"/>
      <c r="K23" s="561"/>
      <c r="L23" s="561"/>
      <c r="M23" s="561"/>
      <c r="N23" s="561"/>
      <c r="O23" s="561"/>
      <c r="P23" s="561"/>
      <c r="Q23" s="561"/>
      <c r="R23" s="561"/>
      <c r="S23" s="561"/>
      <c r="T23" s="561"/>
      <c r="U23" s="561"/>
      <c r="V23" s="561"/>
      <c r="W23" s="561"/>
    </row>
  </sheetData>
  <sheetProtection algorithmName="SHA-512" hashValue="Heh8FysuKlm0xVWsZUHPWD42Uveols9nBkt4SOo3tGT3yJ46kIHOUtSil0iSzk9rwc6+4ZNytuv5kQI7yUBLZg==" saltValue="jWTV1pjorD/obVr3meS4zg==" spinCount="100000" sheet="1" objects="1" scenarios="1"/>
  <mergeCells count="30">
    <mergeCell ref="A20:W20"/>
    <mergeCell ref="A21:W21"/>
    <mergeCell ref="A22:W22"/>
    <mergeCell ref="A23:W23"/>
    <mergeCell ref="A12:A14"/>
    <mergeCell ref="A16:C16"/>
    <mergeCell ref="A17:V17"/>
    <mergeCell ref="A18:V18"/>
    <mergeCell ref="A19:W19"/>
    <mergeCell ref="J10:L10"/>
    <mergeCell ref="M10:O10"/>
    <mergeCell ref="P10:R10"/>
    <mergeCell ref="S10:S11"/>
    <mergeCell ref="T10:V10"/>
    <mergeCell ref="A4:W4"/>
    <mergeCell ref="A5:W5"/>
    <mergeCell ref="A6:W6"/>
    <mergeCell ref="S7:W7"/>
    <mergeCell ref="A8:A11"/>
    <mergeCell ref="B8:C10"/>
    <mergeCell ref="D8:V8"/>
    <mergeCell ref="W8:W11"/>
    <mergeCell ref="D9:F9"/>
    <mergeCell ref="G9:I9"/>
    <mergeCell ref="J9:O9"/>
    <mergeCell ref="P9:R9"/>
    <mergeCell ref="T9:V9"/>
    <mergeCell ref="D10:F10"/>
    <mergeCell ref="G10:G11"/>
    <mergeCell ref="H10:I10"/>
  </mergeCells>
  <printOptions horizontalCentered="1" verticalCentered="1"/>
  <pageMargins left="0.51180555555555596" right="0.51180555555555596" top="0.78749999999999998" bottom="0.78749999999999998" header="0.511811023622047" footer="0.511811023622047"/>
  <pageSetup paperSize="9" scale="28" fitToHeight="2" orientation="portrait" horizontalDpi="300" verticalDpi="300" r:id="rId1"/>
  <colBreaks count="1" manualBreakCount="1">
    <brk id="2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249977111117893"/>
    <pageSetUpPr fitToPage="1"/>
  </sheetPr>
  <dimension ref="A1:AMK48"/>
  <sheetViews>
    <sheetView showGridLines="0" view="pageBreakPreview" zoomScale="120" zoomScaleNormal="100" zoomScalePageLayoutView="120" workbookViewId="0">
      <selection activeCell="A6" sqref="A6:J6"/>
    </sheetView>
  </sheetViews>
  <sheetFormatPr defaultColWidth="8.7109375" defaultRowHeight="15" x14ac:dyDescent="0.25"/>
  <cols>
    <col min="1" max="1" width="10.5703125" style="66" customWidth="1"/>
    <col min="2" max="2" width="27.7109375" style="66" customWidth="1"/>
    <col min="3" max="3" width="14.42578125" style="66" customWidth="1"/>
    <col min="4" max="5" width="15" style="66" customWidth="1"/>
    <col min="6" max="6" width="16.7109375" style="254" customWidth="1"/>
    <col min="7" max="8" width="13.140625" style="254" customWidth="1"/>
    <col min="9" max="9" width="12.5703125" style="254" customWidth="1"/>
    <col min="10" max="10" width="13.85546875" style="254" customWidth="1"/>
    <col min="11" max="257" width="9.140625" style="66" customWidth="1"/>
    <col min="258" max="258" width="10.5703125" style="66" customWidth="1"/>
    <col min="259" max="259" width="27.7109375" style="66" customWidth="1"/>
    <col min="260" max="260" width="14.42578125" style="66" customWidth="1"/>
    <col min="261" max="262" width="15" style="66" customWidth="1"/>
    <col min="263" max="263" width="16.7109375" style="66" customWidth="1"/>
    <col min="264" max="264" width="13.140625" style="66" customWidth="1"/>
    <col min="265" max="266" width="12.5703125" style="66" customWidth="1"/>
    <col min="267" max="513" width="9.140625" style="66" customWidth="1"/>
    <col min="514" max="514" width="10.5703125" style="66" customWidth="1"/>
    <col min="515" max="515" width="27.7109375" style="66" customWidth="1"/>
    <col min="516" max="516" width="14.42578125" style="66" customWidth="1"/>
    <col min="517" max="518" width="15" style="66" customWidth="1"/>
    <col min="519" max="519" width="16.7109375" style="66" customWidth="1"/>
    <col min="520" max="520" width="13.140625" style="66" customWidth="1"/>
    <col min="521" max="522" width="12.5703125" style="66" customWidth="1"/>
    <col min="523" max="769" width="9.140625" style="66" customWidth="1"/>
    <col min="770" max="770" width="10.5703125" style="66" customWidth="1"/>
    <col min="771" max="771" width="27.7109375" style="66" customWidth="1"/>
    <col min="772" max="772" width="14.42578125" style="66" customWidth="1"/>
    <col min="773" max="774" width="15" style="66" customWidth="1"/>
    <col min="775" max="775" width="16.7109375" style="66" customWidth="1"/>
    <col min="776" max="776" width="13.140625" style="66" customWidth="1"/>
    <col min="777" max="778" width="12.5703125" style="66" customWidth="1"/>
    <col min="779" max="1025" width="9.140625" style="66" customWidth="1"/>
  </cols>
  <sheetData>
    <row r="1" spans="1:10" x14ac:dyDescent="0.25">
      <c r="A1" s="255"/>
      <c r="B1" s="93" t="str">
        <f>INSTRUÇÕES!B1</f>
        <v>Tribunal Regional Federal da 6ª Região</v>
      </c>
      <c r="C1" s="256"/>
      <c r="D1" s="256"/>
      <c r="E1" s="256"/>
      <c r="F1" s="257"/>
      <c r="G1" s="258"/>
      <c r="H1" s="258"/>
      <c r="I1" s="257"/>
      <c r="J1" s="259"/>
    </row>
    <row r="2" spans="1:10" x14ac:dyDescent="0.25">
      <c r="A2" s="260"/>
      <c r="B2" s="95" t="str">
        <f>INSTRUÇÕES!B2</f>
        <v>Seção Judiciária de Minas Gerais</v>
      </c>
      <c r="C2" s="56"/>
      <c r="D2" s="56"/>
      <c r="E2" s="56"/>
      <c r="F2" s="261"/>
      <c r="I2" s="261"/>
      <c r="J2" s="262"/>
    </row>
    <row r="3" spans="1:10" x14ac:dyDescent="0.25">
      <c r="A3" s="152"/>
      <c r="B3" s="263" t="str">
        <f>INSTRUÇÕES!B3</f>
        <v>Subseção Judiciária de Lavras</v>
      </c>
      <c r="C3" s="56"/>
      <c r="D3" s="56"/>
      <c r="E3" s="56"/>
      <c r="F3" s="261"/>
      <c r="I3" s="261"/>
      <c r="J3" s="262"/>
    </row>
    <row r="4" spans="1:10" ht="19.5" customHeight="1" x14ac:dyDescent="0.25">
      <c r="A4" s="563" t="s">
        <v>436</v>
      </c>
      <c r="B4" s="563"/>
      <c r="C4" s="563"/>
      <c r="D4" s="563"/>
      <c r="E4" s="563"/>
      <c r="F4" s="563"/>
      <c r="G4" s="563"/>
      <c r="H4" s="563"/>
      <c r="I4" s="563"/>
      <c r="J4" s="563"/>
    </row>
    <row r="5" spans="1:10" ht="19.5" customHeight="1" x14ac:dyDescent="0.25">
      <c r="A5" s="567" t="s">
        <v>593</v>
      </c>
      <c r="B5" s="567"/>
      <c r="C5" s="567"/>
      <c r="D5" s="567"/>
      <c r="E5" s="567"/>
      <c r="F5" s="567"/>
      <c r="G5" s="567"/>
      <c r="H5" s="567"/>
      <c r="I5" s="567"/>
      <c r="J5" s="567"/>
    </row>
    <row r="6" spans="1:10" s="2" customFormat="1" ht="36" customHeight="1" x14ac:dyDescent="0.25">
      <c r="A6" s="568" t="str">
        <f>Dados!A4</f>
        <v>Sindicato utilizado - SINTAPPI x SINSERHT. Vigência: 2025/2026. Sendo a data base da categoria 01° de Abril. Com número de registro no MTE MG001973/2025.</v>
      </c>
      <c r="B6" s="568"/>
      <c r="C6" s="568"/>
      <c r="D6" s="568"/>
      <c r="E6" s="568"/>
      <c r="F6" s="568"/>
      <c r="G6" s="568"/>
      <c r="H6" s="568"/>
      <c r="I6" s="568"/>
      <c r="J6" s="568"/>
    </row>
    <row r="7" spans="1:10" ht="19.5" customHeight="1" x14ac:dyDescent="0.25">
      <c r="A7" s="569" t="str">
        <f>Dados!C10</f>
        <v>Auxiliar Administrativo com Acúmulo de função de Mensageiro</v>
      </c>
      <c r="B7" s="569"/>
      <c r="C7" s="569"/>
      <c r="D7" s="569"/>
      <c r="E7" s="569"/>
      <c r="F7" s="570" t="s">
        <v>584</v>
      </c>
      <c r="G7" s="570" t="s">
        <v>585</v>
      </c>
      <c r="H7" s="570" t="s">
        <v>437</v>
      </c>
      <c r="I7" s="570" t="s">
        <v>438</v>
      </c>
      <c r="J7" s="570" t="s">
        <v>439</v>
      </c>
    </row>
    <row r="8" spans="1:10" ht="19.5" customHeight="1" x14ac:dyDescent="0.25">
      <c r="A8" s="571" t="s">
        <v>470</v>
      </c>
      <c r="B8" s="571"/>
      <c r="C8" s="571"/>
      <c r="D8" s="571"/>
      <c r="E8" s="264" t="s">
        <v>422</v>
      </c>
      <c r="F8" s="570"/>
      <c r="G8" s="570"/>
      <c r="H8" s="570"/>
      <c r="I8" s="570"/>
      <c r="J8" s="570"/>
    </row>
    <row r="9" spans="1:10" ht="19.5" customHeight="1" x14ac:dyDescent="0.25">
      <c r="A9" s="572" t="s">
        <v>441</v>
      </c>
      <c r="B9" s="572"/>
      <c r="C9" s="572"/>
      <c r="D9" s="572"/>
      <c r="E9" s="572"/>
      <c r="F9" s="572"/>
      <c r="G9" s="572"/>
      <c r="H9" s="572"/>
      <c r="I9" s="572"/>
      <c r="J9" s="572"/>
    </row>
    <row r="10" spans="1:10" ht="24" customHeight="1" x14ac:dyDescent="0.25">
      <c r="A10" s="157" t="s">
        <v>423</v>
      </c>
      <c r="B10" s="573" t="s">
        <v>442</v>
      </c>
      <c r="C10" s="573"/>
      <c r="D10" s="208" t="s">
        <v>443</v>
      </c>
      <c r="E10" s="265" t="s">
        <v>444</v>
      </c>
      <c r="F10" s="574" t="s">
        <v>426</v>
      </c>
      <c r="G10" s="574"/>
      <c r="H10" s="574"/>
      <c r="I10" s="574"/>
      <c r="J10" s="574"/>
    </row>
    <row r="11" spans="1:10" ht="19.5" customHeight="1" x14ac:dyDescent="0.25">
      <c r="A11" s="575">
        <v>1</v>
      </c>
      <c r="B11" s="576" t="str">
        <f>A7</f>
        <v>Auxiliar Administrativo com Acúmulo de função de Mensageiro</v>
      </c>
      <c r="C11" s="576"/>
      <c r="D11" s="27">
        <f>Dados!$D$10</f>
        <v>200</v>
      </c>
      <c r="E11" s="267">
        <f>Dados!$E$10</f>
        <v>2048</v>
      </c>
      <c r="F11" s="268">
        <f>ROUND(E11/220*D11,2)</f>
        <v>1861.82</v>
      </c>
      <c r="G11" s="268">
        <f>F11</f>
        <v>1861.82</v>
      </c>
      <c r="H11" s="268"/>
      <c r="I11" s="268"/>
      <c r="J11" s="269"/>
    </row>
    <row r="12" spans="1:10" ht="19.5" customHeight="1" x14ac:dyDescent="0.25">
      <c r="A12" s="575"/>
      <c r="B12" s="576" t="s">
        <v>445</v>
      </c>
      <c r="C12" s="576"/>
      <c r="D12" s="39">
        <f>Dados!G8</f>
        <v>0</v>
      </c>
      <c r="E12" s="267">
        <f>Dados!$G$27</f>
        <v>1621</v>
      </c>
      <c r="F12" s="268">
        <f>D12*E12</f>
        <v>0</v>
      </c>
      <c r="G12" s="268">
        <f>F12</f>
        <v>0</v>
      </c>
      <c r="H12" s="268"/>
      <c r="I12" s="268"/>
      <c r="J12" s="269">
        <f>F12</f>
        <v>0</v>
      </c>
    </row>
    <row r="13" spans="1:10" ht="21.75" customHeight="1" x14ac:dyDescent="0.25">
      <c r="A13" s="575"/>
      <c r="B13" s="271" t="s">
        <v>446</v>
      </c>
      <c r="C13" s="272">
        <f>Dados!$I$10</f>
        <v>0.12</v>
      </c>
      <c r="D13" s="272">
        <f>Dados!$J$10</f>
        <v>0.25</v>
      </c>
      <c r="E13" s="273">
        <f>Dados!$K$10</f>
        <v>1861.82</v>
      </c>
      <c r="F13" s="274">
        <f>ROUND((E13*D13*C13),2)</f>
        <v>55.85</v>
      </c>
      <c r="G13" s="274">
        <f>F13</f>
        <v>55.85</v>
      </c>
      <c r="H13" s="274"/>
      <c r="I13" s="274"/>
      <c r="J13" s="275"/>
    </row>
    <row r="14" spans="1:10" ht="19.5" customHeight="1" x14ac:dyDescent="0.25">
      <c r="A14" s="575"/>
      <c r="B14" s="577" t="s">
        <v>447</v>
      </c>
      <c r="C14" s="577"/>
      <c r="D14" s="577"/>
      <c r="E14" s="577"/>
      <c r="F14" s="276">
        <f>SUM(F11:F13)</f>
        <v>1917.6699999999998</v>
      </c>
      <c r="G14" s="276">
        <f>SUM(G11:G13)</f>
        <v>1917.6699999999998</v>
      </c>
      <c r="H14" s="276">
        <f>SUM(H11:H13)</f>
        <v>0</v>
      </c>
      <c r="I14" s="276">
        <f>SUM(I11:I13)</f>
        <v>0</v>
      </c>
      <c r="J14" s="277">
        <f>SUM(J11:J13)</f>
        <v>0</v>
      </c>
    </row>
    <row r="15" spans="1:10" ht="19.5" customHeight="1" x14ac:dyDescent="0.25">
      <c r="A15" s="575"/>
      <c r="B15" s="578" t="s">
        <v>448</v>
      </c>
      <c r="C15" s="578"/>
      <c r="D15" s="578"/>
      <c r="E15" s="278">
        <f>Encargos!$C$57</f>
        <v>0.76400000000000001</v>
      </c>
      <c r="F15" s="268">
        <f>ROUND((E15*F14),2)</f>
        <v>1465.1</v>
      </c>
      <c r="G15" s="268">
        <f>F15</f>
        <v>1465.1</v>
      </c>
      <c r="H15" s="268"/>
      <c r="I15" s="268"/>
      <c r="J15" s="269">
        <f>ROUND((E15*J14),2)</f>
        <v>0</v>
      </c>
    </row>
    <row r="16" spans="1:10" ht="19.5" customHeight="1" x14ac:dyDescent="0.25">
      <c r="A16" s="579" t="s">
        <v>449</v>
      </c>
      <c r="B16" s="579"/>
      <c r="C16" s="579"/>
      <c r="D16" s="579"/>
      <c r="E16" s="579"/>
      <c r="F16" s="279">
        <f>SUM(F14:F15)</f>
        <v>3382.7699999999995</v>
      </c>
      <c r="G16" s="279">
        <f>SUM(G14:G15)</f>
        <v>3382.7699999999995</v>
      </c>
      <c r="H16" s="279">
        <f>SUM(H14:H15)</f>
        <v>0</v>
      </c>
      <c r="I16" s="279">
        <f>SUM(I14:I15)</f>
        <v>0</v>
      </c>
      <c r="J16" s="280">
        <f>SUM(J14:J15)</f>
        <v>0</v>
      </c>
    </row>
    <row r="17" spans="1:12" ht="19.5" customHeight="1" x14ac:dyDescent="0.25">
      <c r="A17" s="580" t="s">
        <v>450</v>
      </c>
      <c r="B17" s="580"/>
      <c r="C17" s="580"/>
      <c r="D17" s="580"/>
      <c r="E17" s="580"/>
      <c r="F17" s="580"/>
      <c r="G17" s="580"/>
      <c r="H17" s="580"/>
      <c r="I17" s="580"/>
      <c r="J17" s="580"/>
    </row>
    <row r="18" spans="1:12" ht="19.5" customHeight="1" x14ac:dyDescent="0.25">
      <c r="A18" s="581" t="s">
        <v>451</v>
      </c>
      <c r="B18" s="581"/>
      <c r="C18" s="37" t="s">
        <v>425</v>
      </c>
      <c r="D18" s="582" t="s">
        <v>469</v>
      </c>
      <c r="E18" s="582"/>
      <c r="F18" s="583" t="s">
        <v>426</v>
      </c>
      <c r="G18" s="583"/>
      <c r="H18" s="583"/>
      <c r="I18" s="583"/>
      <c r="J18" s="583"/>
    </row>
    <row r="19" spans="1:12" ht="19.5" customHeight="1" x14ac:dyDescent="0.25">
      <c r="A19" s="566" t="s">
        <v>453</v>
      </c>
      <c r="B19" s="566"/>
      <c r="C19" s="213"/>
      <c r="D19" s="213"/>
      <c r="E19" s="213"/>
      <c r="F19" s="268">
        <f>Dados!$N$10</f>
        <v>0</v>
      </c>
      <c r="G19" s="268">
        <f>F19</f>
        <v>0</v>
      </c>
      <c r="H19" s="268"/>
      <c r="I19" s="268"/>
      <c r="J19" s="269"/>
    </row>
    <row r="20" spans="1:12" ht="19.5" customHeight="1" x14ac:dyDescent="0.25">
      <c r="A20" s="566" t="s">
        <v>454</v>
      </c>
      <c r="B20" s="566"/>
      <c r="C20" s="213"/>
      <c r="D20" s="213"/>
      <c r="E20" s="213"/>
      <c r="F20" s="268">
        <f>Dados!$G$30</f>
        <v>5.27</v>
      </c>
      <c r="G20" s="268">
        <f>F20</f>
        <v>5.27</v>
      </c>
      <c r="H20" s="268"/>
      <c r="I20" s="268"/>
      <c r="J20" s="269"/>
    </row>
    <row r="21" spans="1:12" ht="23.25" customHeight="1" x14ac:dyDescent="0.25">
      <c r="A21" s="584" t="s">
        <v>200</v>
      </c>
      <c r="B21" s="584"/>
      <c r="C21" s="213"/>
      <c r="D21" s="213"/>
      <c r="E21" s="213"/>
      <c r="F21" s="268">
        <f>Dados!G31</f>
        <v>0</v>
      </c>
      <c r="G21" s="268">
        <f>F21</f>
        <v>0</v>
      </c>
      <c r="H21" s="268"/>
      <c r="I21" s="268"/>
      <c r="J21" s="269"/>
    </row>
    <row r="22" spans="1:12" ht="19.5" customHeight="1" x14ac:dyDescent="0.25">
      <c r="A22" s="566" t="s">
        <v>201</v>
      </c>
      <c r="B22" s="566"/>
      <c r="C22" s="282">
        <f>Dados!$G$34</f>
        <v>22</v>
      </c>
      <c r="D22" s="282">
        <f>Dados!$G$33</f>
        <v>2</v>
      </c>
      <c r="E22" s="213">
        <f>Dados!$G$32</f>
        <v>5</v>
      </c>
      <c r="F22" s="268">
        <f>IF(ROUND((E22*D22*C22)-(F11*Dados!$G$35),2)&lt;0,0,ROUND((E22*D22*C22)-(F11*Dados!$G$35),2))</f>
        <v>108.29</v>
      </c>
      <c r="G22" s="268">
        <f>F22</f>
        <v>108.29</v>
      </c>
      <c r="H22" s="268"/>
      <c r="I22" s="268">
        <f>F22</f>
        <v>108.29</v>
      </c>
      <c r="J22" s="269"/>
    </row>
    <row r="23" spans="1:12" ht="19.5" customHeight="1" x14ac:dyDescent="0.25">
      <c r="A23" s="566" t="s">
        <v>210</v>
      </c>
      <c r="B23" s="566"/>
      <c r="C23" s="282">
        <f>Dados!G37</f>
        <v>22</v>
      </c>
      <c r="D23" s="283">
        <f>Dados!G38</f>
        <v>0.2</v>
      </c>
      <c r="E23" s="213">
        <f>Dados!$G$36</f>
        <v>29</v>
      </c>
      <c r="F23" s="249">
        <f>ROUND((IF(D11&gt;150,((C23*E23)-(C23*(D23*E23))),0)),2)</f>
        <v>510.4</v>
      </c>
      <c r="G23" s="268">
        <f>F23</f>
        <v>510.4</v>
      </c>
      <c r="H23" s="268">
        <f>$F$23</f>
        <v>510.4</v>
      </c>
      <c r="I23" s="249"/>
      <c r="J23" s="269"/>
    </row>
    <row r="24" spans="1:12" ht="19.5" customHeight="1" x14ac:dyDescent="0.25">
      <c r="A24" s="566" t="s">
        <v>583</v>
      </c>
      <c r="B24" s="566"/>
      <c r="C24" s="282"/>
      <c r="D24" s="213"/>
      <c r="E24" s="213"/>
      <c r="F24" s="268">
        <f>Dados!O10</f>
        <v>0</v>
      </c>
      <c r="G24" s="268"/>
      <c r="H24" s="268"/>
      <c r="I24" s="268"/>
      <c r="J24" s="269"/>
      <c r="L24" s="56"/>
    </row>
    <row r="25" spans="1:12" ht="19.5" customHeight="1" x14ac:dyDescent="0.25">
      <c r="A25" s="566" t="s">
        <v>582</v>
      </c>
      <c r="B25" s="566"/>
      <c r="C25" s="282"/>
      <c r="D25" s="213"/>
      <c r="E25" s="213"/>
      <c r="F25" s="268">
        <f>Dados!P10</f>
        <v>0</v>
      </c>
      <c r="G25" s="268"/>
      <c r="H25" s="268"/>
      <c r="I25" s="268"/>
      <c r="J25" s="269"/>
    </row>
    <row r="26" spans="1:12" ht="19.5" customHeight="1" x14ac:dyDescent="0.25">
      <c r="A26" s="566" t="s">
        <v>162</v>
      </c>
      <c r="B26" s="566"/>
      <c r="C26" s="282"/>
      <c r="D26" s="213"/>
      <c r="E26" s="213"/>
      <c r="F26" s="268">
        <f>Dados!Q10</f>
        <v>0</v>
      </c>
      <c r="G26" s="268">
        <f>F26</f>
        <v>0</v>
      </c>
      <c r="H26" s="268"/>
      <c r="I26" s="268"/>
      <c r="J26" s="269"/>
    </row>
    <row r="27" spans="1:12" ht="19.5" customHeight="1" x14ac:dyDescent="0.25">
      <c r="A27" s="566" t="s">
        <v>455</v>
      </c>
      <c r="B27" s="566"/>
      <c r="C27" s="284"/>
      <c r="D27" s="285"/>
      <c r="E27" s="285"/>
      <c r="F27" s="274">
        <f>Dados!R10</f>
        <v>0</v>
      </c>
      <c r="G27" s="274">
        <f>F27</f>
        <v>0</v>
      </c>
      <c r="H27" s="274"/>
      <c r="I27" s="274"/>
      <c r="J27" s="275"/>
    </row>
    <row r="28" spans="1:12" ht="19.5" customHeight="1" x14ac:dyDescent="0.25">
      <c r="A28" s="566" t="str">
        <f>Dados!B39</f>
        <v>Outros (inserir somente com a justificativa legal)</v>
      </c>
      <c r="B28" s="566"/>
      <c r="C28" s="282"/>
      <c r="D28" s="282">
        <f>Dados!G39</f>
        <v>0</v>
      </c>
      <c r="E28" s="213"/>
      <c r="F28" s="249">
        <f>$D$28</f>
        <v>0</v>
      </c>
      <c r="G28" s="268">
        <f>F28</f>
        <v>0</v>
      </c>
      <c r="H28" s="268"/>
      <c r="I28" s="249"/>
      <c r="J28" s="269"/>
    </row>
    <row r="29" spans="1:12" ht="19.5" customHeight="1" thickBot="1" x14ac:dyDescent="0.3">
      <c r="A29" s="566" t="str">
        <f>Dados!B40</f>
        <v>Outros (inserir somente com a justificativa legal)</v>
      </c>
      <c r="B29" s="566"/>
      <c r="C29" s="282"/>
      <c r="D29" s="282">
        <f>Dados!G40</f>
        <v>0</v>
      </c>
      <c r="E29" s="213"/>
      <c r="F29" s="249">
        <f>$D$29</f>
        <v>0</v>
      </c>
      <c r="G29" s="268">
        <f>F29</f>
        <v>0</v>
      </c>
      <c r="H29" s="268"/>
      <c r="I29" s="249"/>
      <c r="J29" s="269"/>
    </row>
    <row r="30" spans="1:12" ht="19.5" customHeight="1" thickBot="1" x14ac:dyDescent="0.3">
      <c r="A30" s="585" t="s">
        <v>456</v>
      </c>
      <c r="B30" s="585"/>
      <c r="C30" s="585"/>
      <c r="D30" s="585"/>
      <c r="E30" s="585"/>
      <c r="F30" s="279">
        <f>SUM(F19:F29)</f>
        <v>623.96</v>
      </c>
      <c r="G30" s="279">
        <f>SUM(G19:G29)</f>
        <v>623.96</v>
      </c>
      <c r="H30" s="279">
        <f>SUM(H19:H29)</f>
        <v>510.4</v>
      </c>
      <c r="I30" s="279">
        <f>SUM(I19:I29)</f>
        <v>108.29</v>
      </c>
      <c r="J30" s="280">
        <f>SUM(J19:J29)</f>
        <v>0</v>
      </c>
    </row>
    <row r="31" spans="1:12" ht="19.5" customHeight="1" x14ac:dyDescent="0.25">
      <c r="A31" s="585" t="s">
        <v>457</v>
      </c>
      <c r="B31" s="585"/>
      <c r="C31" s="585"/>
      <c r="D31" s="585"/>
      <c r="E31" s="585"/>
      <c r="F31" s="279">
        <f>F16+F30</f>
        <v>4006.7299999999996</v>
      </c>
      <c r="G31" s="279">
        <f>G16+G30</f>
        <v>4006.7299999999996</v>
      </c>
      <c r="H31" s="279">
        <f>H16+H30</f>
        <v>510.4</v>
      </c>
      <c r="I31" s="279">
        <f>I16+I30</f>
        <v>108.29</v>
      </c>
      <c r="J31" s="280">
        <f>J16+J30</f>
        <v>0</v>
      </c>
    </row>
    <row r="32" spans="1:12" ht="19.5" customHeight="1" x14ac:dyDescent="0.25">
      <c r="A32" s="572" t="s">
        <v>458</v>
      </c>
      <c r="B32" s="572"/>
      <c r="C32" s="572"/>
      <c r="D32" s="572"/>
      <c r="E32" s="572"/>
      <c r="F32" s="572"/>
      <c r="G32" s="572"/>
      <c r="H32" s="572"/>
      <c r="I32" s="572"/>
      <c r="J32" s="572"/>
    </row>
    <row r="33" spans="1:12" ht="19.5" customHeight="1" x14ac:dyDescent="0.25">
      <c r="A33" s="581" t="s">
        <v>459</v>
      </c>
      <c r="B33" s="581"/>
      <c r="C33" s="581"/>
      <c r="D33" s="216" t="s">
        <v>460</v>
      </c>
      <c r="E33" s="586" t="s">
        <v>426</v>
      </c>
      <c r="F33" s="586"/>
      <c r="G33" s="586"/>
      <c r="H33" s="586"/>
      <c r="I33" s="586"/>
      <c r="J33" s="586"/>
    </row>
    <row r="34" spans="1:12" ht="19.5" customHeight="1" x14ac:dyDescent="0.25">
      <c r="A34" s="286" t="s">
        <v>461</v>
      </c>
      <c r="B34" s="287"/>
      <c r="C34" s="287"/>
      <c r="D34" s="270">
        <f>Dados!$G$43</f>
        <v>0.03</v>
      </c>
      <c r="E34" s="288"/>
      <c r="F34" s="268">
        <f>ROUND((F31*$D$34),2)</f>
        <v>120.2</v>
      </c>
      <c r="G34" s="268">
        <f>ROUND((G31*$D$34),2)</f>
        <v>120.2</v>
      </c>
      <c r="H34" s="268">
        <f>ROUND((H31*$D$34),2)</f>
        <v>15.31</v>
      </c>
      <c r="I34" s="268">
        <f>ROUND((I31*$D$34),2)</f>
        <v>3.25</v>
      </c>
      <c r="J34" s="269">
        <f>ROUND((J31*$D$34),2)</f>
        <v>0</v>
      </c>
    </row>
    <row r="35" spans="1:12" ht="19.5" customHeight="1" x14ac:dyDescent="0.25">
      <c r="A35" s="587" t="s">
        <v>462</v>
      </c>
      <c r="B35" s="587"/>
      <c r="C35" s="587"/>
      <c r="D35" s="270"/>
      <c r="E35" s="288"/>
      <c r="F35" s="268">
        <f>F31+F34</f>
        <v>4126.9299999999994</v>
      </c>
      <c r="G35" s="268">
        <f>G31+G34</f>
        <v>4126.9299999999994</v>
      </c>
      <c r="H35" s="268">
        <f>H31+H34</f>
        <v>525.70999999999992</v>
      </c>
      <c r="I35" s="268">
        <f>I31+I34</f>
        <v>111.54</v>
      </c>
      <c r="J35" s="269">
        <f>J31+J34</f>
        <v>0</v>
      </c>
    </row>
    <row r="36" spans="1:12" ht="19.5" customHeight="1" x14ac:dyDescent="0.25">
      <c r="A36" s="289" t="s">
        <v>218</v>
      </c>
      <c r="B36" s="290"/>
      <c r="C36" s="290"/>
      <c r="D36" s="272">
        <f>Dados!$G$44</f>
        <v>6.7900000000000002E-2</v>
      </c>
      <c r="E36" s="291"/>
      <c r="F36" s="274">
        <f>ROUND((F35*$D$36),2)</f>
        <v>280.22000000000003</v>
      </c>
      <c r="G36" s="274">
        <f>ROUND((G35*$D$36),2)</f>
        <v>280.22000000000003</v>
      </c>
      <c r="H36" s="274">
        <f>ROUND((H35*$D$36),2)</f>
        <v>35.700000000000003</v>
      </c>
      <c r="I36" s="274">
        <f>ROUND((I35*$D$36),2)</f>
        <v>7.57</v>
      </c>
      <c r="J36" s="275">
        <f>ROUND((J35*$D$36),2)</f>
        <v>0</v>
      </c>
    </row>
    <row r="37" spans="1:12" ht="19.5" customHeight="1" x14ac:dyDescent="0.25">
      <c r="A37" s="292" t="s">
        <v>463</v>
      </c>
      <c r="B37" s="293"/>
      <c r="C37" s="293"/>
      <c r="D37" s="294">
        <f>SUM(D34:D36)</f>
        <v>9.7900000000000001E-2</v>
      </c>
      <c r="E37" s="295"/>
      <c r="F37" s="279">
        <f>F34+F36</f>
        <v>400.42</v>
      </c>
      <c r="G37" s="279">
        <f>G34+G36</f>
        <v>400.42</v>
      </c>
      <c r="H37" s="279">
        <f>H34+H36</f>
        <v>51.010000000000005</v>
      </c>
      <c r="I37" s="279">
        <f>I34+I36</f>
        <v>10.82</v>
      </c>
      <c r="J37" s="280">
        <f>J34+J36</f>
        <v>0</v>
      </c>
    </row>
    <row r="38" spans="1:12" ht="19.5" customHeight="1" x14ac:dyDescent="0.25">
      <c r="A38" s="588" t="s">
        <v>464</v>
      </c>
      <c r="B38" s="588"/>
      <c r="C38" s="588"/>
      <c r="D38" s="588"/>
      <c r="E38" s="588"/>
      <c r="F38" s="296">
        <f>F31+F37</f>
        <v>4407.1499999999996</v>
      </c>
      <c r="G38" s="296">
        <f>G31+G37</f>
        <v>4407.1499999999996</v>
      </c>
      <c r="H38" s="296">
        <f>H31+H37</f>
        <v>561.41</v>
      </c>
      <c r="I38" s="296">
        <f>I31+I37</f>
        <v>119.11000000000001</v>
      </c>
      <c r="J38" s="297">
        <f>J31+J37</f>
        <v>0</v>
      </c>
    </row>
    <row r="39" spans="1:12" ht="19.5" customHeight="1" x14ac:dyDescent="0.25">
      <c r="A39" s="589" t="s">
        <v>465</v>
      </c>
      <c r="B39" s="589"/>
      <c r="C39" s="589"/>
      <c r="D39" s="589"/>
      <c r="E39" s="589"/>
      <c r="F39" s="589"/>
      <c r="G39" s="589"/>
      <c r="H39" s="589"/>
      <c r="I39" s="589"/>
      <c r="J39" s="589"/>
    </row>
    <row r="40" spans="1:12" ht="19.5" customHeight="1" x14ac:dyDescent="0.25">
      <c r="A40" s="566" t="s">
        <v>224</v>
      </c>
      <c r="B40" s="566"/>
      <c r="C40" s="566"/>
      <c r="D40" s="270">
        <f>Dados!G51</f>
        <v>7.5999999999999998E-2</v>
      </c>
      <c r="E40" s="268"/>
      <c r="F40" s="268">
        <f>ROUND(($F$46*D40),2)</f>
        <v>390.6</v>
      </c>
      <c r="G40" s="268">
        <f>ROUND((G46*$D$40),2)</f>
        <v>390.6</v>
      </c>
      <c r="H40" s="268">
        <f>ROUND((H46*$D$40),2)</f>
        <v>49.76</v>
      </c>
      <c r="I40" s="268">
        <f>ROUND((I46*$D$40),2)</f>
        <v>10.56</v>
      </c>
      <c r="J40" s="269">
        <f>ROUND((J46*$D$40),2)</f>
        <v>0</v>
      </c>
    </row>
    <row r="41" spans="1:12" ht="19.5" customHeight="1" x14ac:dyDescent="0.25">
      <c r="A41" s="566" t="s">
        <v>226</v>
      </c>
      <c r="B41" s="566"/>
      <c r="C41" s="566"/>
      <c r="D41" s="270">
        <f>Dados!G52</f>
        <v>1.6500000000000001E-2</v>
      </c>
      <c r="E41" s="268"/>
      <c r="F41" s="268">
        <f>ROUND((F46*$D$41),2)</f>
        <v>84.8</v>
      </c>
      <c r="G41" s="268">
        <f>ROUND((G46*$D$41),2)</f>
        <v>84.8</v>
      </c>
      <c r="H41" s="268">
        <f>ROUND((H46*$D$41),2)</f>
        <v>10.8</v>
      </c>
      <c r="I41" s="268">
        <f>ROUND((I46*$D$41),2)</f>
        <v>2.29</v>
      </c>
      <c r="J41" s="269">
        <f>ROUND((J46*$D$41),2)</f>
        <v>0</v>
      </c>
    </row>
    <row r="42" spans="1:12" ht="19.5" customHeight="1" x14ac:dyDescent="0.25">
      <c r="A42" s="566" t="str">
        <f>Dados!B53</f>
        <v>ISSQN - Limpeza e Conservação</v>
      </c>
      <c r="B42" s="566"/>
      <c r="C42" s="566"/>
      <c r="D42" s="270">
        <v>0</v>
      </c>
      <c r="E42" s="268"/>
      <c r="F42" s="268">
        <f>ROUND((F46*$D$42),2)</f>
        <v>0</v>
      </c>
      <c r="G42" s="268">
        <f>ROUND((G46*$D$42),2)</f>
        <v>0</v>
      </c>
      <c r="H42" s="268">
        <f>ROUND((H46*$D$42),2)</f>
        <v>0</v>
      </c>
      <c r="I42" s="268">
        <f>ROUND((I46*$D$42),2)</f>
        <v>0</v>
      </c>
      <c r="J42" s="269">
        <f>ROUND((J46*$D$42),2)</f>
        <v>0</v>
      </c>
    </row>
    <row r="43" spans="1:12" ht="19.5" customHeight="1" x14ac:dyDescent="0.25">
      <c r="A43" s="566" t="str">
        <f>Dados!B54</f>
        <v>ISSQN - Serviços Administrativos</v>
      </c>
      <c r="B43" s="566"/>
      <c r="C43" s="566"/>
      <c r="D43" s="270">
        <f>Dados!G54</f>
        <v>0.05</v>
      </c>
      <c r="E43" s="268"/>
      <c r="F43" s="268">
        <f>ROUND((F46*$D$43),2)</f>
        <v>256.98</v>
      </c>
      <c r="G43" s="268">
        <f>ROUND((G46*$D$43),2)</f>
        <v>256.98</v>
      </c>
      <c r="H43" s="268">
        <f>ROUND((H46*$D$43),2)</f>
        <v>32.74</v>
      </c>
      <c r="I43" s="268">
        <f>ROUND((I46*$D$43),2)</f>
        <v>6.95</v>
      </c>
      <c r="J43" s="269">
        <f>ROUND((J46*$D$43),2)</f>
        <v>0</v>
      </c>
    </row>
    <row r="44" spans="1:12" ht="19.5" customHeight="1" x14ac:dyDescent="0.25">
      <c r="A44" s="591" t="s">
        <v>466</v>
      </c>
      <c r="B44" s="591"/>
      <c r="C44" s="591"/>
      <c r="D44" s="298">
        <f>SUM(D40:D43)</f>
        <v>0.14250000000000002</v>
      </c>
      <c r="E44" s="299"/>
      <c r="F44" s="300">
        <f>SUM(F40:F43)</f>
        <v>732.38000000000011</v>
      </c>
      <c r="G44" s="300">
        <f>SUM(G40:G43)</f>
        <v>732.38000000000011</v>
      </c>
      <c r="H44" s="300">
        <f>SUM(H40:H43)</f>
        <v>93.300000000000011</v>
      </c>
      <c r="I44" s="300">
        <f>SUM(I40:I43)</f>
        <v>19.8</v>
      </c>
      <c r="J44" s="301">
        <f>SUM(J40:J42)</f>
        <v>0</v>
      </c>
    </row>
    <row r="45" spans="1:12" ht="19.5" customHeight="1" x14ac:dyDescent="0.25">
      <c r="A45" s="592" t="str">
        <f>CONCATENATE("Custo Mensal - ",A7)</f>
        <v>Custo Mensal - Auxiliar Administrativo com Acúmulo de função de Mensageiro</v>
      </c>
      <c r="B45" s="592"/>
      <c r="C45" s="592"/>
      <c r="D45" s="592"/>
      <c r="E45" s="592"/>
      <c r="F45" s="302">
        <f>ROUND(F38/(1-D44),2)</f>
        <v>5139.53</v>
      </c>
      <c r="G45" s="302">
        <f>ROUND(G38/(1-D44),2)</f>
        <v>5139.53</v>
      </c>
      <c r="H45" s="302">
        <f>ROUND(H38/(1-D44),2)</f>
        <v>654.71</v>
      </c>
      <c r="I45" s="302">
        <f>ROUND(I38/(1-D44),2)</f>
        <v>138.9</v>
      </c>
      <c r="J45" s="303">
        <f>ROUND(J38/(1-D44),2)</f>
        <v>0</v>
      </c>
    </row>
    <row r="46" spans="1:12" ht="19.5" customHeight="1" x14ac:dyDescent="0.25">
      <c r="A46" s="592" t="str">
        <f>CONCATENATE("Valor do Custo Mensal - ",A7)</f>
        <v>Valor do Custo Mensal - Auxiliar Administrativo com Acúmulo de função de Mensageiro</v>
      </c>
      <c r="B46" s="592"/>
      <c r="C46" s="592"/>
      <c r="D46" s="592"/>
      <c r="E46" s="592"/>
      <c r="F46" s="302">
        <f>F45</f>
        <v>5139.53</v>
      </c>
      <c r="G46" s="302">
        <f>G45</f>
        <v>5139.53</v>
      </c>
      <c r="H46" s="302">
        <f>H45</f>
        <v>654.71</v>
      </c>
      <c r="I46" s="302">
        <f>I45</f>
        <v>138.9</v>
      </c>
      <c r="J46" s="303">
        <f>J45</f>
        <v>0</v>
      </c>
      <c r="K46" s="304"/>
      <c r="L46" s="304"/>
    </row>
    <row r="47" spans="1:12" ht="27.75" customHeight="1" x14ac:dyDescent="0.25">
      <c r="A47" s="593" t="s">
        <v>467</v>
      </c>
      <c r="B47" s="593"/>
      <c r="C47" s="593"/>
      <c r="D47" s="593"/>
      <c r="E47" s="593"/>
      <c r="F47" s="305">
        <f>(F46/F14)</f>
        <v>2.6800909436972993</v>
      </c>
      <c r="G47" s="305">
        <f>(G46/G14)</f>
        <v>2.6800909436972993</v>
      </c>
      <c r="H47" s="590" t="s">
        <v>468</v>
      </c>
      <c r="I47" s="590"/>
      <c r="J47" s="306">
        <v>0</v>
      </c>
    </row>
    <row r="48" spans="1:12" ht="19.5" customHeight="1" x14ac:dyDescent="0.25"/>
  </sheetData>
  <sheetProtection algorithmName="SHA-512" hashValue="zy1v63RBlRtdsv9KZkOaA6AT6yJo8jhowg6uQoCvOlNpPzYrcD479wVkpbUu09vh36ughfJ2u8PiFjJs4sJ85A==" saltValue="VJjLAINllI64BYhHFtghLQ==" spinCount="100000" sheet="1" objects="1" scenarios="1"/>
  <mergeCells count="51">
    <mergeCell ref="A39:J39"/>
    <mergeCell ref="A40:C40"/>
    <mergeCell ref="A41:C41"/>
    <mergeCell ref="A42:C42"/>
    <mergeCell ref="H47:I47"/>
    <mergeCell ref="A43:C43"/>
    <mergeCell ref="A44:C44"/>
    <mergeCell ref="A45:E45"/>
    <mergeCell ref="A46:E46"/>
    <mergeCell ref="A47:E47"/>
    <mergeCell ref="A32:J32"/>
    <mergeCell ref="A33:C33"/>
    <mergeCell ref="E33:J33"/>
    <mergeCell ref="A35:C35"/>
    <mergeCell ref="A38:E38"/>
    <mergeCell ref="A28:B28"/>
    <mergeCell ref="A29:B29"/>
    <mergeCell ref="A27:B27"/>
    <mergeCell ref="A30:E30"/>
    <mergeCell ref="A31:E31"/>
    <mergeCell ref="A19:B19"/>
    <mergeCell ref="A20:B20"/>
    <mergeCell ref="A21:B21"/>
    <mergeCell ref="A22:B22"/>
    <mergeCell ref="A23:B23"/>
    <mergeCell ref="A16:E16"/>
    <mergeCell ref="A17:J17"/>
    <mergeCell ref="A18:B18"/>
    <mergeCell ref="D18:E18"/>
    <mergeCell ref="F18:J18"/>
    <mergeCell ref="A11:A15"/>
    <mergeCell ref="B11:C11"/>
    <mergeCell ref="B12:C12"/>
    <mergeCell ref="B14:E14"/>
    <mergeCell ref="B15:D15"/>
    <mergeCell ref="A24:B24"/>
    <mergeCell ref="A25:B25"/>
    <mergeCell ref="A26:B26"/>
    <mergeCell ref="A4:J4"/>
    <mergeCell ref="A5:J5"/>
    <mergeCell ref="A6:J6"/>
    <mergeCell ref="A7:E7"/>
    <mergeCell ref="F7:F8"/>
    <mergeCell ref="G7:G8"/>
    <mergeCell ref="H7:H8"/>
    <mergeCell ref="I7:I8"/>
    <mergeCell ref="J7:J8"/>
    <mergeCell ref="A8:D8"/>
    <mergeCell ref="A9:J9"/>
    <mergeCell ref="B10:C10"/>
    <mergeCell ref="F10:J10"/>
  </mergeCells>
  <printOptions horizontalCentered="1" verticalCentered="1"/>
  <pageMargins left="0.51180555555555596" right="0.51180555555555596" top="0.78749999999999998" bottom="0.78749999999999998" header="0.511811023622047" footer="0.511811023622047"/>
  <pageSetup paperSize="9" scale="60" fitToHeight="2"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242</TotalTime>
  <Application>Microsoft Excel</Application>
  <DocSecurity>0</DocSecurity>
  <ScaleCrop>false</ScaleCrop>
  <HeadingPairs>
    <vt:vector size="4" baseType="variant">
      <vt:variant>
        <vt:lpstr>Planilhas</vt:lpstr>
      </vt:variant>
      <vt:variant>
        <vt:i4>14</vt:i4>
      </vt:variant>
      <vt:variant>
        <vt:lpstr>Intervalos Nomeados</vt:lpstr>
      </vt:variant>
      <vt:variant>
        <vt:i4>14</vt:i4>
      </vt:variant>
    </vt:vector>
  </HeadingPairs>
  <TitlesOfParts>
    <vt:vector size="28" baseType="lpstr">
      <vt:lpstr>Ocorrências Mensais - FAT</vt:lpstr>
      <vt:lpstr>INSTRUÇÕES</vt:lpstr>
      <vt:lpstr>Dados</vt:lpstr>
      <vt:lpstr>Encargos</vt:lpstr>
      <vt:lpstr>Insumos</vt:lpstr>
      <vt:lpstr>EPI</vt:lpstr>
      <vt:lpstr>Equipamentos</vt:lpstr>
      <vt:lpstr>Resumo</vt:lpstr>
      <vt:lpstr>Auxiliar Adm - Mensageiro</vt:lpstr>
      <vt:lpstr>Servente - Copeira</vt:lpstr>
      <vt:lpstr>Servente Insalubre</vt:lpstr>
      <vt:lpstr>Zelador</vt:lpstr>
      <vt:lpstr>Custo Estimado Substituto</vt:lpstr>
      <vt:lpstr>IPCA</vt:lpstr>
      <vt:lpstr>'Auxiliar Adm - Mensageiro'!Area_de_impressao</vt:lpstr>
      <vt:lpstr>Dados!Area_de_impressao</vt:lpstr>
      <vt:lpstr>Encargos!Area_de_impressao</vt:lpstr>
      <vt:lpstr>Insumos!Area_de_impressao</vt:lpstr>
      <vt:lpstr>'Servente - Copeira'!Area_de_impressao</vt:lpstr>
      <vt:lpstr>'Servente Insalubre'!Area_de_impressao</vt:lpstr>
      <vt:lpstr>Zelador!Area_de_impressao</vt:lpstr>
      <vt:lpstr>'Auxiliar Adm - Mensageiro'!Print_Area_0</vt:lpstr>
      <vt:lpstr>Dados!Print_Area_0</vt:lpstr>
      <vt:lpstr>Encargos!Print_Area_0</vt:lpstr>
      <vt:lpstr>Insumos!Print_Area_0</vt:lpstr>
      <vt:lpstr>'Servente - Copeira'!Print_Area_0</vt:lpstr>
      <vt:lpstr>'Servente Insalubre'!Print_Area_0</vt:lpstr>
      <vt:lpstr>Zelador!Print_Area_0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Fábio Lucas Gouveia dos Santos</dc:creator>
  <dc:description/>
  <cp:lastModifiedBy>Rafaella Ramos</cp:lastModifiedBy>
  <cp:revision>38</cp:revision>
  <dcterms:created xsi:type="dcterms:W3CDTF">2015-06-05T18:17:20Z</dcterms:created>
  <dcterms:modified xsi:type="dcterms:W3CDTF">2026-01-20T14:49:41Z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ProgId">
    <vt:lpwstr>Excel.Sheet</vt:lpwstr>
  </property>
  <property fmtid="{D5CDD505-2E9C-101B-9397-08002B2CF9AE}" pid="5" name="ScaleCrop">
    <vt:bool>false</vt:bool>
  </property>
  <property fmtid="{D5CDD505-2E9C-101B-9397-08002B2CF9AE}" pid="6" name="ShareDoc">
    <vt:bool>false</vt:bool>
  </property>
</Properties>
</file>