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_de_trabalho" defaultThemeVersion="166925"/>
  <mc:AlternateContent xmlns:mc="http://schemas.openxmlformats.org/markup-compatibility/2006">
    <mc:Choice Requires="x15">
      <x15ac:absPath xmlns:x15ac="http://schemas.microsoft.com/office/spreadsheetml/2010/11/ac" url="C:\Users\MG199603\Downloads\"/>
    </mc:Choice>
  </mc:AlternateContent>
  <xr:revisionPtr revIDLastSave="0" documentId="13_ncr:1_{C07173A6-84D9-4B3E-A3B0-B83CF3FE213C}" xr6:coauthVersionLast="47" xr6:coauthVersionMax="47" xr10:uidLastSave="{00000000-0000-0000-0000-000000000000}"/>
  <bookViews>
    <workbookView xWindow="-120" yWindow="-120" windowWidth="29040" windowHeight="15720" tabRatio="671" xr2:uid="{00000000-000D-0000-FFFF-FFFF00000000}"/>
  </bookViews>
  <sheets>
    <sheet name="1.RESUMO" sheetId="1" r:id="rId1"/>
    <sheet name="2.ORCAMENTO" sheetId="41" r:id="rId2"/>
    <sheet name="3.BDI COM DESONER." sheetId="44" r:id="rId3"/>
    <sheet name="4.LEIS SOCIAIS" sheetId="21" r:id="rId4"/>
    <sheet name="5.CRONOGRAMA" sheetId="6" r:id="rId5"/>
    <sheet name="ORC SEDES" sheetId="43" state="hidden" r:id="rId6"/>
    <sheet name="ORC GALPÃO" sheetId="42" state="hidden" r:id="rId7"/>
  </sheets>
  <externalReferences>
    <externalReference r:id="rId8"/>
  </externalReferences>
  <definedNames>
    <definedName name="_xlnm._FilterDatabase" localSheetId="4" hidden="1">'5.CRONOGRAMA'!$E$4:$J$21</definedName>
    <definedName name="_xlnm.Print_Area" localSheetId="0">'1.RESUMO'!$A$4:$D$36</definedName>
    <definedName name="_xlnm.Print_Area" localSheetId="1">'2.ORCAMENTO'!$A$1:$M$183</definedName>
    <definedName name="_xlnm.Print_Area" localSheetId="2">'3.BDI COM DESONER.'!$A$1:$N$49</definedName>
    <definedName name="_xlnm.Print_Area" localSheetId="3">'4.LEIS SOCIAIS'!$A$1:$D$45</definedName>
    <definedName name="_xlnm.Print_Area" localSheetId="4">'5.CRONOGRAMA'!$A$1:$J$43</definedName>
    <definedName name="_xlnm.Print_Area" localSheetId="6">'ORC GALPÃO'!$A$1:$M$73</definedName>
    <definedName name="_xlnm.Print_Area" localSheetId="5">'ORC SEDES'!$A$1:$M$116</definedName>
    <definedName name="Área_impressão_IM">'[1]LEV-EST'!$A$1:$J$40</definedName>
    <definedName name="_xlnm.Print_Titles" localSheetId="1">'2.ORCAMENTO'!$1:$5</definedName>
    <definedName name="_xlnm.Print_Titles" localSheetId="4">'5.CRONOGRAMA'!$1:$4</definedName>
    <definedName name="_xlnm.Print_Titles" localSheetId="6">'ORC GALPÃO'!$1:$5</definedName>
    <definedName name="_xlnm.Print_Titles" localSheetId="5">'ORC SEDES'!$1:$5</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41" l="1"/>
  <c r="M33" i="41" s="1"/>
  <c r="K33" i="41"/>
  <c r="J34" i="41"/>
  <c r="M34" i="41" s="1"/>
  <c r="L34" i="41" s="1"/>
  <c r="K34" i="41"/>
  <c r="J22" i="41"/>
  <c r="M22" i="41" s="1"/>
  <c r="L22" i="41" s="1"/>
  <c r="K22" i="41"/>
  <c r="J23" i="41"/>
  <c r="M23" i="41" s="1"/>
  <c r="K23" i="41"/>
  <c r="J24" i="41"/>
  <c r="M24" i="41" s="1"/>
  <c r="K24" i="41"/>
  <c r="J25" i="41"/>
  <c r="M25" i="41" s="1"/>
  <c r="K25" i="41"/>
  <c r="J26" i="41"/>
  <c r="M26" i="41" s="1"/>
  <c r="K26" i="41"/>
  <c r="J27" i="41"/>
  <c r="M27" i="41" s="1"/>
  <c r="L27" i="41" s="1"/>
  <c r="K27" i="41"/>
  <c r="J28" i="41"/>
  <c r="K28" i="41"/>
  <c r="M28" i="41"/>
  <c r="J29" i="41"/>
  <c r="K29" i="41"/>
  <c r="M29" i="41"/>
  <c r="L29" i="41" s="1"/>
  <c r="J30" i="41"/>
  <c r="M30" i="41" s="1"/>
  <c r="K30" i="41"/>
  <c r="N116" i="43"/>
  <c r="N115" i="43"/>
  <c r="N114" i="43"/>
  <c r="B5" i="21"/>
  <c r="D45" i="21"/>
  <c r="C45" i="21"/>
  <c r="B6" i="21"/>
  <c r="E35" i="44"/>
  <c r="F32" i="44" s="1"/>
  <c r="C37" i="44" s="1"/>
  <c r="E34" i="44"/>
  <c r="E33" i="44"/>
  <c r="L33" i="41" l="1"/>
  <c r="L26" i="41"/>
  <c r="L25" i="41"/>
  <c r="L24" i="41"/>
  <c r="L30" i="41"/>
  <c r="L23" i="41"/>
  <c r="L28" i="41"/>
  <c r="L30" i="6"/>
  <c r="L26" i="6"/>
  <c r="L22" i="6"/>
  <c r="J10" i="6"/>
  <c r="I10" i="6"/>
  <c r="H10" i="6"/>
  <c r="G10" i="6"/>
  <c r="F10" i="6"/>
  <c r="E10" i="6"/>
  <c r="B17" i="1"/>
  <c r="B30" i="6" s="1"/>
  <c r="B16" i="1"/>
  <c r="B26" i="6" s="1"/>
  <c r="B15" i="1"/>
  <c r="B22" i="6" s="1"/>
  <c r="B14" i="1"/>
  <c r="B18" i="6" s="1"/>
  <c r="B13" i="1"/>
  <c r="B14" i="6" s="1"/>
  <c r="B12" i="1"/>
  <c r="B10" i="6" s="1"/>
  <c r="B11" i="1"/>
  <c r="B6" i="6" s="1"/>
  <c r="B7" i="1"/>
  <c r="B4" i="21" s="1"/>
  <c r="I7" i="41"/>
  <c r="H7" i="41"/>
  <c r="G7" i="41"/>
  <c r="I10" i="41"/>
  <c r="H10" i="41"/>
  <c r="G10" i="41"/>
  <c r="F8" i="41"/>
  <c r="K8" i="41" s="1"/>
  <c r="I178" i="41"/>
  <c r="H178" i="41"/>
  <c r="K178" i="41" s="1"/>
  <c r="G178" i="41"/>
  <c r="J178" i="41" s="1"/>
  <c r="M178" i="41" s="1"/>
  <c r="K176" i="41"/>
  <c r="J176" i="41"/>
  <c r="M176" i="41" s="1"/>
  <c r="K174" i="41"/>
  <c r="J174" i="41"/>
  <c r="M174" i="41" s="1"/>
  <c r="K173" i="41"/>
  <c r="J173" i="41"/>
  <c r="M173" i="41" s="1"/>
  <c r="J152" i="41"/>
  <c r="M152" i="41" s="1"/>
  <c r="K152" i="41"/>
  <c r="J153" i="41"/>
  <c r="M153" i="41" s="1"/>
  <c r="K153" i="41"/>
  <c r="J154" i="41"/>
  <c r="M154" i="41" s="1"/>
  <c r="K154" i="41"/>
  <c r="J155" i="41"/>
  <c r="M155" i="41" s="1"/>
  <c r="K155" i="41"/>
  <c r="J156" i="41"/>
  <c r="M156" i="41" s="1"/>
  <c r="K156" i="41"/>
  <c r="J157" i="41"/>
  <c r="M157" i="41" s="1"/>
  <c r="K157" i="41"/>
  <c r="J158" i="41"/>
  <c r="M158" i="41" s="1"/>
  <c r="K158" i="41"/>
  <c r="J159" i="41"/>
  <c r="M159" i="41" s="1"/>
  <c r="K159" i="41"/>
  <c r="J160" i="41"/>
  <c r="M160" i="41" s="1"/>
  <c r="K160" i="41"/>
  <c r="J161" i="41"/>
  <c r="M161" i="41" s="1"/>
  <c r="K161" i="41"/>
  <c r="J162" i="41"/>
  <c r="M162" i="41" s="1"/>
  <c r="K162" i="41"/>
  <c r="J163" i="41"/>
  <c r="M163" i="41" s="1"/>
  <c r="K163" i="41"/>
  <c r="J164" i="41"/>
  <c r="M164" i="41" s="1"/>
  <c r="K164" i="41"/>
  <c r="J165" i="41"/>
  <c r="M165" i="41" s="1"/>
  <c r="K165" i="41"/>
  <c r="J166" i="41"/>
  <c r="M166" i="41" s="1"/>
  <c r="K166" i="41"/>
  <c r="J167" i="41"/>
  <c r="M167" i="41" s="1"/>
  <c r="K167" i="41"/>
  <c r="J168" i="41"/>
  <c r="M168" i="41" s="1"/>
  <c r="K168" i="41"/>
  <c r="J169" i="41"/>
  <c r="M169" i="41" s="1"/>
  <c r="K169" i="41"/>
  <c r="J170" i="41"/>
  <c r="M170" i="41" s="1"/>
  <c r="K170" i="41"/>
  <c r="J171" i="41"/>
  <c r="M171" i="41" s="1"/>
  <c r="K171" i="41"/>
  <c r="K151" i="41"/>
  <c r="J151" i="41"/>
  <c r="M151" i="41" s="1"/>
  <c r="J146" i="41"/>
  <c r="M146" i="41" s="1"/>
  <c r="K146" i="41"/>
  <c r="J147" i="41"/>
  <c r="M147" i="41" s="1"/>
  <c r="K147" i="41"/>
  <c r="J148" i="41"/>
  <c r="M148" i="41" s="1"/>
  <c r="K148" i="41"/>
  <c r="J149" i="41"/>
  <c r="M149" i="41" s="1"/>
  <c r="K149" i="41"/>
  <c r="K145" i="41"/>
  <c r="J145" i="41"/>
  <c r="M145" i="41" s="1"/>
  <c r="J143" i="41"/>
  <c r="M143" i="41" s="1"/>
  <c r="K143" i="41"/>
  <c r="J137" i="41"/>
  <c r="M137" i="41" s="1"/>
  <c r="K137" i="41"/>
  <c r="J138" i="41"/>
  <c r="M138" i="41" s="1"/>
  <c r="K138" i="41"/>
  <c r="J139" i="41"/>
  <c r="M139" i="41" s="1"/>
  <c r="K139" i="41"/>
  <c r="J140" i="41"/>
  <c r="M140" i="41" s="1"/>
  <c r="K140" i="41"/>
  <c r="J141" i="41"/>
  <c r="M141" i="41" s="1"/>
  <c r="K141" i="41"/>
  <c r="J142" i="41"/>
  <c r="M142" i="41" s="1"/>
  <c r="K142" i="41"/>
  <c r="K136" i="41"/>
  <c r="J136" i="41"/>
  <c r="M136" i="41" s="1"/>
  <c r="J131" i="41"/>
  <c r="M131" i="41" s="1"/>
  <c r="K131" i="41"/>
  <c r="J132" i="41"/>
  <c r="M132" i="41" s="1"/>
  <c r="K132" i="41"/>
  <c r="J133" i="41"/>
  <c r="M133" i="41" s="1"/>
  <c r="K133" i="41"/>
  <c r="J134" i="41"/>
  <c r="M134" i="41" s="1"/>
  <c r="K134" i="41"/>
  <c r="K130" i="41"/>
  <c r="J130" i="41"/>
  <c r="M130" i="41" s="1"/>
  <c r="J127" i="41"/>
  <c r="M127" i="41" s="1"/>
  <c r="K127" i="41"/>
  <c r="J128" i="41"/>
  <c r="M128" i="41" s="1"/>
  <c r="K128" i="41"/>
  <c r="K126" i="41"/>
  <c r="J126" i="41"/>
  <c r="M126" i="41" s="1"/>
  <c r="K124" i="41"/>
  <c r="K123" i="41"/>
  <c r="K122" i="41"/>
  <c r="J124" i="41"/>
  <c r="M124" i="41" s="1"/>
  <c r="J123" i="41"/>
  <c r="M123" i="41" s="1"/>
  <c r="J122" i="41"/>
  <c r="M122" i="41" s="1"/>
  <c r="J119" i="41"/>
  <c r="M119" i="41" s="1"/>
  <c r="M118" i="41" s="1"/>
  <c r="J117" i="41"/>
  <c r="M117" i="41" s="1"/>
  <c r="J116" i="41"/>
  <c r="M116" i="41" s="1"/>
  <c r="J114" i="41"/>
  <c r="M114" i="41" s="1"/>
  <c r="J113" i="41"/>
  <c r="M113" i="41" s="1"/>
  <c r="J111" i="41"/>
  <c r="M111" i="41" s="1"/>
  <c r="J110" i="41"/>
  <c r="M110" i="41" s="1"/>
  <c r="J108" i="41"/>
  <c r="M108" i="41" s="1"/>
  <c r="M107" i="41" s="1"/>
  <c r="J106" i="41"/>
  <c r="M106" i="41" s="1"/>
  <c r="J105" i="41"/>
  <c r="M105" i="41" s="1"/>
  <c r="J104" i="41"/>
  <c r="M104" i="41" s="1"/>
  <c r="J103" i="41"/>
  <c r="M103" i="41" s="1"/>
  <c r="J102" i="41"/>
  <c r="M102" i="41" s="1"/>
  <c r="J101" i="41"/>
  <c r="M101" i="41" s="1"/>
  <c r="J100" i="41"/>
  <c r="M100" i="41" s="1"/>
  <c r="J98" i="41"/>
  <c r="M98" i="41" s="1"/>
  <c r="M97" i="41" s="1"/>
  <c r="J96" i="41"/>
  <c r="M96" i="41" s="1"/>
  <c r="J95" i="41"/>
  <c r="M95" i="41" s="1"/>
  <c r="J94" i="41"/>
  <c r="M94" i="41" s="1"/>
  <c r="J93" i="41"/>
  <c r="M93" i="41" s="1"/>
  <c r="J91" i="41"/>
  <c r="M91" i="41" s="1"/>
  <c r="J90" i="41"/>
  <c r="M90" i="41" s="1"/>
  <c r="J89" i="41"/>
  <c r="M89" i="41" s="1"/>
  <c r="J86" i="41"/>
  <c r="M86" i="41" s="1"/>
  <c r="M85" i="41" s="1"/>
  <c r="J84" i="41"/>
  <c r="M84" i="41" s="1"/>
  <c r="J83" i="41"/>
  <c r="M83" i="41" s="1"/>
  <c r="J81" i="41"/>
  <c r="M81" i="41" s="1"/>
  <c r="J80" i="41"/>
  <c r="M80" i="41" s="1"/>
  <c r="J78" i="41"/>
  <c r="M78" i="41" s="1"/>
  <c r="J77" i="41"/>
  <c r="M77" i="41" s="1"/>
  <c r="J75" i="41"/>
  <c r="M75" i="41" s="1"/>
  <c r="J74" i="41"/>
  <c r="M74" i="41" s="1"/>
  <c r="J73" i="41"/>
  <c r="M73" i="41" s="1"/>
  <c r="J72" i="41"/>
  <c r="M72" i="41" s="1"/>
  <c r="J71" i="41"/>
  <c r="M71" i="41" s="1"/>
  <c r="J70" i="41"/>
  <c r="M70" i="41" s="1"/>
  <c r="J68" i="41"/>
  <c r="M68" i="41" s="1"/>
  <c r="M67" i="41" s="1"/>
  <c r="J66" i="41"/>
  <c r="M66" i="41" s="1"/>
  <c r="J65" i="41"/>
  <c r="M65" i="41" s="1"/>
  <c r="J64" i="41"/>
  <c r="M64" i="41" s="1"/>
  <c r="J63" i="41"/>
  <c r="M63" i="41" s="1"/>
  <c r="J62" i="41"/>
  <c r="M62" i="41" s="1"/>
  <c r="J61" i="41"/>
  <c r="M61" i="41" s="1"/>
  <c r="J59" i="41"/>
  <c r="M59" i="41" s="1"/>
  <c r="J58" i="41"/>
  <c r="M58" i="41" s="1"/>
  <c r="J57" i="41"/>
  <c r="M57" i="41" s="1"/>
  <c r="J54" i="41"/>
  <c r="M54" i="41" s="1"/>
  <c r="M53" i="41" s="1"/>
  <c r="J52" i="41"/>
  <c r="M52" i="41" s="1"/>
  <c r="J51" i="41"/>
  <c r="M51" i="41" s="1"/>
  <c r="J49" i="41"/>
  <c r="M49" i="41" s="1"/>
  <c r="J48" i="41"/>
  <c r="M48" i="41" s="1"/>
  <c r="J46" i="41"/>
  <c r="M46" i="41" s="1"/>
  <c r="J45" i="41"/>
  <c r="M45" i="41" s="1"/>
  <c r="J43" i="41"/>
  <c r="M43" i="41" s="1"/>
  <c r="M42" i="41" s="1"/>
  <c r="J41" i="41"/>
  <c r="M41" i="41" s="1"/>
  <c r="J40" i="41"/>
  <c r="M40" i="41" s="1"/>
  <c r="J39" i="41"/>
  <c r="M39" i="41" s="1"/>
  <c r="J38" i="41"/>
  <c r="M38" i="41" s="1"/>
  <c r="J37" i="41"/>
  <c r="M37" i="41" s="1"/>
  <c r="J36" i="41"/>
  <c r="M36" i="41" s="1"/>
  <c r="J32" i="41"/>
  <c r="M32" i="41" s="1"/>
  <c r="M31" i="41" s="1"/>
  <c r="J18" i="41"/>
  <c r="M18" i="41" s="1"/>
  <c r="J19" i="41"/>
  <c r="M19" i="41" s="1"/>
  <c r="J20" i="41"/>
  <c r="M20" i="41" s="1"/>
  <c r="J21" i="41"/>
  <c r="M21" i="41" s="1"/>
  <c r="J17" i="41"/>
  <c r="M17" i="41" s="1"/>
  <c r="K17" i="41"/>
  <c r="J15" i="41"/>
  <c r="M15" i="41" s="1"/>
  <c r="J14" i="41"/>
  <c r="M14" i="41" s="1"/>
  <c r="J13" i="41"/>
  <c r="M13" i="41" s="1"/>
  <c r="K10" i="41"/>
  <c r="J10" i="41"/>
  <c r="M10" i="41" s="1"/>
  <c r="M9" i="41" s="1"/>
  <c r="C12" i="1" s="1"/>
  <c r="J8" i="41"/>
  <c r="J7" i="41"/>
  <c r="M7" i="41" s="1"/>
  <c r="M111" i="43"/>
  <c r="L111" i="43" s="1"/>
  <c r="K111" i="43"/>
  <c r="J111" i="43"/>
  <c r="K109" i="43"/>
  <c r="J109" i="43"/>
  <c r="M109" i="43" s="1"/>
  <c r="L109" i="43" s="1"/>
  <c r="K107" i="43"/>
  <c r="J107" i="43"/>
  <c r="M107" i="43" s="1"/>
  <c r="L107" i="43" s="1"/>
  <c r="K106" i="43"/>
  <c r="J106" i="43"/>
  <c r="M106" i="43" s="1"/>
  <c r="L106" i="43" s="1"/>
  <c r="M104" i="43"/>
  <c r="L104" i="43" s="1"/>
  <c r="K104" i="43"/>
  <c r="J104" i="43"/>
  <c r="K103" i="43"/>
  <c r="J103" i="43"/>
  <c r="M103" i="43" s="1"/>
  <c r="L103" i="43" s="1"/>
  <c r="K101" i="43"/>
  <c r="J101" i="43"/>
  <c r="M101" i="43" s="1"/>
  <c r="L101" i="43" s="1"/>
  <c r="K100" i="43"/>
  <c r="J100" i="43"/>
  <c r="M100" i="43" s="1"/>
  <c r="L100" i="43" s="1"/>
  <c r="M98" i="43"/>
  <c r="L98" i="43" s="1"/>
  <c r="K98" i="43"/>
  <c r="J98" i="43"/>
  <c r="K96" i="43"/>
  <c r="J96" i="43"/>
  <c r="M96" i="43" s="1"/>
  <c r="L96" i="43" s="1"/>
  <c r="K95" i="43"/>
  <c r="J95" i="43"/>
  <c r="M95" i="43" s="1"/>
  <c r="L95" i="43" s="1"/>
  <c r="K94" i="43"/>
  <c r="J94" i="43"/>
  <c r="M94" i="43" s="1"/>
  <c r="L94" i="43" s="1"/>
  <c r="M93" i="43"/>
  <c r="L93" i="43" s="1"/>
  <c r="K93" i="43"/>
  <c r="J93" i="43"/>
  <c r="K92" i="43"/>
  <c r="J92" i="43"/>
  <c r="M92" i="43" s="1"/>
  <c r="L92" i="43" s="1"/>
  <c r="K91" i="43"/>
  <c r="J91" i="43"/>
  <c r="M91" i="43" s="1"/>
  <c r="L91" i="43" s="1"/>
  <c r="K90" i="43"/>
  <c r="J90" i="43"/>
  <c r="M90" i="43" s="1"/>
  <c r="L90" i="43" s="1"/>
  <c r="M88" i="43"/>
  <c r="L88" i="43" s="1"/>
  <c r="K88" i="43"/>
  <c r="J88" i="43"/>
  <c r="K86" i="43"/>
  <c r="J86" i="43"/>
  <c r="M86" i="43" s="1"/>
  <c r="L86" i="43" s="1"/>
  <c r="K85" i="43"/>
  <c r="J85" i="43"/>
  <c r="M85" i="43" s="1"/>
  <c r="L85" i="43" s="1"/>
  <c r="K84" i="43"/>
  <c r="J84" i="43"/>
  <c r="M84" i="43" s="1"/>
  <c r="L84" i="43" s="1"/>
  <c r="M83" i="43"/>
  <c r="L83" i="43" s="1"/>
  <c r="K83" i="43"/>
  <c r="J83" i="43"/>
  <c r="K81" i="43"/>
  <c r="J81" i="43"/>
  <c r="M81" i="43" s="1"/>
  <c r="L81" i="43" s="1"/>
  <c r="K80" i="43"/>
  <c r="J80" i="43"/>
  <c r="M80" i="43" s="1"/>
  <c r="L80" i="43" s="1"/>
  <c r="K79" i="43"/>
  <c r="J79" i="43"/>
  <c r="M79" i="43" s="1"/>
  <c r="L79" i="43" s="1"/>
  <c r="M76" i="43"/>
  <c r="L76" i="43" s="1"/>
  <c r="K76" i="43"/>
  <c r="J76" i="43"/>
  <c r="K74" i="43"/>
  <c r="J74" i="43"/>
  <c r="M74" i="43" s="1"/>
  <c r="L74" i="43" s="1"/>
  <c r="K73" i="43"/>
  <c r="J73" i="43"/>
  <c r="M73" i="43" s="1"/>
  <c r="L73" i="43" s="1"/>
  <c r="K71" i="43"/>
  <c r="J71" i="43"/>
  <c r="M71" i="43" s="1"/>
  <c r="L71" i="43" s="1"/>
  <c r="M70" i="43"/>
  <c r="L70" i="43" s="1"/>
  <c r="K70" i="43"/>
  <c r="J70" i="43"/>
  <c r="K68" i="43"/>
  <c r="J68" i="43"/>
  <c r="M68" i="43" s="1"/>
  <c r="L68" i="43" s="1"/>
  <c r="K67" i="43"/>
  <c r="J67" i="43"/>
  <c r="M67" i="43" s="1"/>
  <c r="L67" i="43" s="1"/>
  <c r="K65" i="43"/>
  <c r="J65" i="43"/>
  <c r="M65" i="43" s="1"/>
  <c r="L65" i="43" s="1"/>
  <c r="M64" i="43"/>
  <c r="L64" i="43" s="1"/>
  <c r="K64" i="43"/>
  <c r="J64" i="43"/>
  <c r="K63" i="43"/>
  <c r="J63" i="43"/>
  <c r="M63" i="43" s="1"/>
  <c r="L63" i="43" s="1"/>
  <c r="K62" i="43"/>
  <c r="J62" i="43"/>
  <c r="M62" i="43" s="1"/>
  <c r="L62" i="43" s="1"/>
  <c r="K61" i="43"/>
  <c r="J61" i="43"/>
  <c r="M61" i="43" s="1"/>
  <c r="L61" i="43" s="1"/>
  <c r="M60" i="43"/>
  <c r="L60" i="43" s="1"/>
  <c r="K60" i="43"/>
  <c r="J60" i="43"/>
  <c r="K58" i="43"/>
  <c r="J58" i="43"/>
  <c r="M58" i="43" s="1"/>
  <c r="L58" i="43" s="1"/>
  <c r="K56" i="43"/>
  <c r="J56" i="43"/>
  <c r="M56" i="43" s="1"/>
  <c r="L56" i="43" s="1"/>
  <c r="K55" i="43"/>
  <c r="J55" i="43"/>
  <c r="M55" i="43" s="1"/>
  <c r="L55" i="43" s="1"/>
  <c r="M54" i="43"/>
  <c r="L54" i="43" s="1"/>
  <c r="K54" i="43"/>
  <c r="J54" i="43"/>
  <c r="K53" i="43"/>
  <c r="J53" i="43"/>
  <c r="M53" i="43" s="1"/>
  <c r="L53" i="43" s="1"/>
  <c r="K52" i="43"/>
  <c r="J52" i="43"/>
  <c r="M52" i="43" s="1"/>
  <c r="L52" i="43" s="1"/>
  <c r="K51" i="43"/>
  <c r="J51" i="43"/>
  <c r="M51" i="43" s="1"/>
  <c r="L51" i="43" s="1"/>
  <c r="M49" i="43"/>
  <c r="L49" i="43" s="1"/>
  <c r="K49" i="43"/>
  <c r="J49" i="43"/>
  <c r="K48" i="43"/>
  <c r="J48" i="43"/>
  <c r="M48" i="43" s="1"/>
  <c r="L48" i="43" s="1"/>
  <c r="K47" i="43"/>
  <c r="J47" i="43"/>
  <c r="M47" i="43" s="1"/>
  <c r="L47" i="43" s="1"/>
  <c r="K44" i="43"/>
  <c r="J44" i="43"/>
  <c r="M44" i="43" s="1"/>
  <c r="L44" i="43" s="1"/>
  <c r="M42" i="43"/>
  <c r="L42" i="43" s="1"/>
  <c r="K42" i="43"/>
  <c r="J42" i="43"/>
  <c r="K41" i="43"/>
  <c r="J41" i="43"/>
  <c r="M41" i="43" s="1"/>
  <c r="L41" i="43" s="1"/>
  <c r="K39" i="43"/>
  <c r="J39" i="43"/>
  <c r="M39" i="43" s="1"/>
  <c r="L39" i="43" s="1"/>
  <c r="K38" i="43"/>
  <c r="J38" i="43"/>
  <c r="M38" i="43" s="1"/>
  <c r="L38" i="43" s="1"/>
  <c r="M36" i="43"/>
  <c r="L36" i="43" s="1"/>
  <c r="K36" i="43"/>
  <c r="J36" i="43"/>
  <c r="K35" i="43"/>
  <c r="J35" i="43"/>
  <c r="M35" i="43" s="1"/>
  <c r="L35" i="43" s="1"/>
  <c r="K33" i="43"/>
  <c r="J33" i="43"/>
  <c r="M33" i="43" s="1"/>
  <c r="L33" i="43" s="1"/>
  <c r="K31" i="43"/>
  <c r="J31" i="43"/>
  <c r="M31" i="43" s="1"/>
  <c r="L31" i="43" s="1"/>
  <c r="M30" i="43"/>
  <c r="L30" i="43" s="1"/>
  <c r="K30" i="43"/>
  <c r="J30" i="43"/>
  <c r="K29" i="43"/>
  <c r="J29" i="43"/>
  <c r="M29" i="43" s="1"/>
  <c r="L29" i="43" s="1"/>
  <c r="K28" i="43"/>
  <c r="J28" i="43"/>
  <c r="M28" i="43" s="1"/>
  <c r="L28" i="43" s="1"/>
  <c r="K27" i="43"/>
  <c r="J27" i="43"/>
  <c r="M27" i="43" s="1"/>
  <c r="L27" i="43" s="1"/>
  <c r="M26" i="43"/>
  <c r="L26" i="43" s="1"/>
  <c r="K26" i="43"/>
  <c r="J26" i="43"/>
  <c r="K24" i="43"/>
  <c r="J24" i="43"/>
  <c r="M24" i="43" s="1"/>
  <c r="L24" i="43" s="1"/>
  <c r="K22" i="43"/>
  <c r="J22" i="43"/>
  <c r="M22" i="43" s="1"/>
  <c r="L22" i="43" s="1"/>
  <c r="K21" i="43"/>
  <c r="J21" i="43"/>
  <c r="M21" i="43" s="1"/>
  <c r="L21" i="43" s="1"/>
  <c r="M20" i="43"/>
  <c r="L20" i="43" s="1"/>
  <c r="K20" i="43"/>
  <c r="J20" i="43"/>
  <c r="K19" i="43"/>
  <c r="J19" i="43"/>
  <c r="M19" i="43" s="1"/>
  <c r="L19" i="43" s="1"/>
  <c r="K18" i="43"/>
  <c r="J18" i="43"/>
  <c r="M18" i="43" s="1"/>
  <c r="L18" i="43" s="1"/>
  <c r="K17" i="43"/>
  <c r="J17" i="43"/>
  <c r="M17" i="43" s="1"/>
  <c r="L17" i="43" s="1"/>
  <c r="M15" i="43"/>
  <c r="L15" i="43" s="1"/>
  <c r="K15" i="43"/>
  <c r="J15" i="43"/>
  <c r="K14" i="43"/>
  <c r="J14" i="43"/>
  <c r="M14" i="43" s="1"/>
  <c r="L14" i="43" s="1"/>
  <c r="K13" i="43"/>
  <c r="J13" i="43"/>
  <c r="M13" i="43" s="1"/>
  <c r="L13" i="43" s="1"/>
  <c r="K10" i="43"/>
  <c r="J10" i="43"/>
  <c r="M10" i="43" s="1"/>
  <c r="L10" i="43" s="1"/>
  <c r="M8" i="43"/>
  <c r="L8" i="43" s="1"/>
  <c r="K8" i="43"/>
  <c r="J8" i="43"/>
  <c r="K7" i="43"/>
  <c r="J7" i="43"/>
  <c r="M7" i="43" s="1"/>
  <c r="L7" i="43" s="1"/>
  <c r="K119" i="41"/>
  <c r="K117" i="41"/>
  <c r="K116" i="41"/>
  <c r="K114" i="41"/>
  <c r="K113" i="41"/>
  <c r="K111" i="41"/>
  <c r="K110" i="41"/>
  <c r="K108" i="41"/>
  <c r="K106" i="41"/>
  <c r="K105" i="41"/>
  <c r="K104" i="41"/>
  <c r="K103" i="41"/>
  <c r="K102" i="41"/>
  <c r="K101" i="41"/>
  <c r="K100" i="41"/>
  <c r="K98" i="41"/>
  <c r="K96" i="41"/>
  <c r="K95" i="41"/>
  <c r="K94" i="41"/>
  <c r="K93" i="41"/>
  <c r="K91" i="41"/>
  <c r="K90" i="41"/>
  <c r="K89" i="41"/>
  <c r="K86" i="41"/>
  <c r="K84" i="41"/>
  <c r="K83" i="41"/>
  <c r="K81" i="41"/>
  <c r="K80" i="41"/>
  <c r="K78" i="41"/>
  <c r="K77" i="41"/>
  <c r="K75" i="41"/>
  <c r="K74" i="41"/>
  <c r="K73" i="41"/>
  <c r="K72" i="41"/>
  <c r="K71" i="41"/>
  <c r="K70" i="41"/>
  <c r="K68" i="41"/>
  <c r="K66" i="41"/>
  <c r="K65" i="41"/>
  <c r="K64" i="41"/>
  <c r="K63" i="41"/>
  <c r="K62" i="41"/>
  <c r="K61" i="41"/>
  <c r="K59" i="41"/>
  <c r="K58" i="41"/>
  <c r="K57" i="41"/>
  <c r="K54" i="41"/>
  <c r="K52" i="41"/>
  <c r="K51" i="41"/>
  <c r="K49" i="41"/>
  <c r="K48" i="41"/>
  <c r="K46" i="41"/>
  <c r="K45" i="41"/>
  <c r="K43" i="41"/>
  <c r="K41" i="41"/>
  <c r="K40" i="41"/>
  <c r="K39" i="41"/>
  <c r="K38" i="41"/>
  <c r="K37" i="41"/>
  <c r="K36" i="41"/>
  <c r="K32" i="41"/>
  <c r="K21" i="41"/>
  <c r="K20" i="41"/>
  <c r="K19" i="41"/>
  <c r="K18" i="41"/>
  <c r="K15" i="41"/>
  <c r="K14" i="41"/>
  <c r="K13" i="41"/>
  <c r="K7" i="41"/>
  <c r="G4" i="6"/>
  <c r="H4" i="6"/>
  <c r="I4" i="6" s="1"/>
  <c r="J4" i="6" s="1"/>
  <c r="M16" i="41" l="1"/>
  <c r="L176" i="41"/>
  <c r="L155" i="41"/>
  <c r="L173" i="41"/>
  <c r="L166" i="41"/>
  <c r="L146" i="41"/>
  <c r="L165" i="41"/>
  <c r="L132" i="41"/>
  <c r="L156" i="41"/>
  <c r="L171" i="41"/>
  <c r="L163" i="41"/>
  <c r="L170" i="41"/>
  <c r="L162" i="41"/>
  <c r="L128" i="41"/>
  <c r="L169" i="41"/>
  <c r="L161" i="41"/>
  <c r="L147" i="41"/>
  <c r="L167" i="41"/>
  <c r="K179" i="41"/>
  <c r="L178" i="41"/>
  <c r="M177" i="41"/>
  <c r="C17" i="1" s="1"/>
  <c r="C30" i="6" s="1"/>
  <c r="J33" i="6" s="1"/>
  <c r="J32" i="6" s="1"/>
  <c r="L159" i="41"/>
  <c r="L151" i="41"/>
  <c r="L158" i="41"/>
  <c r="L131" i="41"/>
  <c r="L143" i="41"/>
  <c r="L149" i="41"/>
  <c r="L160" i="41"/>
  <c r="M175" i="41"/>
  <c r="M121" i="41"/>
  <c r="L148" i="41"/>
  <c r="L154" i="41"/>
  <c r="L153" i="41"/>
  <c r="M150" i="41"/>
  <c r="M109" i="41"/>
  <c r="L164" i="41"/>
  <c r="L141" i="41"/>
  <c r="L152" i="41"/>
  <c r="L157" i="41"/>
  <c r="L139" i="41"/>
  <c r="L168" i="41"/>
  <c r="L174" i="41"/>
  <c r="L36" i="41"/>
  <c r="M172" i="41"/>
  <c r="L145" i="41"/>
  <c r="M144" i="41"/>
  <c r="M135" i="41"/>
  <c r="L127" i="41"/>
  <c r="L133" i="41"/>
  <c r="L137" i="41"/>
  <c r="L122" i="41"/>
  <c r="L134" i="41"/>
  <c r="L140" i="41"/>
  <c r="L123" i="41"/>
  <c r="L124" i="41"/>
  <c r="M12" i="41"/>
  <c r="L138" i="41"/>
  <c r="L142" i="41"/>
  <c r="L136" i="41"/>
  <c r="L130" i="41"/>
  <c r="M129" i="41"/>
  <c r="L126" i="41"/>
  <c r="M125" i="41"/>
  <c r="M112" i="41"/>
  <c r="M82" i="41"/>
  <c r="M115" i="41"/>
  <c r="M99" i="41"/>
  <c r="M92" i="41"/>
  <c r="M88" i="41"/>
  <c r="M79" i="41"/>
  <c r="M76" i="41"/>
  <c r="M69" i="41"/>
  <c r="M60" i="41"/>
  <c r="M56" i="41"/>
  <c r="M50" i="41"/>
  <c r="M47" i="41"/>
  <c r="M44" i="41"/>
  <c r="M35" i="41"/>
  <c r="L15" i="41"/>
  <c r="L32" i="41"/>
  <c r="L45" i="41"/>
  <c r="L66" i="41"/>
  <c r="L77" i="41"/>
  <c r="L90" i="41"/>
  <c r="L58" i="41"/>
  <c r="M8" i="41"/>
  <c r="L8" i="41" s="1"/>
  <c r="L59" i="41"/>
  <c r="L103" i="41"/>
  <c r="L63" i="41"/>
  <c r="L73" i="41"/>
  <c r="L84" i="41"/>
  <c r="L86" i="41"/>
  <c r="L98" i="41"/>
  <c r="L108" i="41"/>
  <c r="L54" i="41"/>
  <c r="L13" i="41"/>
  <c r="L91" i="41"/>
  <c r="L18" i="41"/>
  <c r="L38" i="41"/>
  <c r="L49" i="41"/>
  <c r="L20" i="41"/>
  <c r="L52" i="41"/>
  <c r="L119" i="41"/>
  <c r="L43" i="41"/>
  <c r="L93" i="41"/>
  <c r="L61" i="41"/>
  <c r="L10" i="41"/>
  <c r="L21" i="41"/>
  <c r="L64" i="41"/>
  <c r="L74" i="41"/>
  <c r="L96" i="41"/>
  <c r="L57" i="41"/>
  <c r="L106" i="41"/>
  <c r="L46" i="41"/>
  <c r="L17" i="41"/>
  <c r="L37" i="41"/>
  <c r="L70" i="41"/>
  <c r="L101" i="41"/>
  <c r="L48" i="41"/>
  <c r="L80" i="41"/>
  <c r="L111" i="41"/>
  <c r="L19" i="41"/>
  <c r="L39" i="41"/>
  <c r="L72" i="41"/>
  <c r="L7" i="41"/>
  <c r="L83" i="41"/>
  <c r="L114" i="41"/>
  <c r="L116" i="41"/>
  <c r="L14" i="41"/>
  <c r="L41" i="41"/>
  <c r="L117" i="41"/>
  <c r="L102" i="41"/>
  <c r="L110" i="41"/>
  <c r="L94" i="41"/>
  <c r="L65" i="41"/>
  <c r="L40" i="41"/>
  <c r="L68" i="41"/>
  <c r="L75" i="41"/>
  <c r="L95" i="41"/>
  <c r="L113" i="41"/>
  <c r="L100" i="41"/>
  <c r="L104" i="41"/>
  <c r="L71" i="41"/>
  <c r="L81" i="41"/>
  <c r="L51" i="41"/>
  <c r="L62" i="41"/>
  <c r="L78" i="41"/>
  <c r="L89" i="41"/>
  <c r="L105" i="41"/>
  <c r="L179" i="41" l="1"/>
  <c r="M11" i="41"/>
  <c r="M120" i="41"/>
  <c r="C16" i="1" s="1"/>
  <c r="C26" i="6" s="1"/>
  <c r="M87" i="41"/>
  <c r="C15" i="1" s="1"/>
  <c r="C22" i="6" s="1"/>
  <c r="M55" i="41"/>
  <c r="C14" i="1" s="1"/>
  <c r="M6" i="41"/>
  <c r="C11" i="1" s="1"/>
  <c r="C18" i="6"/>
  <c r="C10" i="6"/>
  <c r="G29" i="6" l="1"/>
  <c r="G28" i="6" s="1"/>
  <c r="E29" i="6"/>
  <c r="F29" i="6"/>
  <c r="F28" i="6" s="1"/>
  <c r="H29" i="6"/>
  <c r="I29" i="6"/>
  <c r="I28" i="6" s="1"/>
  <c r="J29" i="6"/>
  <c r="J28" i="6" s="1"/>
  <c r="J25" i="6"/>
  <c r="J24" i="6" s="1"/>
  <c r="H25" i="6"/>
  <c r="H24" i="6" s="1"/>
  <c r="G25" i="6"/>
  <c r="G24" i="6" s="1"/>
  <c r="I25" i="6"/>
  <c r="I24" i="6" s="1"/>
  <c r="F25" i="6"/>
  <c r="F24" i="6" s="1"/>
  <c r="E25" i="6"/>
  <c r="E24" i="6" s="1"/>
  <c r="N179" i="41"/>
  <c r="C13" i="1"/>
  <c r="M179" i="41"/>
  <c r="J13" i="6"/>
  <c r="J12" i="6" s="1"/>
  <c r="I13" i="6"/>
  <c r="I12" i="6" s="1"/>
  <c r="H33" i="6"/>
  <c r="H32" i="6" s="1"/>
  <c r="G33" i="6"/>
  <c r="G32" i="6" s="1"/>
  <c r="F33" i="6"/>
  <c r="F32" i="6" s="1"/>
  <c r="E33" i="6"/>
  <c r="I33" i="6"/>
  <c r="I32" i="6" s="1"/>
  <c r="H28" i="6"/>
  <c r="E28" i="6"/>
  <c r="E13" i="6"/>
  <c r="E12" i="6" s="1"/>
  <c r="F13" i="6"/>
  <c r="F12" i="6" s="1"/>
  <c r="G13" i="6"/>
  <c r="G12" i="6" s="1"/>
  <c r="H13" i="6"/>
  <c r="H12" i="6" s="1"/>
  <c r="E21" i="6"/>
  <c r="E20" i="6" s="1"/>
  <c r="F21" i="6"/>
  <c r="F20" i="6" s="1"/>
  <c r="G21" i="6"/>
  <c r="G20" i="6" s="1"/>
  <c r="H21" i="6"/>
  <c r="H20" i="6" s="1"/>
  <c r="I21" i="6"/>
  <c r="I20" i="6" s="1"/>
  <c r="J21" i="6"/>
  <c r="J20" i="6" s="1"/>
  <c r="C6" i="6"/>
  <c r="I9" i="6" s="1"/>
  <c r="M25" i="6" l="1"/>
  <c r="N25" i="6" s="1"/>
  <c r="M29" i="6"/>
  <c r="N29" i="6" s="1"/>
  <c r="K181" i="41"/>
  <c r="K182" i="41" s="1"/>
  <c r="N181" i="41"/>
  <c r="N182" i="41" s="1"/>
  <c r="C18" i="1"/>
  <c r="D13" i="1" s="1"/>
  <c r="C14" i="6"/>
  <c r="I8" i="6"/>
  <c r="E32" i="6"/>
  <c r="M33" i="6"/>
  <c r="N33" i="6" s="1"/>
  <c r="E9" i="6"/>
  <c r="F9" i="6"/>
  <c r="G9" i="6"/>
  <c r="H9" i="6"/>
  <c r="J9" i="6"/>
  <c r="G17" i="6" l="1"/>
  <c r="G16" i="6" s="1"/>
  <c r="F17" i="6"/>
  <c r="F16" i="6" s="1"/>
  <c r="H17" i="6"/>
  <c r="H16" i="6" s="1"/>
  <c r="I17" i="6"/>
  <c r="E17" i="6"/>
  <c r="E16" i="6" s="1"/>
  <c r="J17" i="6"/>
  <c r="J16" i="6" s="1"/>
  <c r="G35" i="6"/>
  <c r="G37" i="6" s="1"/>
  <c r="E35" i="6"/>
  <c r="E37" i="6" s="1"/>
  <c r="D18" i="1"/>
  <c r="D17" i="1"/>
  <c r="D11" i="1"/>
  <c r="D14" i="1"/>
  <c r="D12" i="1"/>
  <c r="D15" i="1"/>
  <c r="D16" i="1"/>
  <c r="N183" i="41"/>
  <c r="C35" i="6"/>
  <c r="K183" i="41"/>
  <c r="D26" i="6"/>
  <c r="D30" i="6"/>
  <c r="D6" i="6"/>
  <c r="D22" i="6"/>
  <c r="D10" i="6"/>
  <c r="D14" i="6"/>
  <c r="D18" i="6"/>
  <c r="J8" i="6"/>
  <c r="J39" i="6" s="1"/>
  <c r="H8" i="6"/>
  <c r="G8" i="6"/>
  <c r="G39" i="6" s="1"/>
  <c r="F8" i="6"/>
  <c r="F39" i="6" s="1"/>
  <c r="E8" i="6"/>
  <c r="E39" i="6" s="1"/>
  <c r="J35" i="6" l="1"/>
  <c r="J37" i="6" s="1"/>
  <c r="I16" i="6"/>
  <c r="I39" i="6" s="1"/>
  <c r="I42" i="6" s="1"/>
  <c r="I35" i="6"/>
  <c r="I37" i="6" s="1"/>
  <c r="F35" i="6"/>
  <c r="F37" i="6" s="1"/>
  <c r="H39" i="6"/>
  <c r="H42" i="6" s="1"/>
  <c r="H35" i="6"/>
  <c r="H37" i="6" s="1"/>
  <c r="E36" i="6"/>
  <c r="F36" i="6" s="1"/>
  <c r="G36" i="6" s="1"/>
  <c r="E38" i="6"/>
  <c r="F38" i="6" s="1"/>
  <c r="G38" i="6" s="1"/>
  <c r="E40" i="6"/>
  <c r="E41" i="6"/>
  <c r="E42" i="6"/>
  <c r="E43" i="6" s="1"/>
  <c r="F40" i="6"/>
  <c r="F41" i="6"/>
  <c r="F42" i="6"/>
  <c r="G40" i="6"/>
  <c r="G41" i="6"/>
  <c r="G42" i="6"/>
  <c r="J42" i="6"/>
  <c r="D35" i="6"/>
  <c r="J41" i="6" l="1"/>
  <c r="H36" i="6"/>
  <c r="I36" i="6" s="1"/>
  <c r="J36" i="6" s="1"/>
  <c r="J40" i="6"/>
  <c r="I41" i="6"/>
  <c r="H38" i="6"/>
  <c r="I38" i="6" s="1"/>
  <c r="J38" i="6" s="1"/>
  <c r="I40" i="6"/>
  <c r="H41" i="6"/>
  <c r="H40" i="6"/>
  <c r="F43" i="6"/>
  <c r="G43" i="6" s="1"/>
  <c r="H43" i="6" s="1"/>
  <c r="I43" i="6" s="1"/>
  <c r="J43" i="6" s="1"/>
  <c r="D44" i="21" l="1"/>
  <c r="C44" i="21"/>
  <c r="D40" i="21"/>
  <c r="C40" i="21"/>
  <c r="D33" i="21"/>
  <c r="C33" i="21"/>
  <c r="D21" i="21"/>
  <c r="C21" i="21"/>
  <c r="B1" i="21"/>
  <c r="L18" i="6"/>
  <c r="L14" i="6"/>
  <c r="L10" i="6"/>
  <c r="L6" i="6"/>
  <c r="M9" i="6" l="1"/>
  <c r="N9" i="6" s="1"/>
  <c r="M17" i="6"/>
  <c r="N17" i="6" s="1"/>
  <c r="M13" i="6"/>
  <c r="N13" i="6" s="1"/>
  <c r="M21" i="6"/>
  <c r="N21" i="6" s="1"/>
</calcChain>
</file>

<file path=xl/sharedStrings.xml><?xml version="1.0" encoding="utf-8"?>
<sst xmlns="http://schemas.openxmlformats.org/spreadsheetml/2006/main" count="1701" uniqueCount="584">
  <si>
    <t>TRIBUNAL REGIONAL FEDERAL DA SEXTA REGIÃO</t>
  </si>
  <si>
    <t>DIVISÃO DE ENGENHARIA E ARQUITETURA - DIEAR</t>
  </si>
  <si>
    <t>OBRA:</t>
  </si>
  <si>
    <t>END.:</t>
  </si>
  <si>
    <t>AV. ÁLVARES CABRAL, 1741 – BAIRRO SANTO AGOSTINHO - BELO HORIZONTE - MG</t>
  </si>
  <si>
    <t>RESUMO DO ORÇAMENTO</t>
  </si>
  <si>
    <t>ITEM</t>
  </si>
  <si>
    <t>DESCRIÇÃO</t>
  </si>
  <si>
    <t>VALOR R$</t>
  </si>
  <si>
    <t>%</t>
  </si>
  <si>
    <t>TOTAL GERAL PARA A OBRA -----&gt;</t>
  </si>
  <si>
    <t>PREMISSAS</t>
  </si>
  <si>
    <t>Esta planilha orçamentária é compatível com os quantitativos, com os custos, com os quantitativos de projetos de engenharia e com os custos do Sistema Nacional de Pesquisa de Custos e Índices da Construção Civil – SINAPI, que foram elaborados através do Contrato nº 030/2019 (id.8479756), firmado com a empresa Rodrigues Projetos e Engenharia Ltda, inscrita no CNPJ nº20.763.815/0001-30.</t>
  </si>
  <si>
    <t>Observações:</t>
  </si>
  <si>
    <r>
      <rPr>
        <sz val="10"/>
        <color rgb="FF000000"/>
        <rFont val="Calibri"/>
      </rPr>
      <t>Orçamento Sintético Consolidado (</t>
    </r>
    <r>
      <rPr>
        <b/>
        <sz val="10"/>
        <color rgb="FF000000"/>
        <rFont val="Calibri"/>
      </rPr>
      <t>pág. 02 até pág. 10</t>
    </r>
    <r>
      <rPr>
        <sz val="10"/>
        <color rgb="FF000000"/>
        <rFont val="Calibri"/>
      </rPr>
      <t>) [</t>
    </r>
    <r>
      <rPr>
        <i/>
        <sz val="10"/>
        <color rgb="FF000000"/>
        <rFont val="Calibri"/>
      </rPr>
      <t>a ser preenchida pela Licitante</t>
    </r>
    <r>
      <rPr>
        <sz val="10"/>
        <color rgb="FF000000"/>
        <rFont val="Calibri"/>
      </rPr>
      <t>].</t>
    </r>
  </si>
  <si>
    <r>
      <rPr>
        <sz val="10"/>
        <color rgb="FF000000"/>
        <rFont val="Calibri"/>
      </rPr>
      <t>Planilha BDI (</t>
    </r>
    <r>
      <rPr>
        <b/>
        <sz val="10"/>
        <color rgb="FF000000"/>
        <rFont val="Calibri"/>
      </rPr>
      <t>pág. 11</t>
    </r>
    <r>
      <rPr>
        <sz val="10"/>
        <color rgb="FF000000"/>
        <rFont val="Calibri"/>
      </rPr>
      <t>) [</t>
    </r>
    <r>
      <rPr>
        <i/>
        <sz val="10"/>
        <color rgb="FF000000"/>
        <rFont val="Calibri"/>
      </rPr>
      <t>a ser preenchida pela Licitante</t>
    </r>
    <r>
      <rPr>
        <sz val="10"/>
        <color rgb="FF000000"/>
        <rFont val="Calibri"/>
      </rPr>
      <t>].</t>
    </r>
  </si>
  <si>
    <r>
      <rPr>
        <sz val="10"/>
        <color rgb="FF000000"/>
        <rFont val="Calibri"/>
      </rPr>
      <t>Planilha Encargos Sociais (</t>
    </r>
    <r>
      <rPr>
        <b/>
        <sz val="10"/>
        <color rgb="FF000000"/>
        <rFont val="Calibri"/>
      </rPr>
      <t>pág. 12</t>
    </r>
    <r>
      <rPr>
        <sz val="10"/>
        <color rgb="FF000000"/>
        <rFont val="Calibri"/>
      </rPr>
      <t>) [</t>
    </r>
    <r>
      <rPr>
        <i/>
        <sz val="10"/>
        <color rgb="FF000000"/>
        <rFont val="Calibri"/>
      </rPr>
      <t>a ser preenchida pela Licitante</t>
    </r>
    <r>
      <rPr>
        <sz val="10"/>
        <color rgb="FF000000"/>
        <rFont val="Calibri"/>
      </rPr>
      <t>].</t>
    </r>
  </si>
  <si>
    <r>
      <rPr>
        <sz val="10"/>
        <color rgb="FF000000"/>
        <rFont val="Calibri"/>
      </rPr>
      <t>Cronograma Físico Financeiro (</t>
    </r>
    <r>
      <rPr>
        <b/>
        <sz val="10"/>
        <color rgb="FF000000"/>
        <rFont val="Calibri"/>
      </rPr>
      <t>pág. 13</t>
    </r>
    <r>
      <rPr>
        <sz val="10"/>
        <color rgb="FF000000"/>
        <rFont val="Calibri"/>
      </rPr>
      <t>) [</t>
    </r>
    <r>
      <rPr>
        <i/>
        <sz val="10"/>
        <color rgb="FF000000"/>
        <rFont val="Calibri"/>
      </rPr>
      <t>a ser preenchida pela Licitante</t>
    </r>
    <r>
      <rPr>
        <sz val="10"/>
        <color rgb="FF000000"/>
        <rFont val="Calibri"/>
      </rPr>
      <t>].</t>
    </r>
  </si>
  <si>
    <t>____________________________________________</t>
  </si>
  <si>
    <t>Seção de Gestão de Obras - SEGOB/DIEAR</t>
  </si>
  <si>
    <t>Divisão de Engenharia e Arquitetura - DIEAR/SECAM</t>
  </si>
  <si>
    <t>Secretaria de Administração e Serviços - SECAM/TRF6</t>
  </si>
  <si>
    <t>Obra</t>
  </si>
  <si>
    <t>Bancos (05/2025)</t>
  </si>
  <si>
    <t>B.D.I.</t>
  </si>
  <si>
    <t>Encargos Sociais</t>
  </si>
  <si>
    <t>INSTALAÇÕES DE INCÊNDIO - SEDES TRF6 E GALPÃO - JUSTIÇA FEDERAL DE PRIMEIRO GRAU DE MINAS GERAIS</t>
  </si>
  <si>
    <t xml:space="preserve">SINAPI - Minas Gerais
SETOP - Minas Gerais
</t>
  </si>
  <si>
    <t>Desonerado: 
Horista: 93,83%
Mensalista: 55,49%</t>
  </si>
  <si>
    <t>Planilha Orçamentária Sintética Com Valor do Material e da Mão de Obra</t>
  </si>
  <si>
    <t>Item</t>
  </si>
  <si>
    <t>Código</t>
  </si>
  <si>
    <t>Banco</t>
  </si>
  <si>
    <t>Descrição</t>
  </si>
  <si>
    <t>Und</t>
  </si>
  <si>
    <t>Quant.</t>
  </si>
  <si>
    <t>Valor Unit</t>
  </si>
  <si>
    <t>Valor Unit com BDI</t>
  </si>
  <si>
    <t>Total</t>
  </si>
  <si>
    <t>M. O.</t>
  </si>
  <si>
    <t>MAT.</t>
  </si>
  <si>
    <t xml:space="preserve"> 1 </t>
  </si>
  <si>
    <t>SERVIÇOS PRELIMINARES</t>
  </si>
  <si>
    <t xml:space="preserve"> 1.1 </t>
  </si>
  <si>
    <t xml:space="preserve">MOB-01 </t>
  </si>
  <si>
    <t>Próprio</t>
  </si>
  <si>
    <t>UNID</t>
  </si>
  <si>
    <t xml:space="preserve"> 1.2</t>
  </si>
  <si>
    <t>PLOT-01</t>
  </si>
  <si>
    <t>PLOTAGEM FORMATO A1 OU A0 (SEDES E GALPÃO)</t>
  </si>
  <si>
    <t xml:space="preserve"> 2 </t>
  </si>
  <si>
    <t>ADMINISTRAÇÃO LOCAL</t>
  </si>
  <si>
    <t xml:space="preserve"> 2.1 </t>
  </si>
  <si>
    <t xml:space="preserve"> ADM-LOC</t>
  </si>
  <si>
    <t xml:space="preserve"> 3 </t>
  </si>
  <si>
    <t>EDIFÍCIO  EUCLYDES REIS AGUIAR</t>
  </si>
  <si>
    <t xml:space="preserve"> 3.1 </t>
  </si>
  <si>
    <t>CANTEIRO DE OBRAS</t>
  </si>
  <si>
    <t xml:space="preserve"> 3.1.1 </t>
  </si>
  <si>
    <t xml:space="preserve"> CONTAIN-WC</t>
  </si>
  <si>
    <t>CONTAINER PARA SANITARIO, COM 3 BACIAS, 4 CHUVEIROS, 1 LAVATORIO E 1 MICTORIO</t>
  </si>
  <si>
    <t xml:space="preserve"> 3.1.2 </t>
  </si>
  <si>
    <t xml:space="preserve"> CONTAIN-ESCR </t>
  </si>
  <si>
    <t>CONTAINER PARA ESCRITÓRIO</t>
  </si>
  <si>
    <t xml:space="preserve"> 3.1.3 </t>
  </si>
  <si>
    <t xml:space="preserve"> 103689 </t>
  </si>
  <si>
    <t>SINAPI</t>
  </si>
  <si>
    <t>FORNECIMENTO E INSTALAÇÃO DE PLACA DE OBRA COM CHAPA GALVANIZADA E ESTRUTURA DE MADEIRA. AF_03/2022_PS</t>
  </si>
  <si>
    <t>m²</t>
  </si>
  <si>
    <t xml:space="preserve"> 3.2 </t>
  </si>
  <si>
    <t>SISTEMAS DE SINALIZAÇÃO DE EMERGÊNCIA</t>
  </si>
  <si>
    <t xml:space="preserve"> 3.2.1 </t>
  </si>
  <si>
    <t xml:space="preserve"> SUP_PLC_INC </t>
  </si>
  <si>
    <t>SUPORTE PENDENTE COM CORRENTE PARA PLACA DE INCÊNDIO</t>
  </si>
  <si>
    <t>UNIDADE</t>
  </si>
  <si>
    <t xml:space="preserve"> 3.2.2 </t>
  </si>
  <si>
    <t xml:space="preserve"> ED-50202 </t>
  </si>
  <si>
    <t>SETOP</t>
  </si>
  <si>
    <t>PLACA FOTOLUMINESCENTE PARA SINALIZAÇÃO DE EMERGÊNCIA, TIPO "S1", DIMENSÃO (380X190)MM, INCLUSIVE FIXAÇÃO</t>
  </si>
  <si>
    <t>un</t>
  </si>
  <si>
    <t xml:space="preserve"> 3.2.3 </t>
  </si>
  <si>
    <t xml:space="preserve"> ED-50201 </t>
  </si>
  <si>
    <t>PLACA FOTOLUMINESCENTE PARA SINALIZAÇÃO DE EMERGÊNCIA, TIPO "S2", DIMENSÃO (380X190)MM, INCLUSIVE FIXAÇÃO</t>
  </si>
  <si>
    <t xml:space="preserve"> 3.2.4 </t>
  </si>
  <si>
    <t xml:space="preserve"> ED-29400 </t>
  </si>
  <si>
    <t>PLACA FOTOLUMINESCENTE PARA SINALIZAÇÃO DE EMERGÊNCIA, TIPO "S3", DIMENSÃO (380X190)MM, INCLUSIVE FIXAÇÃO</t>
  </si>
  <si>
    <t xml:space="preserve"> 3.2.5 </t>
  </si>
  <si>
    <t xml:space="preserve"> 102492 </t>
  </si>
  <si>
    <t>PINTURA DE PISO COM TINTA ACRÍLICA, APLICAÇÃO MANUAL, 3 DEMÃOS, INCLUSO FUNDO PREPARADOR. AF_05/2021</t>
  </si>
  <si>
    <t xml:space="preserve"> 3.2.6 </t>
  </si>
  <si>
    <t xml:space="preserve"> ED-50574 </t>
  </si>
  <si>
    <t>APLICAÇÃO DE FAIXA/FITA ADESIVA ANTIDERRAPANTE, LARGURA 50MM, EM DEGRAUS DE ESCADA, INCLUSIVE FORNECIMENTO</t>
  </si>
  <si>
    <t>m</t>
  </si>
  <si>
    <t xml:space="preserve"> 3.3 </t>
  </si>
  <si>
    <t>EXTINTORES</t>
  </si>
  <si>
    <t xml:space="preserve"> 3.3.1 </t>
  </si>
  <si>
    <t xml:space="preserve"> SUP_EXT_IN </t>
  </si>
  <si>
    <t>SUPORTE EXTINTOR BASE INOX PARA PISO</t>
  </si>
  <si>
    <t xml:space="preserve"> 3.4 </t>
  </si>
  <si>
    <t>SISTEMAS DE ILUMINAÇÃO DE EMERGÊNCIA</t>
  </si>
  <si>
    <t xml:space="preserve"> 3.4.1 </t>
  </si>
  <si>
    <t xml:space="preserve"> 97599 </t>
  </si>
  <si>
    <t>LUMINÁRIA DE EMERGÊNCIA, COM 30 LÂMPADAS LED DE 2 W, SEM REATOR - FORNECIMENTO E INSTALAÇÃO. AF_02/2020</t>
  </si>
  <si>
    <t>UN</t>
  </si>
  <si>
    <t xml:space="preserve"> 3.4.2 </t>
  </si>
  <si>
    <t xml:space="preserve"> 91924 </t>
  </si>
  <si>
    <t>CABO DE COBRE FLEXÍVEL ISOLADO, 1,5 MM², ANTI-CHAMA 450/750 V, PARA CIRCUITOS TERMINAIS - FORNECIMENTO E INSTALAÇÃO. AF_03/2023</t>
  </si>
  <si>
    <t>M</t>
  </si>
  <si>
    <t xml:space="preserve"> 3.4.3 </t>
  </si>
  <si>
    <t xml:space="preserve"> ED-49317 </t>
  </si>
  <si>
    <t>ELETRODUTO DE AÇO GALVANIZADO LEVE, INCLUSIVE CONEXÕES, SUPORTES E FIXAÇÃO DN 20 (3/4")</t>
  </si>
  <si>
    <t xml:space="preserve"> 3.4.4 </t>
  </si>
  <si>
    <t xml:space="preserve"> CON-MULT-3/4 </t>
  </si>
  <si>
    <t>CONDULETE MULTIPLO X 3/4"</t>
  </si>
  <si>
    <t xml:space="preserve"> 3.4.5 </t>
  </si>
  <si>
    <t xml:space="preserve"> 91990 </t>
  </si>
  <si>
    <t>TOMADA ALTA DE EMBUTIR (1 MÓDULO), 2P+T 10 A, SEM SUPORTE E SEM PLACA - FORNECIMENTO E INSTALAÇÃO. AF_03/2023</t>
  </si>
  <si>
    <t xml:space="preserve"> 3.4.6 </t>
  </si>
  <si>
    <t xml:space="preserve"> 93653 </t>
  </si>
  <si>
    <t>DISJUNTOR MONOPOLAR TIPO DIN, CORRENTE NOMINAL DE 10A - FORNECIMENTO E INSTALAÇÃO. AF_10/2020</t>
  </si>
  <si>
    <t xml:space="preserve"> 3.5 </t>
  </si>
  <si>
    <t>SISTEMA DE CHUVEIROS AUTOMÁTICOS</t>
  </si>
  <si>
    <t xml:space="preserve"> 3.5.1 </t>
  </si>
  <si>
    <t xml:space="preserve"> REV_Sist_Chuv </t>
  </si>
  <si>
    <t>REVISÃO EM SISTEMA DE CHUVEIROS AUTOMÁTICOS</t>
  </si>
  <si>
    <t xml:space="preserve"> 3.6 </t>
  </si>
  <si>
    <t>SERRALHERIA</t>
  </si>
  <si>
    <t xml:space="preserve"> 3.6.1 </t>
  </si>
  <si>
    <t>MANUT-PCF</t>
  </si>
  <si>
    <t>MANUTENÇÃO EM PORTA CORTA FOGO COM LAUDO E ART</t>
  </si>
  <si>
    <t xml:space="preserve"> 3.6.2 </t>
  </si>
  <si>
    <t xml:space="preserve"> REF-CORR </t>
  </si>
  <si>
    <t>REFORMA EM CORRIMÃOS DE AÇO GALVANIZADO 1 1/2"</t>
  </si>
  <si>
    <t xml:space="preserve"> 3.7 </t>
  </si>
  <si>
    <t>SISTEMAS DE BOMBEAMENTO</t>
  </si>
  <si>
    <t xml:space="preserve"> 3.7.1 </t>
  </si>
  <si>
    <t xml:space="preserve"> MANUT-BOMB </t>
  </si>
  <si>
    <t>MANUTENÇÃO EM CONJUNTO DE BOMBA DE INCÊNDIO 25 CV + BOMBA JOCKEY AUXILIAR 3 CV</t>
  </si>
  <si>
    <t xml:space="preserve"> 3.7.2 </t>
  </si>
  <si>
    <t xml:space="preserve"> CIRC-ELE-BOMB </t>
  </si>
  <si>
    <t>CIRCUITO ELÉTRICO INDEPENDENTE PARA BOMBA DE INCÊNDIO</t>
  </si>
  <si>
    <t xml:space="preserve"> 3.8 </t>
  </si>
  <si>
    <t>TESTES</t>
  </si>
  <si>
    <t xml:space="preserve"> 3.8.1 </t>
  </si>
  <si>
    <t xml:space="preserve"> TEST-BOMB </t>
  </si>
  <si>
    <t>TESTES FUNCIONAMENTO SISTEMAS HIDRANTES</t>
  </si>
  <si>
    <t xml:space="preserve"> 3.8.2 </t>
  </si>
  <si>
    <t xml:space="preserve"> TEST-ALRM </t>
  </si>
  <si>
    <t>REVISÃO EM SISTEMA DE ALARME</t>
  </si>
  <si>
    <t xml:space="preserve"> 3.9 </t>
  </si>
  <si>
    <t>SERVIÇOS COMPLEMENTARES</t>
  </si>
  <si>
    <t xml:space="preserve"> 3.9.1 </t>
  </si>
  <si>
    <t xml:space="preserve"> PROJ-ASB-ELE </t>
  </si>
  <si>
    <t>PROJETO "AS BUILT" INSTALAÇÕES ELÉTRICAS BOMBAS E ILUMINAÇÃO DE EMERGÊNCIA</t>
  </si>
  <si>
    <t xml:space="preserve"> 4 </t>
  </si>
  <si>
    <t>EDIFÍCIO ANTÔNIO FERNANDO PINHEIRO</t>
  </si>
  <si>
    <t xml:space="preserve"> 4.1 </t>
  </si>
  <si>
    <t xml:space="preserve"> 4.1.1 </t>
  </si>
  <si>
    <t xml:space="preserve"> 4.1.2 </t>
  </si>
  <si>
    <t xml:space="preserve"> CONTAIN-ESCR</t>
  </si>
  <si>
    <t xml:space="preserve"> 4.1.3 </t>
  </si>
  <si>
    <t xml:space="preserve"> 4.2 </t>
  </si>
  <si>
    <t xml:space="preserve"> 4.2.1 </t>
  </si>
  <si>
    <t xml:space="preserve"> 4.2.2 </t>
  </si>
  <si>
    <t xml:space="preserve"> 4.2.3 </t>
  </si>
  <si>
    <t xml:space="preserve"> ED-50199 </t>
  </si>
  <si>
    <t>PLACA FOTOLUMINESCENTE PARA SINALIZAÇÃO DE EMERGÊNCIA, TIPO "E5", DIMENSÃO (300X300)MM, INCLUSIVE FIXAÇÃO</t>
  </si>
  <si>
    <t xml:space="preserve"> 4.2.4 </t>
  </si>
  <si>
    <t xml:space="preserve"> 4.2.5 </t>
  </si>
  <si>
    <t xml:space="preserve"> 4.2.6 </t>
  </si>
  <si>
    <t xml:space="preserve"> 4.3 </t>
  </si>
  <si>
    <t xml:space="preserve"> 4.3.1 </t>
  </si>
  <si>
    <t xml:space="preserve"> 4.4 </t>
  </si>
  <si>
    <t xml:space="preserve"> 4.4.1 </t>
  </si>
  <si>
    <t xml:space="preserve"> 4.4.2 </t>
  </si>
  <si>
    <t xml:space="preserve"> 4.4.3 </t>
  </si>
  <si>
    <t xml:space="preserve"> 4.4.4 </t>
  </si>
  <si>
    <t xml:space="preserve"> 4.4.5 </t>
  </si>
  <si>
    <t xml:space="preserve"> 4.4.6 </t>
  </si>
  <si>
    <t xml:space="preserve"> 4.5 </t>
  </si>
  <si>
    <t xml:space="preserve"> 4.5.1 </t>
  </si>
  <si>
    <t xml:space="preserve"> 4.5.2 </t>
  </si>
  <si>
    <t xml:space="preserve"> 4.6 </t>
  </si>
  <si>
    <t xml:space="preserve"> 4.6.1 </t>
  </si>
  <si>
    <t xml:space="preserve"> 4.6.2 </t>
  </si>
  <si>
    <t xml:space="preserve"> CIRC-BOMB </t>
  </si>
  <si>
    <t xml:space="preserve"> 4.7 </t>
  </si>
  <si>
    <t xml:space="preserve"> 4.7.1 </t>
  </si>
  <si>
    <t xml:space="preserve"> 4.7.2 </t>
  </si>
  <si>
    <t xml:space="preserve"> 4.8 </t>
  </si>
  <si>
    <t xml:space="preserve"> 4.8.1 </t>
  </si>
  <si>
    <t xml:space="preserve"> 5 </t>
  </si>
  <si>
    <t>EDIFÍCIO OSCAR DIAS CORRÊA</t>
  </si>
  <si>
    <t xml:space="preserve"> 5.1 </t>
  </si>
  <si>
    <t xml:space="preserve"> 5.1.1 </t>
  </si>
  <si>
    <t xml:space="preserve"> 5.1.2 </t>
  </si>
  <si>
    <t>LOCAÇÃO DE CONTAINER PARA ESCRITÓRIO</t>
  </si>
  <si>
    <t xml:space="preserve"> 5.1.3 </t>
  </si>
  <si>
    <t xml:space="preserve"> 5.2 </t>
  </si>
  <si>
    <t xml:space="preserve"> 5.2.1 </t>
  </si>
  <si>
    <t xml:space="preserve"> 5.2.2 </t>
  </si>
  <si>
    <t xml:space="preserve"> 5.2.3 </t>
  </si>
  <si>
    <t xml:space="preserve"> 5.2.4 </t>
  </si>
  <si>
    <t xml:space="preserve"> 5.3 </t>
  </si>
  <si>
    <t xml:space="preserve"> 5.3.1 </t>
  </si>
  <si>
    <t xml:space="preserve"> ED-50193 </t>
  </si>
  <si>
    <t>EXTINTOR DE INCÊNDIO TIPO PÓ QUÍMICO 2 A:20 B:C, CAPACIDADE 6 KG</t>
  </si>
  <si>
    <t>U</t>
  </si>
  <si>
    <t xml:space="preserve"> 5.4 </t>
  </si>
  <si>
    <t xml:space="preserve"> 5.4.1 </t>
  </si>
  <si>
    <t xml:space="preserve"> 5.4.2 </t>
  </si>
  <si>
    <t xml:space="preserve"> LUM-EMERG-FAROL </t>
  </si>
  <si>
    <t>LUMINÁRIA DE EMERGÊNCIA TIPO FAROL DUPLO LED 2200 LUMENS</t>
  </si>
  <si>
    <t xml:space="preserve"> 5.4.3 </t>
  </si>
  <si>
    <t xml:space="preserve"> 5.4.4 </t>
  </si>
  <si>
    <t xml:space="preserve"> 5.4.5 </t>
  </si>
  <si>
    <t xml:space="preserve"> 5.4.6 </t>
  </si>
  <si>
    <t xml:space="preserve"> 5.4.7 </t>
  </si>
  <si>
    <t xml:space="preserve"> 5.5 </t>
  </si>
  <si>
    <t xml:space="preserve"> 5.5.1 </t>
  </si>
  <si>
    <t xml:space="preserve"> 5.6 </t>
  </si>
  <si>
    <t xml:space="preserve"> 5.6.1 </t>
  </si>
  <si>
    <t xml:space="preserve"> MANUT-PCF</t>
  </si>
  <si>
    <t xml:space="preserve"> 5.6.2 </t>
  </si>
  <si>
    <t xml:space="preserve"> 5.7 </t>
  </si>
  <si>
    <t xml:space="preserve"> 5.7.1 </t>
  </si>
  <si>
    <t xml:space="preserve"> 5.7.2 </t>
  </si>
  <si>
    <t xml:space="preserve"> 5.8 </t>
  </si>
  <si>
    <t xml:space="preserve"> 5.8.1 </t>
  </si>
  <si>
    <t xml:space="preserve"> 5.8.2 </t>
  </si>
  <si>
    <t xml:space="preserve"> 5.9 </t>
  </si>
  <si>
    <t xml:space="preserve"> 5.9.1 </t>
  </si>
  <si>
    <t>GALPÃO</t>
  </si>
  <si>
    <t>6.1</t>
  </si>
  <si>
    <t xml:space="preserve"> 6.1.1</t>
  </si>
  <si>
    <t xml:space="preserve"> 6.1.2</t>
  </si>
  <si>
    <t xml:space="preserve"> 6.1.3</t>
  </si>
  <si>
    <t>6.2</t>
  </si>
  <si>
    <t xml:space="preserve"> 6.2.1 </t>
  </si>
  <si>
    <t xml:space="preserve"> ED-29390 </t>
  </si>
  <si>
    <t>PLACA FOTOLUMINESCENTE PARA SINALIZAÇÃO DE EMERGÊNCIA, TIPO "E3", DIMENSÃO (150X100)MM, INCLUSIVE FIXAÇÃO</t>
  </si>
  <si>
    <t xml:space="preserve"> 6.2.2</t>
  </si>
  <si>
    <t xml:space="preserve"> ED-32246 </t>
  </si>
  <si>
    <t>PLACA FOTOLUMINESCENTE PARA SINALIZAÇÃO DE EMERGÊNCIA, TIPO "M1", DIMENSÃO (400X600)MM, INCLUSIVE FIXAÇÃO</t>
  </si>
  <si>
    <t xml:space="preserve"> 6.2.3</t>
  </si>
  <si>
    <t>6.3</t>
  </si>
  <si>
    <t>HIDRANTES</t>
  </si>
  <si>
    <t xml:space="preserve"> 6.3.1 </t>
  </si>
  <si>
    <t xml:space="preserve"> 92367 </t>
  </si>
  <si>
    <t>TUBO DE AÇO GALVANIZADO COM COSTURA, CLASSE MÉDIA, DN 65 (2 1/2"), CONEXÃO ROSQUEADA, INSTALADO EM REDE DE ALIMENTAÇÃO PARA HIDRANTE - FORNECIMENTO E INSTALAÇÃO. AF_10/2020</t>
  </si>
  <si>
    <t xml:space="preserve"> 6.3.2 </t>
  </si>
  <si>
    <t xml:space="preserve"> 97488 </t>
  </si>
  <si>
    <t>CURVA 90 GRAUS, EM AÇO, CONEXÃO SOLDADA, DN 65 (2 1/2"), INSTALADO EM REDE DE ALIMENTAÇÃO PARA HIDRANTE - FORNECIMENTO E INSTALAÇÃO. AF_10/2020</t>
  </si>
  <si>
    <t xml:space="preserve"> 6.3.3 </t>
  </si>
  <si>
    <t xml:space="preserve"> 97495 </t>
  </si>
  <si>
    <t>TÊ, EM AÇO, CONEXÃO SOLDADA, DN 65 (2 1/2"), INSTALADO EM REDE DE ALIMENTAÇÃO PARA HIDRANTE - FORNECIMENTO E INSTALAÇÃO. AF_10/2020</t>
  </si>
  <si>
    <t xml:space="preserve"> 6.3.4 </t>
  </si>
  <si>
    <t xml:space="preserve"> 92896 </t>
  </si>
  <si>
    <t>UNIÃO, EM FERRO GALVANIZADO, DN 65 (2 1/2"), CONEXÃO ROSQUEADA, INSTALADO EM REDE DE ALIMENTAÇÃO PARA HIDRANTE - FORNECIMENTO E INSTALAÇÃO. AF_10/2020</t>
  </si>
  <si>
    <t xml:space="preserve"> 6.3.5 </t>
  </si>
  <si>
    <t xml:space="preserve"> 96765 </t>
  </si>
  <si>
    <t>ABRIGO PARA HIDRANTE, 90X60X17CM, COM REGISTRO GLOBO ANGULAR 45 GRAUS 2 1/2", ADAPTADOR E CHAVE STORZ 2 1/2", 2 MANGUEIRAS DE INCÊNDIO 15M, REDUÇÃO 2 1/2" X 1 1/2" E ESGUICHO EM LATÃO 1 1/2" - FORNECIMENTO E INSTALAÇÃO. AF_10/2020</t>
  </si>
  <si>
    <t>6.4</t>
  </si>
  <si>
    <t xml:space="preserve"> 6.4.1 </t>
  </si>
  <si>
    <t xml:space="preserve"> 6.4.2</t>
  </si>
  <si>
    <t xml:space="preserve"> 91926 </t>
  </si>
  <si>
    <t>CABO DE COBRE FLEXÍVEL ISOLADO, 2,5 MM², ANTI-CHAMA 450/750 V, PARA CIRCUITOS TERMINAIS - FORNECIMENTO E INSTALAÇÃO. AF_03/2023</t>
  </si>
  <si>
    <t xml:space="preserve"> 6.4.3</t>
  </si>
  <si>
    <t xml:space="preserve"> 6.4.4</t>
  </si>
  <si>
    <t xml:space="preserve"> ED-5626 </t>
  </si>
  <si>
    <t>MÓDULO TOMADA PADRÃO, TRÊS (3) POLOS, CORRENTE 10A, TENSÃO 250V, (2P+T/10A 250V), INCLUSIVE FORNECIMENTO E INSTALAÇÃO, EXCLUSIVE PLACA E SUPORTE</t>
  </si>
  <si>
    <t xml:space="preserve"> 6.4.5</t>
  </si>
  <si>
    <t xml:space="preserve"> 93654 </t>
  </si>
  <si>
    <t>DISJUNTOR MONOPOLAR TIPO DIN, CORRENTE NOMINAL DE 16A - FORNECIMENTO E INSTALAÇÃO. AF_10/2020</t>
  </si>
  <si>
    <t xml:space="preserve"> 6.4.6</t>
  </si>
  <si>
    <t xml:space="preserve"> 6.4.7</t>
  </si>
  <si>
    <t>LUMINÁRIA DE EMERGÊNCIA, COM 30 LÂMPADAS LED DE 2 W, SEM REATOR - FORNECIMENTO E INSTALAÇÃO. AF_09/2024</t>
  </si>
  <si>
    <t xml:space="preserve"> 6.4.8</t>
  </si>
  <si>
    <t xml:space="preserve"> INSP_LUM_EMERG </t>
  </si>
  <si>
    <t>INSPEÇÃO FUNCIONAMENTO LUMINÁRIAS DE EMERGÊNCIA</t>
  </si>
  <si>
    <t>6.5</t>
  </si>
  <si>
    <t>SISTEMA DETECÇÃO DE FUMAÇA</t>
  </si>
  <si>
    <t xml:space="preserve"> 6.5.1 </t>
  </si>
  <si>
    <t xml:space="preserve"> ED-4859 </t>
  </si>
  <si>
    <t>DETECTOR DE FUMAÇA ÓPTICO, INCLUSIVE FORNECIMENTO E INSTALAÇÃO, EXCLUSIVE CABO DE 4 VIAS PARA ALARME</t>
  </si>
  <si>
    <t xml:space="preserve"> 6.5.2</t>
  </si>
  <si>
    <t xml:space="preserve"> 6.5.3</t>
  </si>
  <si>
    <t xml:space="preserve"> 6.5.4</t>
  </si>
  <si>
    <t xml:space="preserve"> 6.5.5</t>
  </si>
  <si>
    <t xml:space="preserve"> CEN-ALAR-INC </t>
  </si>
  <si>
    <t>CENTRAL DE ALARME DE INCÊNDIO ENDEREÇÁVEL 125 ENDEREÇOS COM BATERIA</t>
  </si>
  <si>
    <t>6.6</t>
  </si>
  <si>
    <t>CASA DE BOMBAS</t>
  </si>
  <si>
    <t xml:space="preserve"> 6.6.1 </t>
  </si>
  <si>
    <t xml:space="preserve"> 103342 </t>
  </si>
  <si>
    <t>ALVENARIA DE VEDAÇÃO DE BLOCOS  VAZADOS DE CONCRETO DE 14X19X29 CM (ESPESSURA 14 CM) E ARGAMASSA DE ASSENTAMENTO COM PREPARO EM BETONEIRA. AF_12/2021</t>
  </si>
  <si>
    <t xml:space="preserve"> 6.6.2</t>
  </si>
  <si>
    <t xml:space="preserve"> 105024 </t>
  </si>
  <si>
    <t>VERGA MOLDADA IN LOCO EM CONCRETO, ESPESSURA DE *10* CM. AF_03/2024</t>
  </si>
  <si>
    <t xml:space="preserve"> 6.6.3</t>
  </si>
  <si>
    <t xml:space="preserve"> 105030 </t>
  </si>
  <si>
    <t>CONTRAVERGA MOLDADA IN LOCO EM CONCRETO, ESPESSURA DE *10* CM. AF_03/2024</t>
  </si>
  <si>
    <t xml:space="preserve"> 6.6.4</t>
  </si>
  <si>
    <t xml:space="preserve"> 101963 </t>
  </si>
  <si>
    <t>LAJE PRÉ-MOLDADA UNIDIRECIONAL, BIAPOIADA, PARA PISO, ENCHIMENTO EM CERÂMICA, VIGOTA CONVENCIONAL, ALTURA TOTAL DA LAJE (ENCHIMENTO+CAPA) = (8+4). AF_11/2020_PA</t>
  </si>
  <si>
    <t xml:space="preserve"> 6.6.5</t>
  </si>
  <si>
    <t xml:space="preserve"> ED-48295 </t>
  </si>
  <si>
    <t>CORTE, DOBRA E MONTAGEM DE AÇO CA 50, DIÂMETRO (6,3MM A 12,5MM), INCLUSIVE ESPAÇADOR</t>
  </si>
  <si>
    <t>Kg</t>
  </si>
  <si>
    <t xml:space="preserve"> 6.6.6</t>
  </si>
  <si>
    <t xml:space="preserve"> ED-49644 </t>
  </si>
  <si>
    <t>FÔRMA E DESFORMA DE COMPENSADO RESINADO, ESP. 10MM, REAPROVEITAMENTO (3X), EXCLUSIVE ESCORAMENTO</t>
  </si>
  <si>
    <t xml:space="preserve"> 6.6.7</t>
  </si>
  <si>
    <t xml:space="preserve"> 94964 </t>
  </si>
  <si>
    <t>CONCRETO FCK = 20MPA, TRAÇO 1:2,7:3 (EM MASSA SECA DE CIMENTO/ AREIA MÉDIA/ BRITA 1) - PREPARO MECÂNICO COM BETONEIRA 400 L. AF_05/2021</t>
  </si>
  <si>
    <t>m³</t>
  </si>
  <si>
    <t xml:space="preserve"> 6.6.8</t>
  </si>
  <si>
    <t xml:space="preserve"> 87878 </t>
  </si>
  <si>
    <t>CHAPISCO APLICADO EM ALVENARIAS E ESTRUTURAS DE CONCRETO INTERNAS, COM COLHER DE PEDREIRO.  ARGAMASSA TRAÇO 1:3 COM PREPARO MANUAL. AF_10/2022</t>
  </si>
  <si>
    <t xml:space="preserve"> 6.6.9</t>
  </si>
  <si>
    <t xml:space="preserve"> 87550 </t>
  </si>
  <si>
    <t>EMBOÇO, EM ARGAMASSA TRAÇO 1:2:8, PREPARO MANUAL, APLICADO MANUALMENTE EM PAREDES INTERNAS DE AMBIENTES COM ÁREA ENTRE 5M² E 10M², E = 10MM, COM TALISCAS. AF_03/2024</t>
  </si>
  <si>
    <t xml:space="preserve"> 6.6.10</t>
  </si>
  <si>
    <t xml:space="preserve"> 88485 </t>
  </si>
  <si>
    <t>FUNDO SELADOR ACRÍLICO, APLICAÇÃO MANUAL EM PAREDE, UMA DEMÃO. AF_04/2023</t>
  </si>
  <si>
    <t xml:space="preserve"> 6.6.11</t>
  </si>
  <si>
    <t xml:space="preserve"> 88489 </t>
  </si>
  <si>
    <t>PINTURA LÁTEX ACRÍLICA PREMIUM, APLICAÇÃO MANUAL EM PAREDES, DUAS DEMÃOS. AF_04/2023</t>
  </si>
  <si>
    <t xml:space="preserve"> 6.6.12</t>
  </si>
  <si>
    <t xml:space="preserve"> ED-50989 </t>
  </si>
  <si>
    <t>PORTA CORTA FOGO, DIMENSÃO (90X210)CM, TIPO DE ABRIR, UMA (1) FOLHA, INCLUSIVE DOBRADIÇA ESPECIAL, MOLA DE FECHAMENTO, FECHADURA, MAÇANETA E DEMAIS FERRAGENS DE ACABAMENTO, EXCLUSIVE PINTURA</t>
  </si>
  <si>
    <t xml:space="preserve"> 6.6.13</t>
  </si>
  <si>
    <t xml:space="preserve"> ED-50960 </t>
  </si>
  <si>
    <t>FORNECIMENTO DE JANELA VENEZIANA FIXAS METALON, INCLUSIVE ASSENTAMENTO, FERRAGENS E ACESSÓRIOS</t>
  </si>
  <si>
    <t xml:space="preserve"> 6.6.14</t>
  </si>
  <si>
    <t xml:space="preserve"> 100757 </t>
  </si>
  <si>
    <t>PINTURA COM TINTA ALQUÍDICA DE ACABAMENTO (ESMALTE SINTÉTICO ACETINADO) PULVERIZADA SOBRE SUPERFÍCIES METÁLICAS (EXCETO PERFIL) EXECUTADO EM OBRA (02 DEMÃOS). AF_01/2020_PE</t>
  </si>
  <si>
    <t xml:space="preserve"> 6.6.15</t>
  </si>
  <si>
    <t xml:space="preserve"> 6.6.16</t>
  </si>
  <si>
    <t xml:space="preserve"> 6.6.17</t>
  </si>
  <si>
    <t xml:space="preserve"> 6.6.18</t>
  </si>
  <si>
    <t xml:space="preserve"> 6.6.19</t>
  </si>
  <si>
    <t xml:space="preserve"> 92023 </t>
  </si>
  <si>
    <t>INTERRUPTOR SIMPLES (1 MÓDULO) COM 1 TOMADA DE EMBUTIR 2P+T 10 A, INCLUINDO SUPORTE E PLACA - FORNECIMENTO E INSTALAÇÃO. AF_03/2023</t>
  </si>
  <si>
    <t xml:space="preserve"> 6.6.20</t>
  </si>
  <si>
    <t xml:space="preserve"> 6.6.21</t>
  </si>
  <si>
    <t xml:space="preserve"> 100910 </t>
  </si>
  <si>
    <t>LUMINÁRIA TIPO CALHA, DE SOBREPOR, COM 2 LÂMPADAS TUBULARES LED DE 18 W, SEM REATOR - FORNECIMENTO E INSTALAÇÃO. AF_09/2024</t>
  </si>
  <si>
    <t>6.7</t>
  </si>
  <si>
    <t xml:space="preserve"> 6.7.1</t>
  </si>
  <si>
    <t xml:space="preserve"> 6.7.2</t>
  </si>
  <si>
    <t>6.8</t>
  </si>
  <si>
    <t xml:space="preserve"> 6.8.1 </t>
  </si>
  <si>
    <t>PROJETO "AS BUILT" INSTALAÇÕES ELÉTRICAS</t>
  </si>
  <si>
    <t>SERVIÇOS FINAIS</t>
  </si>
  <si>
    <t xml:space="preserve"> 7.1 </t>
  </si>
  <si>
    <t>MOBILIZAÇÃO E DESMOBILIZAÇÃO DE OBRA</t>
  </si>
  <si>
    <t>Totais -&gt;</t>
  </si>
  <si>
    <t>Total sem BDI</t>
  </si>
  <si>
    <t>Total do BDI</t>
  </si>
  <si>
    <t>Total Geral</t>
  </si>
  <si>
    <t xml:space="preserve">                                                                      COMPOSIÇÃO DE BDI CONVENCIONAL COM DESONERAÇÃO DA FOLHA DE PAGAMENTO</t>
  </si>
  <si>
    <t>OBRA: INSTALAÇÕES DE INCÊNDIO - SEDES TRF6 - JUSTIÇA FEDERAL DE PRIMEIRO GRAU DE MINAS GERAIS</t>
  </si>
  <si>
    <t>DATA BASE: MAIO/2025</t>
  </si>
  <si>
    <t>M.O. COM ENCARGOS COMPLEMENTARES</t>
  </si>
  <si>
    <t>COMPOSIÇÃO DA TAXA DE BONIFICAÇÃO E DESPESAS INDIRETAS – BDI</t>
  </si>
  <si>
    <t>BDI CONVENCIONAL COM DESONERAÇÃO DA FOLHA DE PAGAMENTO:</t>
  </si>
  <si>
    <r>
      <t xml:space="preserve">BDI =   </t>
    </r>
    <r>
      <rPr>
        <b/>
        <u/>
        <sz val="12"/>
        <color indexed="8"/>
        <rFont val="Arial"/>
        <family val="2"/>
      </rPr>
      <t>(1 + AC + S + R + G).(1 + DF).(1 + L)</t>
    </r>
    <r>
      <rPr>
        <b/>
        <sz val="12"/>
        <color indexed="8"/>
        <rFont val="Arial"/>
        <family val="2"/>
      </rPr>
      <t xml:space="preserve"> – 1</t>
    </r>
  </si>
  <si>
    <t>                                       (1 - I)             </t>
  </si>
  <si>
    <t>Fonte: Acórdão 2.622/2013-TCU-Plenário</t>
  </si>
  <si>
    <t>onde:</t>
  </si>
  <si>
    <r>
      <t>AC</t>
    </r>
    <r>
      <rPr>
        <sz val="12"/>
        <color indexed="8"/>
        <rFont val="Arial"/>
        <family val="2"/>
      </rPr>
      <t xml:space="preserve"> é a taxa de rateio da Administração Central;</t>
    </r>
  </si>
  <si>
    <r>
      <t>S</t>
    </r>
    <r>
      <rPr>
        <sz val="12"/>
        <color indexed="8"/>
        <rFont val="Arial"/>
        <family val="2"/>
      </rPr>
      <t xml:space="preserve"> é uma taxa representativa de Seguros;</t>
    </r>
  </si>
  <si>
    <r>
      <t>R</t>
    </r>
    <r>
      <rPr>
        <sz val="12"/>
        <color indexed="8"/>
        <rFont val="Arial"/>
        <family val="2"/>
      </rPr>
      <t xml:space="preserve"> corresponde aos riscos e imprevistos;</t>
    </r>
  </si>
  <si>
    <r>
      <t>G</t>
    </r>
    <r>
      <rPr>
        <sz val="12"/>
        <color indexed="8"/>
        <rFont val="Arial"/>
        <family val="2"/>
      </rPr>
      <t xml:space="preserve"> é a taxa que representa o ônus das garantias exigidas em edital;</t>
    </r>
  </si>
  <si>
    <r>
      <t>DF</t>
    </r>
    <r>
      <rPr>
        <sz val="12"/>
        <color indexed="8"/>
        <rFont val="Arial"/>
        <family val="2"/>
      </rPr>
      <t xml:space="preserve"> é a taxa representativa das despesas financeiras;</t>
    </r>
  </si>
  <si>
    <r>
      <t>L</t>
    </r>
    <r>
      <rPr>
        <sz val="12"/>
        <color indexed="8"/>
        <rFont val="Arial"/>
        <family val="2"/>
      </rPr>
      <t xml:space="preserve"> corresponde ao lucro bruto;</t>
    </r>
  </si>
  <si>
    <r>
      <t>I</t>
    </r>
    <r>
      <rPr>
        <sz val="12"/>
        <color indexed="8"/>
        <rFont val="Arial"/>
        <family val="2"/>
      </rPr>
      <t xml:space="preserve"> é a taxa representativa dos impostos (incidentes sobre o valor faturado).</t>
    </r>
  </si>
  <si>
    <t>Intervalo de Admissibilidade</t>
  </si>
  <si>
    <t>Valores Propostos</t>
  </si>
  <si>
    <t>Mínimo</t>
  </si>
  <si>
    <t>Médio</t>
  </si>
  <si>
    <t>Máximo</t>
  </si>
  <si>
    <t>Administração Central</t>
  </si>
  <si>
    <t>Seguros e Garantias</t>
  </si>
  <si>
    <t>Riscos</t>
  </si>
  <si>
    <t>Despesas Financeiras</t>
  </si>
  <si>
    <t>Lucro</t>
  </si>
  <si>
    <t>Valores Propostos (%)</t>
  </si>
  <si>
    <t>Impostos</t>
  </si>
  <si>
    <t>Tributos</t>
  </si>
  <si>
    <t>ISS</t>
  </si>
  <si>
    <t>PIS</t>
  </si>
  <si>
    <t>COFINS</t>
  </si>
  <si>
    <t>CPRB</t>
  </si>
  <si>
    <t>BDI referencial =</t>
  </si>
  <si>
    <t>NOTAS:</t>
  </si>
  <si>
    <t>1. A planilha orçamentária fornecida deverá ser preenchida pelos licitantes com custos unitários de cada item de serviço. O BDI convencional, que incidirá sobre o somatório dos custos totais de cada item de serviço, deverá ser apresentado à parte, nos moldes deste Anexo.</t>
  </si>
  <si>
    <t>2. Cada licitante deverá compor sua taxa de BDI convencional com base em fórmula apresentada acima, levando em conta que nesta taxa deverão estar considerados, além dos impostos, as despesas indiretas não explicitadas na planilha orçamentária e o lucro.</t>
  </si>
  <si>
    <t>3. Os valores propostos levaram em consideração o tipo de obra Construção de Edifícios.</t>
  </si>
  <si>
    <t>4. Os impostos incidentes sobre o faturamento considerados foram (ajustar ISS conforme legislação tributária do município local):                                                                                ISS = 5,0% (adotado 2,5% nas fórmulas de cálculo, pois a mão de obra é considerada como 50% do total do valor do fornecimento - Regulamento do imposto sobre serviços de qualquer natureza - ISSQN); PIS = 0,65%; COFINS = 3,00% e CPRB = 3,60% (Contribuição Previdenciária sobre a Receita Bruta)</t>
  </si>
  <si>
    <t>5. A composição do BDI das empresas comprovadamente optantes pelo Simples Nacional, regime de tributação favorecido e diferenciado, deve prever percentuais dos tributos ISS, PIS e COFINS compatíveis com as alíquotas que a empresa está obrigada a recolher de acordo com os percentuais previstos na legislação complementar, bem como a composição de encargos sociais não deve incluir os gastos relativos às contribuições que estão dispensadas de recolhimento (Sesi, Senai, Sebrae etc.), de forma que os benefícios tributários conferidos por expressa disposição legal sejam devidamente refletidos nos preços contratados pela Administração.</t>
  </si>
  <si>
    <t>Obra:</t>
  </si>
  <si>
    <t>Prop.:</t>
  </si>
  <si>
    <t>Local:</t>
  </si>
  <si>
    <t>Ref.:</t>
  </si>
  <si>
    <r>
      <t>SINAPI - CÁLCULOS E PARÂMETROS - 7ª Edição - Atualizada em Fevereiro</t>
    </r>
    <r>
      <rPr>
        <b/>
        <sz val="10"/>
        <rFont val="Calibri"/>
        <family val="2"/>
      </rPr>
      <t>/2025</t>
    </r>
  </si>
  <si>
    <t>COMPOSIÇÃO DE LEIS SOCIAIS SOBRE MÃO DE OBRA - COM DESONERAÇÃO</t>
  </si>
  <si>
    <t>CÓDIGO</t>
  </si>
  <si>
    <t>Discriminação</t>
  </si>
  <si>
    <t>PERCENTUAIS</t>
  </si>
  <si>
    <t>HORISTA %</t>
  </si>
  <si>
    <t>MENSALISTA %</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</si>
  <si>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</si>
  <si>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</si>
  <si>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</si>
  <si>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</si>
  <si>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</si>
  <si>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</si>
  <si>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</si>
  <si>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</si>
  <si>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</si>
  <si>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</si>
  <si>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</si>
  <si>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</si>
  <si>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</si>
  <si>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</si>
  <si>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</si>
  <si>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</si>
  <si>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</si>
  <si>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</si>
  <si>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</si>
  <si>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</si>
  <si>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 DE ENCARGOS SOCIAIS BÁSICOS</t>
  </si>
  <si>
    <t>GRUPO B</t>
  </si>
  <si>
    <t>B1</t>
  </si>
  <si>
    <t>REPOUSO SEMANAL REMUNERADO</t>
  </si>
  <si>
    <t>B2</t>
  </si>
  <si>
    <t>FERIADOS</t>
  </si>
  <si>
    <t>B3</t>
  </si>
  <si>
    <t>AUXÍLIO - ENFERMIDADE</t>
  </si>
  <si>
    <t>B4</t>
  </si>
  <si>
    <t>13° SALÁRIO</t>
  </si>
  <si>
    <t>B5</t>
  </si>
  <si>
    <t>LICENÇA PATERNIDADE</t>
  </si>
  <si>
    <t>B6</t>
  </si>
  <si>
    <t>FALTAS JUSTIFICADAS</t>
  </si>
  <si>
    <t>B7</t>
  </si>
  <si>
    <t>DIAS DE CHUVA</t>
  </si>
  <si>
    <t>B8</t>
  </si>
  <si>
    <t>AUXÍLIO ACIDENTE DE TRABALHO</t>
  </si>
  <si>
    <t>B9</t>
  </si>
  <si>
    <t>FÉRIAS GOZADAS</t>
  </si>
  <si>
    <t>B10</t>
  </si>
  <si>
    <t>SALÁRIO MATERNIDADE</t>
  </si>
  <si>
    <t>B</t>
  </si>
  <si>
    <t>TOTAL DE ENCARGOS SOCIAIS QUE RECEBEM INCIDÊNCIAS DE "A"</t>
  </si>
  <si>
    <t>GRUPO C</t>
  </si>
  <si>
    <t>C1</t>
  </si>
  <si>
    <t>AVISO PRÉVIO INDENIZADO</t>
  </si>
  <si>
    <t>C2</t>
  </si>
  <si>
    <t>AVISO PRÉVIO TRABALHADO</t>
  </si>
  <si>
    <t>C3</t>
  </si>
  <si>
    <t>FÉRIAS INDENIZADAS</t>
  </si>
  <si>
    <t>C4</t>
  </si>
  <si>
    <t>DEPÓSITO RESCISÃO SEM JUSTA CAUSA</t>
  </si>
  <si>
    <t>C5</t>
  </si>
  <si>
    <t>INDENIZAÇÃO ADICIONAL</t>
  </si>
  <si>
    <t>C</t>
  </si>
  <si>
    <t>TOTAL DE ENCARGOS SOCIAIS QUE NÃO RECEBEM INCIDÊNCIAS DE "A"</t>
  </si>
  <si>
    <t>GRUPO D</t>
  </si>
  <si>
    <t>D1</t>
  </si>
  <si>
    <t>REINCIDÊNCIA DE GRUPO "A" SOBRE O GRUPO "B"</t>
  </si>
  <si>
    <t>D2</t>
  </si>
  <si>
    <t>REINCIDÊNCIA DE GRUPO "A" SOBRE AVISO PRÉVIO TRABALHADO E REINCIDÊNCIA DO FGTS SOBRE AVISO PRÉVIO INDENIZADO.</t>
  </si>
  <si>
    <t>D</t>
  </si>
  <si>
    <t>TOTAL DE REINCIDÊNCIAS DE UM GRUPO SOBRE O OUTRO</t>
  </si>
  <si>
    <t>TOTAL ( A + B + C + D )</t>
  </si>
  <si>
    <t>CRONOGRAMA FÍSICO-FINANCEIRO</t>
  </si>
  <si>
    <t>SUB TOTAIS</t>
  </si>
  <si>
    <t>MESES</t>
  </si>
  <si>
    <t>TOTAL E TOTAL MENSAL</t>
  </si>
  <si>
    <t>TOTAL ACUMULADO MENSAL</t>
  </si>
  <si>
    <t>% MENSAL</t>
  </si>
  <si>
    <t>% ACUMULADO PREVISTO</t>
  </si>
  <si>
    <t>VALOR MEDIDO</t>
  </si>
  <si>
    <t>VALOR ACUMULADO</t>
  </si>
  <si>
    <t>% MEDIÇÃO REAL MENSAL</t>
  </si>
  <si>
    <t xml:space="preserve">% AVANÇO </t>
  </si>
  <si>
    <t>% ACUMULADO REAL</t>
  </si>
  <si>
    <t>INSTALAÇÕES DE INCÊNDIO - SEDES TRF6 - JUSTIÇA FEDERAL DE PRIMEIRO GRAU DE MINAS GERAIS</t>
  </si>
  <si>
    <t>26,57%</t>
  </si>
  <si>
    <t xml:space="preserve"> 1.2 </t>
  </si>
  <si>
    <t>PLOTAGEM FORMATO A1 OU A0</t>
  </si>
  <si>
    <t xml:space="preserve"> 6 </t>
  </si>
  <si>
    <t xml:space="preserve"> 6.1 </t>
  </si>
  <si>
    <t>122.503,01</t>
  </si>
  <si>
    <t>207.466,65</t>
  </si>
  <si>
    <t>329.969,66</t>
  </si>
  <si>
    <t xml:space="preserve">_______________________________________________________________
</t>
  </si>
  <si>
    <t xml:space="preserve">INSTALAÇÕES DE INCÊNDIO - GALPÃO - JUSTIÇA FEDERAL DE PRIMEIRO GRAU DE MINAS </t>
  </si>
  <si>
    <t xml:space="preserve">SINAPI - Minas Gerais
SETOP - Minas Gerais
</t>
  </si>
  <si>
    <t xml:space="preserve"> 2.2 </t>
  </si>
  <si>
    <t xml:space="preserve"> 2.3 </t>
  </si>
  <si>
    <t xml:space="preserve"> 6.2 </t>
  </si>
  <si>
    <t xml:space="preserve"> 6.3 </t>
  </si>
  <si>
    <t xml:space="preserve"> 6.4 </t>
  </si>
  <si>
    <t xml:space="preserve"> 6.5 </t>
  </si>
  <si>
    <t xml:space="preserve"> 6.6 </t>
  </si>
  <si>
    <t xml:space="preserve"> 6.7 </t>
  </si>
  <si>
    <t xml:space="preserve"> 6.8 </t>
  </si>
  <si>
    <t xml:space="preserve"> 7 </t>
  </si>
  <si>
    <t xml:space="preserve"> 7.2 </t>
  </si>
  <si>
    <t xml:space="preserve"> 7.3 </t>
  </si>
  <si>
    <t xml:space="preserve"> 7.4 </t>
  </si>
  <si>
    <t xml:space="preserve"> 7.5 </t>
  </si>
  <si>
    <t xml:space="preserve"> 8 </t>
  </si>
  <si>
    <t xml:space="preserve"> 8.1 </t>
  </si>
  <si>
    <t xml:space="preserve"> 8.2 </t>
  </si>
  <si>
    <t xml:space="preserve"> 8.3 </t>
  </si>
  <si>
    <t xml:space="preserve"> 8.4 </t>
  </si>
  <si>
    <t xml:space="preserve"> 8.5 </t>
  </si>
  <si>
    <t xml:space="preserve"> 8.6 </t>
  </si>
  <si>
    <t xml:space="preserve"> 8.7 </t>
  </si>
  <si>
    <t xml:space="preserve"> 8.8 </t>
  </si>
  <si>
    <t xml:space="preserve"> 8.9 </t>
  </si>
  <si>
    <t xml:space="preserve"> 8.10 </t>
  </si>
  <si>
    <t xml:space="preserve"> 8.11 </t>
  </si>
  <si>
    <t xml:space="preserve"> 8.12 </t>
  </si>
  <si>
    <t xml:space="preserve"> 8.13 </t>
  </si>
  <si>
    <t xml:space="preserve"> 8.14 </t>
  </si>
  <si>
    <t xml:space="preserve"> 8.15 </t>
  </si>
  <si>
    <t xml:space="preserve"> 8.16 </t>
  </si>
  <si>
    <t xml:space="preserve"> 8.17 </t>
  </si>
  <si>
    <t xml:space="preserve"> 8.18 </t>
  </si>
  <si>
    <t xml:space="preserve"> 8.19 </t>
  </si>
  <si>
    <t xml:space="preserve"> 8.20 </t>
  </si>
  <si>
    <t xml:space="preserve"> 8.21 </t>
  </si>
  <si>
    <t xml:space="preserve"> 9 </t>
  </si>
  <si>
    <t xml:space="preserve"> 9.1 </t>
  </si>
  <si>
    <t xml:space="preserve"> 9.2 </t>
  </si>
  <si>
    <t xml:space="preserve"> 10 </t>
  </si>
  <si>
    <t xml:space="preserve"> 10.1 </t>
  </si>
  <si>
    <t xml:space="preserve"> 11 </t>
  </si>
  <si>
    <t xml:space="preserve"> 11.1 </t>
  </si>
  <si>
    <t>36.269,43</t>
  </si>
  <si>
    <t>84.739,42</t>
  </si>
  <si>
    <t>121.008,85</t>
  </si>
  <si>
    <t>MOBILIZAÇÃO E DESMOBILIZAÇÃO DE OBRA (SEDES E GALPÃO)</t>
  </si>
  <si>
    <t>ADMINISTRAÇÃO LOCAL (SEDES E GALPÃO)</t>
  </si>
  <si>
    <t xml:space="preserve"> 3.2.6</t>
  </si>
  <si>
    <t xml:space="preserve"> 3.2.7</t>
  </si>
  <si>
    <t xml:space="preserve"> 3.2.8</t>
  </si>
  <si>
    <t xml:space="preserve"> 3.2.9</t>
  </si>
  <si>
    <t xml:space="preserve"> 3.2.10</t>
  </si>
  <si>
    <t xml:space="preserve"> 3.2.11</t>
  </si>
  <si>
    <t xml:space="preserve"> 3.2.12</t>
  </si>
  <si>
    <t xml:space="preserve"> 3.2.13</t>
  </si>
  <si>
    <t xml:space="preserve"> 3.2.14</t>
  </si>
  <si>
    <t xml:space="preserve">ED-50205 </t>
  </si>
  <si>
    <t>PLACA FOTOLUMINESCENTE PARA SINALIZAÇÃO DE EMERGÊNCIA, TIPO "S12", DIMENSÃO (380X190)MM, INCLUSIVE FIXAÇÃO</t>
  </si>
  <si>
    <t xml:space="preserve">ED-29388 </t>
  </si>
  <si>
    <t>PLACA FOTOLUMINESCENTE PARA SINALIZAÇÃO DE EMERGÊNCIA, TIPO "E1", DIMENSÃO (300X300)MM, INCLUSIVE FIXAÇÃO</t>
  </si>
  <si>
    <t xml:space="preserve">ED-29389 </t>
  </si>
  <si>
    <t>PLACA FOTOLUMINESCENTE PARA SINALIZAÇÃO DE EMERGÊNCIA, TIPO "E2", DIMENSÃO (150X100)MM, INCLUSIVE FIXAÇÃO</t>
  </si>
  <si>
    <t xml:space="preserve">ED-29392 </t>
  </si>
  <si>
    <t>PLACA FOTOLUMINESCENTE PARA SINALIZAÇÃO DE EMERGÊNCIA, TIPO "E9", DIMENSÃO (300X300)MM, INCLUSIVE FIXAÇÃO</t>
  </si>
  <si>
    <t xml:space="preserve">ED-32246 </t>
  </si>
  <si>
    <t xml:space="preserve">ED-32247 </t>
  </si>
  <si>
    <t>PLACA FOTOLUMINESCENTE PARA SINALIZAÇÃO DE EMERGÊNCIA, TIPO "M2", DIMENSÃO (380X190)MM, INCLUSIVE FIXAÇÃO</t>
  </si>
  <si>
    <t>PL-INC-P4</t>
  </si>
  <si>
    <t>PLACA FOTOLUMINESCENTE PARA SINALIZAÇÃO DE EMERGÊNCIA, TIPO "P4", DIMENSÃO (150X150)MM, INCLUSIVE FIXAÇÃO</t>
  </si>
  <si>
    <t>PL-INC-C1</t>
  </si>
  <si>
    <t>PLACA FOTOLUMINESCENTE PARA SINALIZAÇÃO DE EMERGÊNCIA, TIPO "C1", ROTA DE FUGA, DIMENSÃO (380X190)MM, INCLUSIVE FIXAÇÃO</t>
  </si>
  <si>
    <t xml:space="preserve">ED-50199 </t>
  </si>
  <si>
    <t xml:space="preserve"> 3.3.2</t>
  </si>
  <si>
    <t xml:space="preserve"> 3.3.3</t>
  </si>
  <si>
    <t xml:space="preserve">ED-50193 </t>
  </si>
  <si>
    <t>EXTINTOR DE INCÊNDIO TIPO PÓ QUÍMICO 4 A:40 B:C, CAPACIDADE 6 KG</t>
  </si>
  <si>
    <t xml:space="preserve">ED-50192 </t>
  </si>
  <si>
    <t>EXTINTOR DE INCÊNDIO TIPO PÓ QUÍMICO 20 B:C, CAPACIDADE 6 KG</t>
  </si>
  <si>
    <r>
      <t>Orçamento Edifícios Sede do TRF6 e Orçamento Galpão (</t>
    </r>
    <r>
      <rPr>
        <b/>
        <sz val="10"/>
        <color rgb="FF000000"/>
        <rFont val="Calibri"/>
      </rPr>
      <t>pág. 14 até pág. 24</t>
    </r>
    <r>
      <rPr>
        <sz val="10"/>
        <color rgb="FF000000"/>
        <rFont val="Calibri"/>
      </rPr>
      <t>).</t>
    </r>
  </si>
  <si>
    <r>
      <t>Planilha Curva ABC de Serviços e Insumos (</t>
    </r>
    <r>
      <rPr>
        <b/>
        <sz val="10"/>
        <color rgb="FF000000"/>
        <rFont val="Calibri"/>
      </rPr>
      <t>pág. 25 até pág. 42</t>
    </r>
    <r>
      <rPr>
        <sz val="10"/>
        <color rgb="FF000000"/>
        <rFont val="Calibri"/>
      </rPr>
      <t>).</t>
    </r>
  </si>
  <si>
    <r>
      <t>Composições de Preços Unitários (</t>
    </r>
    <r>
      <rPr>
        <b/>
        <sz val="10"/>
        <color rgb="FF000000"/>
        <rFont val="Calibri"/>
      </rPr>
      <t>pág. 43 até pág. 202</t>
    </r>
    <r>
      <rPr>
        <sz val="10"/>
        <color rgb="FF000000"/>
        <rFont val="Calibri"/>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</si>
</sst>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 #,##0.00_-;\-&quot;R$&quot;\ * #,##0.00_-;_-&quot;R$&quot;\ * &quot;-&quot;??_-;_-@_-"/>
    <numFmt numFmtId="43" formatCode="_-* #,##0.00_-;\-* #,##0.00_-;_-* &quot;-&quot;??_-;_-@_-"/>
    <numFmt numFmtId="164" formatCode="&quot;R$ &quot;#,##0.00_);[Red]&quot;(R$ &quot;#,##0.00\)"/>
    <numFmt numFmtId="165" formatCode="_([$€-2]* #,##0.00_);_([$€-2]* \(#,##0.00\);_([$€-2]* \-??_)"/>
    <numFmt numFmtId="166" formatCode="_(&quot;R$ &quot;* #,##0.00_);_(&quot;R$ &quot;* \(#,##0.00\);_(&quot;R$ &quot;* \-??_);_(@_)"/>
    <numFmt numFmtId="167" formatCode="_-&quot;R$ &quot;* #,##0.00_-;&quot;-R$ &quot;* #,##0.00_-;_-&quot;R$ &quot;* \-??_-;_-@_-"/>
    <numFmt numFmtId="168" formatCode="[$-416]mmmm\-yy;@"/>
    <numFmt numFmtId="169" formatCode="[$-F400]h:mm:ss\ AM/PM"/>
    <numFmt numFmtId="170" formatCode="_(* #,##0.00_);_(* \(#,##0.00\);_(* \-??_);_(@_)"/>
    <numFmt numFmtId="171" formatCode="&quot;R$ &quot;#,##0_);&quot;(R$ &quot;#,##0\)"/>
    <numFmt numFmtId="172" formatCode="_-* #,##0.00_-;\-* #,##0.00_-;_-* \-??_-;_-@_-"/>
    <numFmt numFmtId="173" formatCode="&quot;Mês &quot;0"/>
    <numFmt numFmtId="174" formatCode="#,##0.00_ ;[Red]\-#,##0.00\ "/>
    <numFmt numFmtId="175" formatCode="d/m/yyyy"/>
    <numFmt numFmtId="176" formatCode="&quot;R$ &quot;#,##0.00"/>
    <numFmt numFmtId="177" formatCode="_-[$R$-416]\ * #,##0.00_-;\-[$R$-416]\ * #,##0.00_-;_-[$R$-416]\ * &quot;-&quot;??_-;_-@_-"/>
  </numFmts>
  <fonts count="74">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9"/>
      <color rgb="FFFF0000"/>
      <name val="Geneva"/>
      <family val="2"/>
      <charset val="1"/>
    </font>
    <font>
      <sz val="10"/>
      <name val="Arial"/>
      <family val="2"/>
      <charset val="204"/>
    </font>
    <font>
      <sz val="10"/>
      <name val="Arial"/>
      <family val="2"/>
      <charset val="1"/>
    </font>
    <font>
      <u/>
      <sz val="10"/>
      <color rgb="FF0000FF"/>
      <name val="Arial"/>
      <family val="2"/>
      <charset val="1"/>
    </font>
    <font>
      <sz val="11"/>
      <name val="Arial"/>
      <family val="2"/>
      <charset val="1"/>
    </font>
    <font>
      <sz val="10"/>
      <name val="Courier New"/>
      <family val="3"/>
      <charset val="1"/>
    </font>
    <font>
      <sz val="12"/>
      <color rgb="FF000000"/>
      <name val="Arial"/>
      <family val="2"/>
      <charset val="1"/>
    </font>
    <font>
      <b/>
      <sz val="16"/>
      <color rgb="FF000000"/>
      <name val="Calibri"/>
      <family val="2"/>
      <charset val="1"/>
    </font>
    <font>
      <b/>
      <sz val="12"/>
      <color rgb="FF000000"/>
      <name val="Calibri"/>
      <family val="2"/>
      <charset val="1"/>
    </font>
    <font>
      <sz val="12"/>
      <color rgb="FF000000"/>
      <name val="Calibri"/>
      <family val="2"/>
      <charset val="1"/>
    </font>
    <font>
      <b/>
      <sz val="11"/>
      <color rgb="FF000000"/>
      <name val="Calibri"/>
      <family val="2"/>
      <charset val="1"/>
    </font>
    <font>
      <i/>
      <sz val="11"/>
      <color rgb="FF000000"/>
      <name val="Calibri"/>
      <family val="2"/>
      <charset val="1"/>
    </font>
    <font>
      <b/>
      <i/>
      <sz val="12"/>
      <color rgb="FF000000"/>
      <name val="Calibri"/>
      <family val="2"/>
      <charset val="1"/>
    </font>
    <font>
      <b/>
      <sz val="14"/>
      <color rgb="FF000000"/>
      <name val="Calibri"/>
      <family val="2"/>
      <charset val="1"/>
    </font>
    <font>
      <b/>
      <sz val="11"/>
      <color rgb="FF3F3F3F"/>
      <name val="Calibri"/>
      <family val="2"/>
      <charset val="1"/>
    </font>
    <font>
      <sz val="11"/>
      <name val="Calibri"/>
      <family val="2"/>
      <charset val="1"/>
    </font>
    <font>
      <sz val="11"/>
      <color rgb="FF9C6500"/>
      <name val="Calibri"/>
      <family val="2"/>
      <charset val="1"/>
    </font>
    <font>
      <b/>
      <sz val="11"/>
      <color rgb="FFFA7D00"/>
      <name val="Calibri"/>
      <family val="2"/>
      <charset val="1"/>
    </font>
    <font>
      <sz val="11"/>
      <color rgb="FF9C0006"/>
      <name val="Calibri"/>
      <family val="2"/>
      <charset val="1"/>
    </font>
    <font>
      <sz val="11"/>
      <color rgb="FFFFFFFF"/>
      <name val="Calibri"/>
      <family val="2"/>
      <charset val="1"/>
    </font>
    <font>
      <b/>
      <sz val="12"/>
      <color rgb="FF000000"/>
      <name val="Arial"/>
      <family val="2"/>
      <charset val="1"/>
    </font>
    <font>
      <b/>
      <sz val="10"/>
      <name val="Arial"/>
      <family val="2"/>
      <charset val="1"/>
    </font>
    <font>
      <sz val="10"/>
      <color rgb="FF000000"/>
      <name val="Arial"/>
      <family val="2"/>
      <charset val="1"/>
    </font>
    <font>
      <sz val="11"/>
      <color rgb="FF006100"/>
      <name val="Calibri"/>
      <family val="2"/>
      <charset val="1"/>
    </font>
    <font>
      <b/>
      <sz val="10"/>
      <color rgb="FF000000"/>
      <name val="Arial"/>
      <family val="2"/>
      <charset val="1"/>
    </font>
    <font>
      <sz val="10"/>
      <name val="Calibri"/>
      <family val="2"/>
      <charset val="1"/>
    </font>
    <font>
      <b/>
      <sz val="11"/>
      <name val="Calibri"/>
      <family val="2"/>
      <charset val="1"/>
    </font>
    <font>
      <b/>
      <sz val="14"/>
      <name val="Calibri"/>
      <family val="2"/>
      <charset val="1"/>
    </font>
    <font>
      <b/>
      <sz val="12"/>
      <name val="Calibri"/>
      <family val="2"/>
      <charset val="1"/>
    </font>
    <font>
      <b/>
      <sz val="10"/>
      <name val="Calibri"/>
      <family val="2"/>
      <charset val="1"/>
    </font>
    <font>
      <b/>
      <i/>
      <sz val="10"/>
      <name val="Calibri"/>
      <family val="2"/>
      <charset val="1"/>
    </font>
    <font>
      <i/>
      <sz val="10"/>
      <name val="Calibri"/>
      <family val="2"/>
      <charset val="1"/>
    </font>
    <font>
      <sz val="11"/>
      <color rgb="FF000000"/>
      <name val="Calibri"/>
      <family val="2"/>
      <charset val="1"/>
    </font>
    <font>
      <sz val="11"/>
      <name val="Arial"/>
      <family val="2"/>
    </font>
    <font>
      <sz val="10"/>
      <name val="Arial"/>
      <family val="2"/>
    </font>
    <font>
      <b/>
      <sz val="10"/>
      <name val="Calibri"/>
      <family val="2"/>
    </font>
    <font>
      <b/>
      <sz val="9"/>
      <color rgb="FF000000"/>
      <name val="Calibri"/>
      <family val="2"/>
      <charset val="1"/>
    </font>
    <font>
      <u/>
      <sz val="11"/>
      <color rgb="FF0563C1"/>
      <name val="Calibri"/>
      <family val="2"/>
      <charset val="1"/>
    </font>
    <font>
      <sz val="11"/>
      <name val="Arial"/>
      <family val="1"/>
    </font>
    <font>
      <b/>
      <sz val="11"/>
      <name val="Arial"/>
      <family val="1"/>
    </font>
    <font>
      <b/>
      <sz val="10"/>
      <name val="Arial"/>
      <family val="1"/>
    </font>
    <font>
      <b/>
      <sz val="10"/>
      <color rgb="FF000000"/>
      <name val="Arial"/>
      <family val="1"/>
    </font>
    <font>
      <sz val="10"/>
      <color rgb="FF000000"/>
      <name val="Arial"/>
      <family val="1"/>
    </font>
    <font>
      <sz val="10"/>
      <name val="Arial"/>
      <family val="1"/>
    </font>
    <font>
      <sz val="8"/>
      <name val="Calibri"/>
      <family val="2"/>
      <charset val="1"/>
    </font>
    <font>
      <b/>
      <sz val="12"/>
      <color theme="1"/>
      <name val="Arial"/>
      <family val="2"/>
    </font>
    <font>
      <b/>
      <sz val="10"/>
      <name val="Arial"/>
      <family val="2"/>
    </font>
    <font>
      <sz val="8"/>
      <name val="Arial"/>
      <family val="2"/>
    </font>
    <font>
      <b/>
      <sz val="12"/>
      <name val="Arial"/>
      <family val="2"/>
    </font>
    <font>
      <sz val="10"/>
      <color theme="1"/>
      <name val="Calibri"/>
      <family val="2"/>
      <scheme val="minor"/>
    </font>
    <font>
      <b/>
      <sz val="12"/>
      <color theme="1"/>
      <name val="Calibri"/>
      <family val="2"/>
    </font>
    <font>
      <sz val="10"/>
      <color theme="1"/>
      <name val="Arial"/>
      <family val="2"/>
    </font>
    <font>
      <sz val="11"/>
      <color theme="1"/>
      <name val="Arial"/>
      <family val="2"/>
    </font>
    <font>
      <sz val="12"/>
      <color theme="1"/>
      <name val="Arial"/>
      <family val="2"/>
    </font>
    <font>
      <b/>
      <u/>
      <sz val="12"/>
      <color indexed="8"/>
      <name val="Arial"/>
      <family val="2"/>
    </font>
    <font>
      <b/>
      <sz val="12"/>
      <color indexed="8"/>
      <name val="Arial"/>
      <family val="2"/>
    </font>
    <font>
      <i/>
      <sz val="10"/>
      <color theme="1"/>
      <name val="Arial"/>
      <family val="2"/>
    </font>
    <font>
      <sz val="12"/>
      <color indexed="8"/>
      <name val="Arial"/>
      <family val="2"/>
    </font>
    <font>
      <b/>
      <u/>
      <sz val="10"/>
      <color theme="1"/>
      <name val="Arial"/>
      <family val="2"/>
    </font>
    <font>
      <sz val="12"/>
      <color rgb="FFFF0000"/>
      <name val="Arial"/>
      <family val="2"/>
    </font>
    <font>
      <sz val="10"/>
      <color rgb="FFFF0000"/>
      <name val="Arial"/>
      <family val="2"/>
    </font>
    <font>
      <sz val="11"/>
      <color rgb="FFFF0000"/>
      <name val="Arial"/>
      <family val="2"/>
    </font>
    <font>
      <sz val="11"/>
      <color theme="0" tint="-0.499984740745262"/>
      <name val="Calibri"/>
      <family val="2"/>
      <charset val="1"/>
    </font>
    <font>
      <sz val="11"/>
      <color theme="0" tint="-0.499984740745262"/>
      <name val="Arial"/>
      <family val="1"/>
    </font>
    <font>
      <b/>
      <sz val="11"/>
      <color theme="0" tint="-0.499984740745262"/>
      <name val="Calibri"/>
      <family val="2"/>
    </font>
    <font>
      <sz val="10"/>
      <color rgb="FF000000"/>
      <name val="Calibri"/>
      <family val="2"/>
      <charset val="1"/>
    </font>
    <font>
      <u/>
      <sz val="10"/>
      <color rgb="FF000000"/>
      <name val="Calibri"/>
      <family val="2"/>
      <charset val="1"/>
    </font>
    <font>
      <sz val="10"/>
      <color rgb="FF000000"/>
      <name val="Calibri"/>
    </font>
    <font>
      <b/>
      <sz val="10"/>
      <color rgb="FF000000"/>
      <name val="Calibri"/>
    </font>
    <font>
      <i/>
      <sz val="10"/>
      <color rgb="FF000000"/>
      <name val="Calibri"/>
    </font>
  </fonts>
  <fills count="23">
    <fill>
      <patternFill patternType="none"/>
    </fill>
    <fill>
      <patternFill patternType="gray125"/>
    </fill>
    <fill>
      <patternFill patternType="solid">
        <fgColor rgb="FFF2F2F2"/>
        <bgColor rgb="FFE2F0D9"/>
      </patternFill>
    </fill>
    <fill>
      <patternFill patternType="solid">
        <fgColor rgb="FFFFEB9C"/>
        <bgColor rgb="FFFFFFCC"/>
      </patternFill>
    </fill>
    <fill>
      <patternFill patternType="solid">
        <fgColor rgb="FFFFC7CE"/>
        <bgColor rgb="FFD9D9D9"/>
      </patternFill>
    </fill>
    <fill>
      <patternFill patternType="solid">
        <fgColor rgb="FFC6EFCE"/>
        <bgColor rgb="FFCCFFCC"/>
      </patternFill>
    </fill>
    <fill>
      <patternFill patternType="solid">
        <fgColor rgb="FF4472C4"/>
        <bgColor rgb="FF5B9BD5"/>
      </patternFill>
    </fill>
    <fill>
      <patternFill patternType="solid">
        <fgColor rgb="FFE2F0D9"/>
        <bgColor rgb="FFDEEBF7"/>
      </patternFill>
    </fill>
    <fill>
      <patternFill patternType="solid">
        <fgColor rgb="FFFFFFCC"/>
        <bgColor rgb="FFFFFFFF"/>
      </patternFill>
    </fill>
    <fill>
      <patternFill patternType="solid">
        <fgColor rgb="FFFFFFFF"/>
        <bgColor rgb="FFF2F2F2"/>
      </patternFill>
    </fill>
    <fill>
      <patternFill patternType="solid">
        <fgColor rgb="FFD9D9D9"/>
        <bgColor rgb="FFD0CECE"/>
      </patternFill>
    </fill>
    <fill>
      <patternFill patternType="solid">
        <fgColor rgb="FFDEEBF7"/>
        <bgColor rgb="FFDAE3F3"/>
      </patternFill>
    </fill>
    <fill>
      <patternFill patternType="solid">
        <fgColor rgb="FFB4C7E7"/>
        <bgColor rgb="FFBDD7EE"/>
      </patternFill>
    </fill>
    <fill>
      <patternFill patternType="solid">
        <fgColor rgb="FFFFFFFF"/>
        <bgColor rgb="FFFFFFFF"/>
      </patternFill>
    </fill>
    <fill>
      <patternFill patternType="solid">
        <fgColor rgb="FFFFFFFF"/>
      </patternFill>
    </fill>
    <fill>
      <patternFill patternType="solid">
        <fgColor rgb="FFD8ECF6"/>
        <bgColor rgb="FFD8ECF6"/>
      </patternFill>
    </fill>
    <fill>
      <patternFill patternType="solid">
        <fgColor rgb="FFDFF0D8"/>
        <bgColor rgb="FFDFF0D8"/>
      </patternFill>
    </fill>
    <fill>
      <patternFill patternType="solid">
        <fgColor theme="4" tint="0.59999389629810485"/>
        <bgColor rgb="FFD8ECF6"/>
      </patternFill>
    </fill>
    <fill>
      <patternFill patternType="solid">
        <fgColor theme="0"/>
        <bgColor indexed="64"/>
      </patternFill>
    </fill>
    <fill>
      <patternFill patternType="solid">
        <fgColor theme="0" tint="-0.14999847407452621"/>
        <bgColor indexed="64"/>
      </patternFill>
    </fill>
    <fill>
      <patternFill patternType="solid">
        <fgColor rgb="FFFFFF00"/>
        <bgColor rgb="FFFFFFFF"/>
      </patternFill>
    </fill>
    <fill>
      <patternFill patternType="solid">
        <fgColor rgb="FFFFFF00"/>
        <bgColor rgb="FFDFF0D8"/>
      </patternFill>
    </fill>
    <fill>
      <patternFill patternType="solid">
        <fgColor rgb="FFFFFF00"/>
        <bgColor indexed="64"/>
      </patternFill>
    </fill>
  </fills>
  <borders count="66">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style="thin">
        <color auto="1"/>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right/>
      <top style="medium">
        <color indexed="64"/>
      </top>
      <bottom style="medium">
        <color indexed="64"/>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rgb="FFCCCCCC"/>
      </left>
      <right style="thin">
        <color rgb="FFCCCCCC"/>
      </right>
      <top style="thin">
        <color rgb="FFCCCCCC"/>
      </top>
      <bottom style="thin">
        <color rgb="FFCCCCCC"/>
      </bottom>
      <diagonal/>
    </border>
    <border>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auto="1"/>
      </left>
      <right style="medium">
        <color auto="1"/>
      </right>
      <top style="medium">
        <color rgb="FF000000"/>
      </top>
      <bottom style="thin">
        <color auto="1"/>
      </bottom>
      <diagonal/>
    </border>
    <border>
      <left style="medium">
        <color auto="1"/>
      </left>
      <right style="medium">
        <color rgb="FF000000"/>
      </right>
      <top style="medium">
        <color rgb="FF000000"/>
      </top>
      <bottom style="thin">
        <color auto="1"/>
      </bottom>
      <diagonal/>
    </border>
    <border>
      <left style="medium">
        <color rgb="FF000000"/>
      </left>
      <right style="thin">
        <color auto="1"/>
      </right>
      <top style="thin">
        <color auto="1"/>
      </top>
      <bottom style="thin">
        <color auto="1"/>
      </bottom>
      <diagonal/>
    </border>
    <border>
      <left style="medium">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medium">
        <color auto="1"/>
      </left>
      <right style="medium">
        <color auto="1"/>
      </right>
      <top style="thin">
        <color auto="1"/>
      </top>
      <bottom style="medium">
        <color rgb="FF000000"/>
      </bottom>
      <diagonal/>
    </border>
    <border>
      <left style="medium">
        <color auto="1"/>
      </left>
      <right style="medium">
        <color rgb="FF000000"/>
      </right>
      <top style="thin">
        <color auto="1"/>
      </top>
      <bottom style="medium">
        <color rgb="FF000000"/>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s>
  <cellStyleXfs count="101">
    <xf numFmtId="0" fontId="0" fillId="0" borderId="0"/>
    <xf numFmtId="172" fontId="36" fillId="0" borderId="0" applyBorder="0" applyProtection="0"/>
    <xf numFmtId="167" fontId="36" fillId="0" borderId="0" applyBorder="0" applyProtection="0"/>
    <xf numFmtId="9" fontId="36" fillId="0" borderId="0" applyBorder="0" applyProtection="0"/>
    <xf numFmtId="0" fontId="4" fillId="0" borderId="0"/>
    <xf numFmtId="0" fontId="4" fillId="0" borderId="0"/>
    <xf numFmtId="164" fontId="5" fillId="0" borderId="0"/>
    <xf numFmtId="165" fontId="6" fillId="0" borderId="0" applyBorder="0" applyProtection="0"/>
    <xf numFmtId="0" fontId="7" fillId="0" borderId="0" applyBorder="0" applyProtection="0"/>
    <xf numFmtId="0" fontId="7" fillId="0" borderId="0" applyBorder="0" applyProtection="0"/>
    <xf numFmtId="166" fontId="6" fillId="0" borderId="0" applyBorder="0" applyProtection="0"/>
    <xf numFmtId="166" fontId="6" fillId="0" borderId="0" applyBorder="0" applyProtection="0"/>
    <xf numFmtId="166" fontId="6" fillId="0" borderId="0" applyBorder="0" applyProtection="0"/>
    <xf numFmtId="166" fontId="6" fillId="0" borderId="0" applyBorder="0" applyProtection="0"/>
    <xf numFmtId="166" fontId="6" fillId="0" borderId="0" applyBorder="0" applyProtection="0"/>
    <xf numFmtId="166" fontId="6" fillId="0" borderId="0" applyBorder="0" applyProtection="0"/>
    <xf numFmtId="166" fontId="6" fillId="0" borderId="0" applyBorder="0" applyProtection="0"/>
    <xf numFmtId="167" fontId="6" fillId="0" borderId="0" applyBorder="0" applyProtection="0"/>
    <xf numFmtId="166" fontId="6" fillId="0" borderId="0" applyBorder="0" applyProtection="0"/>
    <xf numFmtId="0" fontId="6" fillId="0" borderId="0"/>
    <xf numFmtId="0" fontId="36" fillId="0" borderId="0"/>
    <xf numFmtId="0" fontId="6" fillId="0" borderId="0"/>
    <xf numFmtId="0" fontId="36" fillId="0" borderId="0"/>
    <xf numFmtId="168" fontId="36" fillId="0" borderId="0"/>
    <xf numFmtId="4" fontId="6" fillId="0" borderId="0"/>
    <xf numFmtId="4" fontId="6" fillId="0" borderId="0"/>
    <xf numFmtId="0" fontId="6" fillId="0" borderId="0"/>
    <xf numFmtId="0" fontId="6" fillId="0" borderId="0"/>
    <xf numFmtId="0" fontId="6" fillId="0" borderId="0"/>
    <xf numFmtId="4" fontId="6" fillId="0" borderId="0"/>
    <xf numFmtId="0" fontId="8" fillId="0" borderId="0"/>
    <xf numFmtId="0" fontId="8" fillId="0" borderId="0"/>
    <xf numFmtId="0" fontId="9" fillId="0" borderId="0"/>
    <xf numFmtId="0" fontId="36" fillId="0" borderId="0"/>
    <xf numFmtId="0" fontId="10" fillId="0" borderId="0"/>
    <xf numFmtId="0" fontId="6" fillId="0" borderId="0"/>
    <xf numFmtId="164" fontId="36" fillId="0" borderId="0"/>
    <xf numFmtId="0" fontId="36" fillId="0" borderId="0"/>
    <xf numFmtId="169" fontId="36" fillId="0" borderId="0"/>
    <xf numFmtId="0" fontId="36" fillId="0" borderId="0"/>
    <xf numFmtId="0" fontId="6" fillId="0" borderId="0"/>
    <xf numFmtId="0" fontId="6" fillId="0" borderId="0"/>
    <xf numFmtId="0" fontId="36" fillId="0" borderId="0"/>
    <xf numFmtId="0" fontId="36" fillId="0" borderId="0"/>
    <xf numFmtId="0" fontId="36" fillId="0" borderId="0"/>
    <xf numFmtId="0" fontId="36" fillId="0" borderId="0"/>
    <xf numFmtId="169" fontId="6" fillId="0" borderId="0"/>
    <xf numFmtId="9" fontId="6" fillId="0" borderId="0" applyBorder="0" applyProtection="0"/>
    <xf numFmtId="9" fontId="36" fillId="0" borderId="0" applyBorder="0" applyProtection="0"/>
    <xf numFmtId="9" fontId="6" fillId="0" borderId="0" applyBorder="0" applyProtection="0"/>
    <xf numFmtId="9" fontId="6" fillId="0" borderId="0" applyBorder="0" applyProtection="0"/>
    <xf numFmtId="9" fontId="36" fillId="0" borderId="0" applyBorder="0" applyProtection="0"/>
    <xf numFmtId="9" fontId="6" fillId="0" borderId="0" applyBorder="0" applyProtection="0"/>
    <xf numFmtId="9" fontId="6" fillId="0" borderId="0" applyBorder="0" applyProtection="0"/>
    <xf numFmtId="9" fontId="6" fillId="0" borderId="0" applyBorder="0" applyProtection="0"/>
    <xf numFmtId="9" fontId="36" fillId="0" borderId="0" applyBorder="0" applyProtection="0"/>
    <xf numFmtId="170" fontId="6" fillId="0" borderId="0" applyBorder="0" applyProtection="0"/>
    <xf numFmtId="170" fontId="6" fillId="0" borderId="0" applyBorder="0" applyProtection="0"/>
    <xf numFmtId="170" fontId="6" fillId="0" borderId="0" applyBorder="0" applyProtection="0"/>
    <xf numFmtId="170" fontId="6" fillId="0" borderId="0" applyBorder="0" applyProtection="0"/>
    <xf numFmtId="171" fontId="6" fillId="0" borderId="0" applyBorder="0" applyProtection="0"/>
    <xf numFmtId="170" fontId="6" fillId="0" borderId="0" applyBorder="0" applyProtection="0"/>
    <xf numFmtId="170" fontId="36" fillId="0" borderId="0" applyBorder="0" applyProtection="0"/>
    <xf numFmtId="170" fontId="6" fillId="0" borderId="0" applyBorder="0" applyProtection="0"/>
    <xf numFmtId="170" fontId="6" fillId="0" borderId="0" applyBorder="0" applyProtection="0"/>
    <xf numFmtId="170" fontId="6" fillId="0" borderId="0" applyBorder="0" applyProtection="0"/>
    <xf numFmtId="170" fontId="6" fillId="0" borderId="0" applyBorder="0" applyProtection="0"/>
    <xf numFmtId="172" fontId="36" fillId="0" borderId="0" applyBorder="0" applyProtection="0"/>
    <xf numFmtId="170" fontId="6" fillId="0" borderId="0" applyBorder="0" applyProtection="0"/>
    <xf numFmtId="170" fontId="36" fillId="0" borderId="0" applyBorder="0" applyProtection="0"/>
    <xf numFmtId="172" fontId="36" fillId="0" borderId="0" applyBorder="0" applyProtection="0"/>
    <xf numFmtId="172" fontId="36" fillId="0" borderId="0" applyBorder="0" applyProtection="0"/>
    <xf numFmtId="172" fontId="36" fillId="0" borderId="0" applyBorder="0" applyProtection="0"/>
    <xf numFmtId="0" fontId="18" fillId="2" borderId="1" applyProtection="0"/>
    <xf numFmtId="0" fontId="20" fillId="3" borderId="0" applyBorder="0" applyProtection="0"/>
    <xf numFmtId="0" fontId="21" fillId="2" borderId="2" applyProtection="0"/>
    <xf numFmtId="0" fontId="22" fillId="4" borderId="0" applyBorder="0" applyProtection="0"/>
    <xf numFmtId="0" fontId="27" fillId="5" borderId="0" applyBorder="0" applyProtection="0"/>
    <xf numFmtId="0" fontId="23" fillId="6" borderId="0" applyBorder="0" applyProtection="0"/>
    <xf numFmtId="0" fontId="36" fillId="7" borderId="0" applyBorder="0" applyProtection="0"/>
    <xf numFmtId="0" fontId="36" fillId="8" borderId="3" applyProtection="0"/>
    <xf numFmtId="0" fontId="37" fillId="0" borderId="0"/>
    <xf numFmtId="0" fontId="3" fillId="0" borderId="0"/>
    <xf numFmtId="0" fontId="3" fillId="0" borderId="0"/>
    <xf numFmtId="0" fontId="38" fillId="0" borderId="0"/>
    <xf numFmtId="43" fontId="3" fillId="0" borderId="0" applyFont="0" applyFill="0" applyBorder="0" applyAlignment="0" applyProtection="0"/>
    <xf numFmtId="9" fontId="3" fillId="0" borderId="0" applyFont="0" applyFill="0" applyBorder="0" applyAlignment="0" applyProtection="0"/>
    <xf numFmtId="9" fontId="38" fillId="0" borderId="0" applyFont="0" applyFill="0" applyBorder="0" applyAlignment="0" applyProtection="0"/>
    <xf numFmtId="0" fontId="38" fillId="0" borderId="0"/>
    <xf numFmtId="43" fontId="38" fillId="0" borderId="0" applyFont="0" applyFill="0" applyBorder="0" applyAlignment="0" applyProtection="0"/>
    <xf numFmtId="43" fontId="38"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38" fillId="0" borderId="0"/>
    <xf numFmtId="0" fontId="41" fillId="0" borderId="0" applyBorder="0" applyProtection="0"/>
    <xf numFmtId="0" fontId="42" fillId="0" borderId="0"/>
    <xf numFmtId="0" fontId="1" fillId="0" borderId="0"/>
    <xf numFmtId="0" fontId="38" fillId="0" borderId="0"/>
    <xf numFmtId="0" fontId="38" fillId="0" borderId="0"/>
  </cellStyleXfs>
  <cellXfs count="290">
    <xf numFmtId="0" fontId="0" fillId="0" borderId="0" xfId="0"/>
    <xf numFmtId="0" fontId="0" fillId="0" borderId="0" xfId="0"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4" fillId="0" borderId="0" xfId="0" applyFont="1" applyAlignment="1">
      <alignment horizontal="center" vertical="center"/>
    </xf>
    <xf numFmtId="0" fontId="15" fillId="0" borderId="0" xfId="0" applyFont="1"/>
    <xf numFmtId="0" fontId="16" fillId="0" borderId="0" xfId="0" applyFont="1"/>
    <xf numFmtId="0" fontId="0" fillId="0" borderId="7" xfId="0" applyBorder="1" applyAlignment="1">
      <alignment horizontal="center" vertical="center"/>
    </xf>
    <xf numFmtId="0" fontId="0" fillId="0" borderId="8" xfId="0" applyBorder="1"/>
    <xf numFmtId="0" fontId="13" fillId="0" borderId="0" xfId="0" applyFont="1" applyAlignment="1">
      <alignment horizontal="left" vertical="center"/>
    </xf>
    <xf numFmtId="0" fontId="13" fillId="0" borderId="8" xfId="0" applyFont="1" applyBorder="1" applyAlignment="1">
      <alignment horizontal="left" vertical="center"/>
    </xf>
    <xf numFmtId="0" fontId="0" fillId="0" borderId="0" xfId="0" applyAlignment="1">
      <alignment vertical="center"/>
    </xf>
    <xf numFmtId="0" fontId="0" fillId="0" borderId="0" xfId="0" applyAlignment="1">
      <alignment wrapText="1"/>
    </xf>
    <xf numFmtId="173" fontId="14" fillId="0" borderId="14" xfId="21" applyNumberFormat="1" applyFont="1" applyBorder="1" applyAlignment="1">
      <alignment horizontal="center"/>
    </xf>
    <xf numFmtId="173" fontId="14" fillId="0" borderId="10" xfId="21" applyNumberFormat="1" applyFont="1" applyBorder="1" applyAlignment="1">
      <alignment horizontal="center"/>
    </xf>
    <xf numFmtId="0" fontId="25" fillId="0" borderId="19" xfId="30" applyFont="1" applyBorder="1" applyAlignment="1">
      <alignment horizontal="center" vertical="center"/>
    </xf>
    <xf numFmtId="0" fontId="25" fillId="0" borderId="17" xfId="30" applyFont="1" applyBorder="1" applyAlignment="1">
      <alignment horizontal="center" vertical="center" wrapText="1"/>
    </xf>
    <xf numFmtId="174" fontId="25" fillId="0" borderId="17" xfId="30" applyNumberFormat="1" applyFont="1" applyBorder="1" applyAlignment="1">
      <alignment horizontal="right" vertical="center"/>
    </xf>
    <xf numFmtId="174" fontId="25" fillId="0" borderId="20" xfId="30" applyNumberFormat="1" applyFont="1" applyBorder="1" applyAlignment="1">
      <alignment horizontal="right" vertical="center"/>
    </xf>
    <xf numFmtId="174" fontId="25" fillId="0" borderId="21" xfId="30" applyNumberFormat="1" applyFont="1" applyBorder="1" applyAlignment="1">
      <alignment horizontal="right" vertical="center"/>
    </xf>
    <xf numFmtId="174" fontId="25" fillId="0" borderId="22" xfId="30" applyNumberFormat="1" applyFont="1" applyBorder="1" applyAlignment="1">
      <alignment horizontal="right" vertical="center"/>
    </xf>
    <xf numFmtId="172" fontId="36" fillId="0" borderId="23" xfId="1" applyBorder="1" applyAlignment="1" applyProtection="1">
      <alignment horizontal="center"/>
    </xf>
    <xf numFmtId="10" fontId="36" fillId="0" borderId="23" xfId="3" applyNumberFormat="1" applyBorder="1" applyAlignment="1" applyProtection="1">
      <alignment horizontal="center"/>
    </xf>
    <xf numFmtId="10" fontId="36" fillId="11" borderId="24" xfId="51" applyNumberFormat="1" applyFill="1" applyBorder="1" applyAlignment="1" applyProtection="1">
      <alignment vertical="center"/>
    </xf>
    <xf numFmtId="10" fontId="36" fillId="11" borderId="25" xfId="51" applyNumberFormat="1" applyFill="1" applyBorder="1" applyAlignment="1" applyProtection="1">
      <alignment vertical="center"/>
    </xf>
    <xf numFmtId="10" fontId="0" fillId="0" borderId="0" xfId="0" applyNumberFormat="1"/>
    <xf numFmtId="172" fontId="36" fillId="0" borderId="26" xfId="1" applyBorder="1" applyAlignment="1" applyProtection="1">
      <alignment horizontal="center"/>
    </xf>
    <xf numFmtId="10" fontId="36" fillId="0" borderId="26" xfId="3" applyNumberFormat="1" applyBorder="1" applyAlignment="1" applyProtection="1">
      <alignment horizontal="center"/>
    </xf>
    <xf numFmtId="9" fontId="27" fillId="5" borderId="6" xfId="77" applyNumberFormat="1" applyBorder="1" applyAlignment="1" applyProtection="1">
      <alignment vertical="center"/>
    </xf>
    <xf numFmtId="174" fontId="26" fillId="0" borderId="26" xfId="0" applyNumberFormat="1" applyFont="1" applyBorder="1" applyAlignment="1">
      <alignment horizontal="center" vertical="center"/>
    </xf>
    <xf numFmtId="167" fontId="27" fillId="5" borderId="27" xfId="77" applyNumberFormat="1" applyBorder="1" applyAlignment="1" applyProtection="1">
      <alignment horizontal="fill" vertical="center"/>
      <protection hidden="1"/>
    </xf>
    <xf numFmtId="174" fontId="26" fillId="0" borderId="17" xfId="0" applyNumberFormat="1" applyFont="1" applyBorder="1" applyAlignment="1">
      <alignment horizontal="center" vertical="center"/>
    </xf>
    <xf numFmtId="10" fontId="26" fillId="0" borderId="17" xfId="3" applyNumberFormat="1" applyFont="1" applyBorder="1" applyAlignment="1" applyProtection="1">
      <alignment horizontal="center" vertical="center"/>
    </xf>
    <xf numFmtId="172" fontId="36" fillId="0" borderId="19" xfId="70" applyBorder="1" applyAlignment="1" applyProtection="1">
      <alignment horizontal="center"/>
    </xf>
    <xf numFmtId="172" fontId="0" fillId="0" borderId="0" xfId="0" applyNumberFormat="1"/>
    <xf numFmtId="10" fontId="27" fillId="5" borderId="6" xfId="77" applyNumberFormat="1" applyBorder="1" applyAlignment="1" applyProtection="1">
      <alignment vertical="center"/>
    </xf>
    <xf numFmtId="0" fontId="26" fillId="0" borderId="19" xfId="0" applyFont="1" applyBorder="1" applyAlignment="1">
      <alignment vertical="center"/>
    </xf>
    <xf numFmtId="0" fontId="14" fillId="0" borderId="14" xfId="44" applyFont="1" applyBorder="1" applyAlignment="1">
      <alignment vertical="center"/>
    </xf>
    <xf numFmtId="172" fontId="14" fillId="0" borderId="11" xfId="67" applyFont="1" applyBorder="1" applyAlignment="1" applyProtection="1">
      <alignment vertical="center"/>
    </xf>
    <xf numFmtId="172" fontId="14" fillId="0" borderId="11" xfId="44" applyNumberFormat="1" applyFont="1" applyBorder="1" applyAlignment="1">
      <alignment vertical="center"/>
    </xf>
    <xf numFmtId="10" fontId="14" fillId="0" borderId="14" xfId="51" applyNumberFormat="1" applyFont="1" applyBorder="1" applyAlignment="1" applyProtection="1">
      <alignment vertical="center"/>
    </xf>
    <xf numFmtId="10" fontId="14" fillId="0" borderId="11" xfId="51" applyNumberFormat="1" applyFont="1" applyBorder="1" applyAlignment="1" applyProtection="1">
      <alignment vertical="center"/>
    </xf>
    <xf numFmtId="10" fontId="36" fillId="7" borderId="14" xfId="44" applyNumberFormat="1" applyFill="1" applyBorder="1" applyAlignment="1">
      <alignment vertical="center"/>
    </xf>
    <xf numFmtId="10" fontId="14" fillId="7" borderId="14" xfId="51" applyNumberFormat="1" applyFont="1" applyFill="1" applyBorder="1" applyAlignment="1" applyProtection="1">
      <alignment vertical="center" wrapText="1"/>
    </xf>
    <xf numFmtId="10" fontId="14" fillId="7" borderId="14" xfId="44" applyNumberFormat="1" applyFont="1" applyFill="1" applyBorder="1" applyAlignment="1">
      <alignment vertical="center"/>
    </xf>
    <xf numFmtId="172" fontId="14" fillId="7" borderId="14" xfId="44" applyNumberFormat="1" applyFont="1" applyFill="1" applyBorder="1" applyAlignment="1">
      <alignment vertical="center"/>
    </xf>
    <xf numFmtId="0" fontId="0" fillId="7" borderId="0" xfId="0" applyFill="1"/>
    <xf numFmtId="0" fontId="29" fillId="0" borderId="0" xfId="26" applyFont="1" applyAlignment="1">
      <alignment vertical="center"/>
    </xf>
    <xf numFmtId="0" fontId="31" fillId="0" borderId="28" xfId="26" applyFont="1" applyBorder="1" applyAlignment="1">
      <alignment vertical="center"/>
    </xf>
    <xf numFmtId="0" fontId="31" fillId="0" borderId="7" xfId="26" applyFont="1" applyBorder="1" applyAlignment="1">
      <alignment vertical="center"/>
    </xf>
    <xf numFmtId="4" fontId="33" fillId="0" borderId="28" xfId="26" applyNumberFormat="1" applyFont="1" applyBorder="1" applyAlignment="1">
      <alignment vertical="center"/>
    </xf>
    <xf numFmtId="4" fontId="33" fillId="0" borderId="7" xfId="26" applyNumberFormat="1" applyFont="1" applyBorder="1" applyAlignment="1">
      <alignment vertical="center"/>
    </xf>
    <xf numFmtId="0" fontId="33" fillId="9" borderId="9" xfId="26" applyFont="1" applyFill="1" applyBorder="1" applyAlignment="1">
      <alignment horizontal="center" vertical="center"/>
    </xf>
    <xf numFmtId="4" fontId="29" fillId="0" borderId="0" xfId="26" applyNumberFormat="1" applyFont="1" applyAlignment="1">
      <alignment vertical="center"/>
    </xf>
    <xf numFmtId="175" fontId="35" fillId="9" borderId="38" xfId="26" applyNumberFormat="1" applyFont="1" applyFill="1" applyBorder="1" applyAlignment="1">
      <alignment horizontal="center" vertical="center"/>
    </xf>
    <xf numFmtId="4" fontId="35" fillId="9" borderId="39" xfId="26" applyNumberFormat="1" applyFont="1" applyFill="1" applyBorder="1" applyAlignment="1">
      <alignment horizontal="left" vertical="center"/>
    </xf>
    <xf numFmtId="10" fontId="35" fillId="9" borderId="39" xfId="48" applyNumberFormat="1" applyFont="1" applyFill="1" applyBorder="1" applyAlignment="1" applyProtection="1">
      <alignment horizontal="center" vertical="center"/>
    </xf>
    <xf numFmtId="10" fontId="35" fillId="9" borderId="40" xfId="48" applyNumberFormat="1" applyFont="1" applyFill="1" applyBorder="1" applyAlignment="1" applyProtection="1">
      <alignment horizontal="center" vertical="center"/>
    </xf>
    <xf numFmtId="176" fontId="35" fillId="0" borderId="0" xfId="26" applyNumberFormat="1" applyFont="1" applyAlignment="1">
      <alignment vertical="center"/>
    </xf>
    <xf numFmtId="0" fontId="35" fillId="0" borderId="0" xfId="26" applyFont="1" applyAlignment="1">
      <alignment vertical="center"/>
    </xf>
    <xf numFmtId="4" fontId="35" fillId="0" borderId="0" xfId="26" applyNumberFormat="1" applyFont="1" applyAlignment="1">
      <alignment vertical="center"/>
    </xf>
    <xf numFmtId="175" fontId="33" fillId="10" borderId="38" xfId="26" applyNumberFormat="1" applyFont="1" applyFill="1" applyBorder="1" applyAlignment="1">
      <alignment horizontal="center" vertical="center"/>
    </xf>
    <xf numFmtId="4" fontId="33" fillId="10" borderId="39" xfId="26" applyNumberFormat="1" applyFont="1" applyFill="1" applyBorder="1" applyAlignment="1">
      <alignment horizontal="center" vertical="center"/>
    </xf>
    <xf numFmtId="10" fontId="33" fillId="10" borderId="39" xfId="48" applyNumberFormat="1" applyFont="1" applyFill="1" applyBorder="1" applyAlignment="1" applyProtection="1">
      <alignment horizontal="center" vertical="center"/>
    </xf>
    <xf numFmtId="10" fontId="33" fillId="10" borderId="40" xfId="48" applyNumberFormat="1" applyFont="1" applyFill="1" applyBorder="1" applyAlignment="1" applyProtection="1">
      <alignment horizontal="center" vertical="center"/>
    </xf>
    <xf numFmtId="176" fontId="33" fillId="0" borderId="0" xfId="26" applyNumberFormat="1" applyFont="1" applyAlignment="1">
      <alignment horizontal="center" vertical="center"/>
    </xf>
    <xf numFmtId="4" fontId="33" fillId="0" borderId="0" xfId="26" applyNumberFormat="1" applyFont="1" applyAlignment="1">
      <alignment horizontal="center" vertical="center"/>
    </xf>
    <xf numFmtId="0" fontId="33" fillId="0" borderId="0" xfId="26" applyFont="1" applyAlignment="1">
      <alignment horizontal="center" vertical="center"/>
    </xf>
    <xf numFmtId="176" fontId="29" fillId="0" borderId="0" xfId="26" applyNumberFormat="1" applyFont="1" applyAlignment="1">
      <alignment vertical="center"/>
    </xf>
    <xf numFmtId="4" fontId="35" fillId="9" borderId="39" xfId="26" applyNumberFormat="1" applyFont="1" applyFill="1" applyBorder="1" applyAlignment="1">
      <alignment horizontal="left" vertical="center" wrapText="1"/>
    </xf>
    <xf numFmtId="10" fontId="35" fillId="9" borderId="39" xfId="48" applyNumberFormat="1" applyFont="1" applyFill="1" applyBorder="1" applyAlignment="1" applyProtection="1">
      <alignment horizontal="center" vertical="center" wrapText="1"/>
    </xf>
    <xf numFmtId="176" fontId="35" fillId="9" borderId="0" xfId="26" applyNumberFormat="1" applyFont="1" applyFill="1" applyAlignment="1">
      <alignment horizontal="center" vertical="center"/>
    </xf>
    <xf numFmtId="4" fontId="35" fillId="9" borderId="0" xfId="26" applyNumberFormat="1" applyFont="1" applyFill="1" applyAlignment="1">
      <alignment horizontal="center" vertical="center" wrapText="1"/>
    </xf>
    <xf numFmtId="4" fontId="33" fillId="9" borderId="0" xfId="26" applyNumberFormat="1" applyFont="1" applyFill="1" applyAlignment="1">
      <alignment horizontal="center" vertical="center" wrapText="1"/>
    </xf>
    <xf numFmtId="10" fontId="34" fillId="12" borderId="9" xfId="26" applyNumberFormat="1" applyFont="1" applyFill="1" applyBorder="1" applyAlignment="1">
      <alignment horizontal="center" vertical="center"/>
    </xf>
    <xf numFmtId="0" fontId="29" fillId="0" borderId="0" xfId="26" applyFont="1" applyAlignment="1">
      <alignment horizontal="center" vertical="center"/>
    </xf>
    <xf numFmtId="0" fontId="19" fillId="0" borderId="0" xfId="26" applyFont="1" applyAlignment="1">
      <alignment vertical="center"/>
    </xf>
    <xf numFmtId="14" fontId="0" fillId="0" borderId="0" xfId="0" applyNumberFormat="1"/>
    <xf numFmtId="0" fontId="40" fillId="0" borderId="7" xfId="0" applyFont="1" applyBorder="1" applyAlignment="1">
      <alignment horizontal="center" vertical="center"/>
    </xf>
    <xf numFmtId="0" fontId="14" fillId="10" borderId="9" xfId="44" applyFont="1" applyFill="1" applyBorder="1" applyAlignment="1">
      <alignment vertical="center" wrapText="1"/>
    </xf>
    <xf numFmtId="0" fontId="43" fillId="13" borderId="0" xfId="97" applyFont="1" applyFill="1" applyAlignment="1">
      <alignment horizontal="left" vertical="top" wrapText="1"/>
    </xf>
    <xf numFmtId="0" fontId="42" fillId="0" borderId="0" xfId="97"/>
    <xf numFmtId="0" fontId="44" fillId="13" borderId="0" xfId="97" applyFont="1" applyFill="1" applyAlignment="1">
      <alignment horizontal="left" vertical="top" wrapText="1"/>
    </xf>
    <xf numFmtId="0" fontId="44" fillId="14" borderId="0" xfId="97" applyFont="1" applyFill="1" applyAlignment="1">
      <alignment horizontal="left" vertical="top" wrapText="1"/>
    </xf>
    <xf numFmtId="0" fontId="43" fillId="13" borderId="45" xfId="97" applyFont="1" applyFill="1" applyBorder="1" applyAlignment="1">
      <alignment horizontal="right" vertical="top" wrapText="1"/>
    </xf>
    <xf numFmtId="0" fontId="45" fillId="15" borderId="45" xfId="97" applyFont="1" applyFill="1" applyBorder="1" applyAlignment="1">
      <alignment horizontal="left" vertical="top" wrapText="1"/>
    </xf>
    <xf numFmtId="0" fontId="45" fillId="15" borderId="45" xfId="97" applyFont="1" applyFill="1" applyBorder="1" applyAlignment="1">
      <alignment horizontal="right" vertical="top" wrapText="1"/>
    </xf>
    <xf numFmtId="4" fontId="45" fillId="15" borderId="45" xfId="97" applyNumberFormat="1" applyFont="1" applyFill="1" applyBorder="1" applyAlignment="1">
      <alignment horizontal="right" vertical="top" wrapText="1"/>
    </xf>
    <xf numFmtId="0" fontId="46" fillId="16" borderId="45" xfId="97" applyFont="1" applyFill="1" applyBorder="1" applyAlignment="1">
      <alignment horizontal="left" vertical="top" wrapText="1"/>
    </xf>
    <xf numFmtId="0" fontId="46" fillId="16" borderId="45" xfId="97" applyFont="1" applyFill="1" applyBorder="1" applyAlignment="1">
      <alignment horizontal="right" vertical="top" wrapText="1"/>
    </xf>
    <xf numFmtId="0" fontId="46" fillId="16" borderId="45" xfId="97" applyFont="1" applyFill="1" applyBorder="1" applyAlignment="1">
      <alignment horizontal="center" vertical="top" wrapText="1"/>
    </xf>
    <xf numFmtId="4" fontId="46" fillId="16" borderId="45" xfId="97" applyNumberFormat="1" applyFont="1" applyFill="1" applyBorder="1" applyAlignment="1">
      <alignment horizontal="right" vertical="top" wrapText="1"/>
    </xf>
    <xf numFmtId="0" fontId="44" fillId="13" borderId="0" xfId="97" applyFont="1" applyFill="1" applyAlignment="1">
      <alignment horizontal="right" vertical="top" wrapText="1"/>
    </xf>
    <xf numFmtId="0" fontId="47" fillId="13" borderId="0" xfId="97" applyFont="1" applyFill="1" applyAlignment="1">
      <alignment horizontal="center" vertical="top" wrapText="1"/>
    </xf>
    <xf numFmtId="0" fontId="47" fillId="13" borderId="0" xfId="97" applyFont="1" applyFill="1" applyAlignment="1">
      <alignment horizontal="left" vertical="top" wrapText="1"/>
    </xf>
    <xf numFmtId="4" fontId="44" fillId="13" borderId="0" xfId="97" applyNumberFormat="1" applyFont="1" applyFill="1" applyAlignment="1">
      <alignment horizontal="right" vertical="top" wrapText="1"/>
    </xf>
    <xf numFmtId="0" fontId="44" fillId="13" borderId="0" xfId="97" applyFont="1" applyFill="1" applyAlignment="1">
      <alignment horizontal="center" vertical="top" wrapText="1"/>
    </xf>
    <xf numFmtId="0" fontId="43" fillId="13" borderId="0" xfId="97" applyFont="1" applyFill="1" applyAlignment="1">
      <alignment vertical="top" wrapText="1"/>
    </xf>
    <xf numFmtId="0" fontId="44" fillId="13" borderId="0" xfId="97" applyFont="1" applyFill="1" applyAlignment="1">
      <alignment vertical="top" wrapText="1"/>
    </xf>
    <xf numFmtId="0" fontId="45" fillId="17" borderId="45" xfId="97" applyFont="1" applyFill="1" applyBorder="1" applyAlignment="1">
      <alignment horizontal="left" vertical="top" wrapText="1"/>
    </xf>
    <xf numFmtId="0" fontId="45" fillId="17" borderId="45" xfId="97" applyFont="1" applyFill="1" applyBorder="1" applyAlignment="1">
      <alignment horizontal="right" vertical="top" wrapText="1"/>
    </xf>
    <xf numFmtId="4" fontId="45" fillId="17" borderId="45" xfId="97" applyNumberFormat="1" applyFont="1" applyFill="1" applyBorder="1" applyAlignment="1">
      <alignment horizontal="right" vertical="top" wrapText="1"/>
    </xf>
    <xf numFmtId="4" fontId="42" fillId="0" borderId="0" xfId="97" applyNumberFormat="1"/>
    <xf numFmtId="177" fontId="36" fillId="0" borderId="0" xfId="2" applyNumberFormat="1"/>
    <xf numFmtId="0" fontId="14" fillId="0" borderId="5" xfId="0" applyFont="1" applyBorder="1" applyAlignment="1">
      <alignment horizontal="center" vertical="center"/>
    </xf>
    <xf numFmtId="167" fontId="16" fillId="0" borderId="48" xfId="0" applyNumberFormat="1" applyFont="1" applyBorder="1" applyAlignment="1">
      <alignment horizontal="center"/>
    </xf>
    <xf numFmtId="10" fontId="16" fillId="0" borderId="49" xfId="0" applyNumberFormat="1" applyFont="1" applyBorder="1" applyAlignment="1">
      <alignment horizontal="center" vertical="center"/>
    </xf>
    <xf numFmtId="0" fontId="15" fillId="0" borderId="14" xfId="0" applyFont="1" applyBorder="1"/>
    <xf numFmtId="43" fontId="15" fillId="0" borderId="14" xfId="0" applyNumberFormat="1" applyFont="1" applyBorder="1"/>
    <xf numFmtId="0" fontId="15" fillId="0" borderId="13" xfId="0" applyFont="1" applyBorder="1" applyAlignment="1">
      <alignment horizontal="center" vertical="center"/>
    </xf>
    <xf numFmtId="10" fontId="15" fillId="0" borderId="10" xfId="3" applyNumberFormat="1" applyFont="1" applyBorder="1" applyAlignment="1" applyProtection="1">
      <alignment horizontal="center" vertical="center"/>
    </xf>
    <xf numFmtId="0" fontId="1" fillId="0" borderId="0" xfId="98"/>
    <xf numFmtId="0" fontId="50" fillId="0" borderId="50" xfId="98" applyFont="1" applyBorder="1"/>
    <xf numFmtId="0" fontId="50" fillId="0" borderId="51" xfId="98" applyFont="1" applyBorder="1"/>
    <xf numFmtId="0" fontId="38" fillId="0" borderId="51" xfId="98" applyFont="1" applyBorder="1"/>
    <xf numFmtId="0" fontId="38" fillId="0" borderId="33" xfId="98" applyFont="1" applyBorder="1"/>
    <xf numFmtId="0" fontId="38" fillId="0" borderId="0" xfId="98" applyFont="1"/>
    <xf numFmtId="0" fontId="51" fillId="0" borderId="51" xfId="99" applyFont="1" applyBorder="1" applyAlignment="1">
      <alignment wrapText="1"/>
    </xf>
    <xf numFmtId="0" fontId="50" fillId="0" borderId="33" xfId="98" applyFont="1" applyBorder="1"/>
    <xf numFmtId="0" fontId="51" fillId="18" borderId="0" xfId="99" applyFont="1" applyFill="1"/>
    <xf numFmtId="0" fontId="51" fillId="18" borderId="0" xfId="99" applyFont="1" applyFill="1" applyAlignment="1">
      <alignment wrapText="1"/>
    </xf>
    <xf numFmtId="0" fontId="50" fillId="0" borderId="50" xfId="98" applyFont="1" applyBorder="1" applyAlignment="1">
      <alignment horizontal="left"/>
    </xf>
    <xf numFmtId="0" fontId="50" fillId="0" borderId="0" xfId="98" applyFont="1"/>
    <xf numFmtId="0" fontId="53" fillId="0" borderId="0" xfId="98" applyFont="1" applyAlignment="1">
      <alignment vertical="center"/>
    </xf>
    <xf numFmtId="0" fontId="1" fillId="0" borderId="0" xfId="98" applyAlignment="1">
      <alignment vertical="center"/>
    </xf>
    <xf numFmtId="0" fontId="54" fillId="0" borderId="52" xfId="98" applyFont="1" applyBorder="1" applyAlignment="1">
      <alignment horizontal="justify" vertical="center"/>
    </xf>
    <xf numFmtId="0" fontId="53" fillId="0" borderId="46" xfId="98" applyFont="1" applyBorder="1" applyAlignment="1">
      <alignment vertical="center"/>
    </xf>
    <xf numFmtId="0" fontId="49" fillId="0" borderId="52" xfId="98" applyFont="1" applyBorder="1" applyAlignment="1">
      <alignment horizontal="left" vertical="center"/>
    </xf>
    <xf numFmtId="0" fontId="49" fillId="0" borderId="0" xfId="98" applyFont="1" applyAlignment="1">
      <alignment horizontal="left" vertical="center"/>
    </xf>
    <xf numFmtId="0" fontId="55" fillId="0" borderId="46" xfId="98" applyFont="1" applyBorder="1" applyAlignment="1">
      <alignment vertical="center"/>
    </xf>
    <xf numFmtId="0" fontId="55" fillId="0" borderId="0" xfId="98" applyFont="1" applyAlignment="1">
      <alignment vertical="center"/>
    </xf>
    <xf numFmtId="0" fontId="56" fillId="0" borderId="0" xfId="98" applyFont="1" applyAlignment="1">
      <alignment vertical="center"/>
    </xf>
    <xf numFmtId="0" fontId="57" fillId="0" borderId="52" xfId="98" applyFont="1" applyBorder="1" applyAlignment="1">
      <alignment horizontal="justify" vertical="center"/>
    </xf>
    <xf numFmtId="0" fontId="56" fillId="0" borderId="52" xfId="98" applyFont="1" applyBorder="1"/>
    <xf numFmtId="4" fontId="56" fillId="0" borderId="0" xfId="98" applyNumberFormat="1" applyFont="1" applyAlignment="1">
      <alignment vertical="center"/>
    </xf>
    <xf numFmtId="0" fontId="57" fillId="0" borderId="0" xfId="98" applyFont="1" applyAlignment="1">
      <alignment vertical="center"/>
    </xf>
    <xf numFmtId="0" fontId="57" fillId="0" borderId="14" xfId="98" applyFont="1" applyBorder="1" applyAlignment="1">
      <alignment horizontal="center" vertical="center"/>
    </xf>
    <xf numFmtId="10" fontId="57" fillId="0" borderId="14" xfId="98" applyNumberFormat="1" applyFont="1" applyBorder="1" applyAlignment="1">
      <alignment horizontal="center" vertical="center"/>
    </xf>
    <xf numFmtId="4" fontId="57" fillId="0" borderId="0" xfId="98" applyNumberFormat="1" applyFont="1" applyAlignment="1">
      <alignment horizontal="center" vertical="center"/>
    </xf>
    <xf numFmtId="10" fontId="49" fillId="0" borderId="0" xfId="98" applyNumberFormat="1" applyFont="1" applyAlignment="1">
      <alignment horizontal="left" vertical="center"/>
    </xf>
    <xf numFmtId="0" fontId="62" fillId="0" borderId="52" xfId="98" applyFont="1" applyBorder="1" applyAlignment="1">
      <alignment horizontal="justify" vertical="center"/>
    </xf>
    <xf numFmtId="0" fontId="55" fillId="0" borderId="52" xfId="98" applyFont="1" applyBorder="1" applyAlignment="1">
      <alignment horizontal="left" vertical="center"/>
    </xf>
    <xf numFmtId="0" fontId="55" fillId="0" borderId="0" xfId="98" applyFont="1" applyAlignment="1">
      <alignment horizontal="left" vertical="center"/>
    </xf>
    <xf numFmtId="0" fontId="55" fillId="0" borderId="46" xfId="98" applyFont="1" applyBorder="1" applyAlignment="1">
      <alignment horizontal="left" vertical="center"/>
    </xf>
    <xf numFmtId="0" fontId="63" fillId="0" borderId="52" xfId="98" applyFont="1" applyBorder="1" applyAlignment="1">
      <alignment horizontal="justify" vertical="center"/>
    </xf>
    <xf numFmtId="0" fontId="64" fillId="0" borderId="0" xfId="98" applyFont="1" applyAlignment="1">
      <alignment vertical="center"/>
    </xf>
    <xf numFmtId="0" fontId="64" fillId="0" borderId="46" xfId="98" applyFont="1" applyBorder="1" applyAlignment="1">
      <alignment vertical="center"/>
    </xf>
    <xf numFmtId="0" fontId="65" fillId="0" borderId="0" xfId="98" applyFont="1" applyAlignment="1">
      <alignment vertical="center"/>
    </xf>
    <xf numFmtId="0" fontId="38" fillId="0" borderId="52" xfId="98" applyFont="1" applyBorder="1" applyAlignment="1">
      <alignment horizontal="left" vertical="center" wrapText="1"/>
    </xf>
    <xf numFmtId="0" fontId="38" fillId="0" borderId="0" xfId="98" applyFont="1" applyAlignment="1">
      <alignment horizontal="left" vertical="center" wrapText="1"/>
    </xf>
    <xf numFmtId="0" fontId="38" fillId="0" borderId="46" xfId="98" applyFont="1" applyBorder="1" applyAlignment="1">
      <alignment horizontal="left" vertical="center" wrapText="1"/>
    </xf>
    <xf numFmtId="0" fontId="38" fillId="0" borderId="0" xfId="98" applyFont="1" applyAlignment="1">
      <alignment vertical="center"/>
    </xf>
    <xf numFmtId="0" fontId="37" fillId="0" borderId="0" xfId="98" applyFont="1" applyAlignment="1">
      <alignment vertical="center"/>
    </xf>
    <xf numFmtId="172" fontId="66" fillId="0" borderId="0" xfId="1" applyFont="1"/>
    <xf numFmtId="0" fontId="67" fillId="0" borderId="0" xfId="97" applyFont="1"/>
    <xf numFmtId="4" fontId="67" fillId="0" borderId="0" xfId="97" applyNumberFormat="1" applyFont="1"/>
    <xf numFmtId="172" fontId="68" fillId="0" borderId="0" xfId="1" applyFont="1"/>
    <xf numFmtId="172" fontId="14" fillId="0" borderId="54" xfId="44" applyNumberFormat="1" applyFont="1" applyBorder="1" applyAlignment="1">
      <alignment vertical="center" wrapText="1"/>
    </xf>
    <xf numFmtId="172" fontId="14" fillId="0" borderId="55" xfId="44" applyNumberFormat="1" applyFont="1" applyBorder="1" applyAlignment="1">
      <alignment horizontal="center" vertical="center"/>
    </xf>
    <xf numFmtId="10" fontId="14" fillId="0" borderId="55" xfId="51" applyNumberFormat="1" applyFont="1" applyBorder="1" applyAlignment="1" applyProtection="1">
      <alignment horizontal="center" vertical="center"/>
    </xf>
    <xf numFmtId="172" fontId="14" fillId="0" borderId="56" xfId="44" applyNumberFormat="1" applyFont="1" applyBorder="1" applyAlignment="1">
      <alignment vertical="center"/>
    </xf>
    <xf numFmtId="172" fontId="14" fillId="0" borderId="57" xfId="44" applyNumberFormat="1" applyFont="1" applyBorder="1" applyAlignment="1">
      <alignment vertical="center"/>
    </xf>
    <xf numFmtId="172" fontId="14" fillId="0" borderId="58" xfId="44" applyNumberFormat="1" applyFont="1" applyBorder="1" applyAlignment="1">
      <alignment vertical="center" wrapText="1"/>
    </xf>
    <xf numFmtId="172" fontId="14" fillId="0" borderId="59" xfId="44" applyNumberFormat="1" applyFont="1" applyBorder="1" applyAlignment="1">
      <alignment vertical="center"/>
    </xf>
    <xf numFmtId="10" fontId="14" fillId="0" borderId="58" xfId="51" applyNumberFormat="1" applyFont="1" applyBorder="1" applyAlignment="1" applyProtection="1">
      <alignment vertical="center" wrapText="1"/>
    </xf>
    <xf numFmtId="10" fontId="14" fillId="0" borderId="59" xfId="51" applyNumberFormat="1" applyFont="1" applyBorder="1" applyAlignment="1" applyProtection="1">
      <alignment vertical="center"/>
    </xf>
    <xf numFmtId="10" fontId="14" fillId="0" borderId="60" xfId="51" applyNumberFormat="1" applyFont="1" applyBorder="1" applyAlignment="1" applyProtection="1">
      <alignment vertical="center" wrapText="1"/>
    </xf>
    <xf numFmtId="10" fontId="14" fillId="0" borderId="61" xfId="44" applyNumberFormat="1" applyFont="1" applyBorder="1" applyAlignment="1">
      <alignment vertical="center"/>
    </xf>
    <xf numFmtId="10" fontId="14" fillId="0" borderId="62" xfId="44" applyNumberFormat="1" applyFont="1" applyBorder="1" applyAlignment="1">
      <alignment vertical="center"/>
    </xf>
    <xf numFmtId="10" fontId="14" fillId="0" borderId="63" xfId="44" applyNumberFormat="1" applyFont="1" applyBorder="1" applyAlignment="1">
      <alignment vertical="center"/>
    </xf>
    <xf numFmtId="172" fontId="36" fillId="0" borderId="64" xfId="44" applyNumberFormat="1" applyBorder="1" applyAlignment="1">
      <alignment vertical="center"/>
    </xf>
    <xf numFmtId="0" fontId="36" fillId="0" borderId="65" xfId="44" applyBorder="1" applyAlignment="1">
      <alignment vertical="center"/>
    </xf>
    <xf numFmtId="10" fontId="14" fillId="0" borderId="65" xfId="51" applyNumberFormat="1" applyFont="1" applyBorder="1" applyAlignment="1" applyProtection="1">
      <alignment vertical="center"/>
    </xf>
    <xf numFmtId="10" fontId="36" fillId="0" borderId="30" xfId="44" applyNumberFormat="1" applyBorder="1" applyAlignment="1">
      <alignment vertical="center"/>
    </xf>
    <xf numFmtId="0" fontId="26" fillId="0" borderId="26" xfId="0" applyFont="1" applyBorder="1" applyAlignment="1">
      <alignment vertical="center" wrapText="1"/>
    </xf>
    <xf numFmtId="174" fontId="28" fillId="0" borderId="26" xfId="0" applyNumberFormat="1" applyFont="1" applyBorder="1" applyAlignment="1">
      <alignment horizontal="center" vertical="center"/>
    </xf>
    <xf numFmtId="10" fontId="28" fillId="0" borderId="26" xfId="3" applyNumberFormat="1" applyFont="1" applyBorder="1" applyAlignment="1" applyProtection="1">
      <alignment horizontal="center" vertical="center"/>
    </xf>
    <xf numFmtId="172" fontId="36" fillId="0" borderId="6" xfId="70" applyBorder="1" applyAlignment="1" applyProtection="1">
      <alignment horizontal="center"/>
    </xf>
    <xf numFmtId="10" fontId="14" fillId="7" borderId="17" xfId="51" applyNumberFormat="1" applyFont="1" applyFill="1" applyBorder="1" applyAlignment="1" applyProtection="1">
      <alignment vertical="center" wrapText="1"/>
    </xf>
    <xf numFmtId="10" fontId="14" fillId="7" borderId="17" xfId="44" applyNumberFormat="1" applyFont="1" applyFill="1" applyBorder="1" applyAlignment="1">
      <alignment vertical="center"/>
    </xf>
    <xf numFmtId="172" fontId="14" fillId="7" borderId="17" xfId="44" applyNumberFormat="1" applyFont="1" applyFill="1" applyBorder="1" applyAlignment="1">
      <alignment vertical="center"/>
    </xf>
    <xf numFmtId="0" fontId="69" fillId="0" borderId="7" xfId="0" applyFont="1" applyBorder="1" applyAlignment="1">
      <alignment horizontal="left" vertical="center" wrapText="1"/>
    </xf>
    <xf numFmtId="0" fontId="70" fillId="0" borderId="0" xfId="0" applyFont="1" applyAlignment="1">
      <alignment horizontal="left" vertical="center"/>
    </xf>
    <xf numFmtId="0" fontId="69" fillId="0" borderId="7" xfId="0" applyFont="1" applyBorder="1" applyAlignment="1">
      <alignment horizontal="right" vertical="center" wrapText="1"/>
    </xf>
    <xf numFmtId="0" fontId="71" fillId="0" borderId="0" xfId="0" applyFont="1" applyAlignment="1">
      <alignment horizontal="left" vertical="center"/>
    </xf>
    <xf numFmtId="0" fontId="46" fillId="16" borderId="45" xfId="0" applyFont="1" applyFill="1" applyBorder="1" applyAlignment="1">
      <alignment horizontal="right" vertical="top" wrapText="1"/>
    </xf>
    <xf numFmtId="0" fontId="46" fillId="16" borderId="45" xfId="0" applyFont="1" applyFill="1" applyBorder="1" applyAlignment="1">
      <alignment horizontal="left" vertical="top" wrapText="1"/>
    </xf>
    <xf numFmtId="0" fontId="46" fillId="16" borderId="45" xfId="0" applyFont="1" applyFill="1" applyBorder="1" applyAlignment="1">
      <alignment horizontal="center" vertical="top" wrapText="1"/>
    </xf>
    <xf numFmtId="10" fontId="44" fillId="20" borderId="0" xfId="97" applyNumberFormat="1" applyFont="1" applyFill="1" applyAlignment="1">
      <alignment horizontal="left" vertical="top" wrapText="1"/>
    </xf>
    <xf numFmtId="4" fontId="46" fillId="21" borderId="45" xfId="97" applyNumberFormat="1" applyFont="1" applyFill="1" applyBorder="1" applyAlignment="1">
      <alignment horizontal="right" vertical="top" wrapText="1"/>
    </xf>
    <xf numFmtId="0" fontId="46" fillId="21" borderId="45" xfId="0" applyFont="1" applyFill="1" applyBorder="1" applyAlignment="1">
      <alignment horizontal="right" vertical="top" wrapText="1"/>
    </xf>
    <xf numFmtId="10" fontId="57" fillId="22" borderId="14" xfId="98" applyNumberFormat="1"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13" fillId="0" borderId="9" xfId="0" applyFont="1" applyBorder="1" applyAlignment="1">
      <alignment horizontal="center" vertical="center"/>
    </xf>
    <xf numFmtId="0" fontId="16" fillId="0" borderId="47" xfId="0" applyFont="1" applyBorder="1" applyAlignment="1">
      <alignment horizontal="center" vertical="center"/>
    </xf>
    <xf numFmtId="0" fontId="17" fillId="0" borderId="11" xfId="0" applyFont="1" applyBorder="1" applyAlignment="1">
      <alignment horizontal="center" vertical="center"/>
    </xf>
    <xf numFmtId="0" fontId="13" fillId="0" borderId="12" xfId="0" applyFont="1" applyBorder="1" applyAlignment="1">
      <alignment horizontal="left" vertical="center" wrapText="1"/>
    </xf>
    <xf numFmtId="0" fontId="0" fillId="0" borderId="15" xfId="0" applyBorder="1" applyAlignment="1">
      <alignment horizontal="center" vertical="center"/>
    </xf>
    <xf numFmtId="0" fontId="0" fillId="0" borderId="42" xfId="0" applyBorder="1" applyAlignment="1">
      <alignment horizontal="center" vertical="center"/>
    </xf>
    <xf numFmtId="0" fontId="0" fillId="0" borderId="16"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11" fillId="0" borderId="5" xfId="0" applyFont="1" applyBorder="1" applyAlignment="1">
      <alignment horizontal="center" vertical="center"/>
    </xf>
    <xf numFmtId="0" fontId="12" fillId="0" borderId="6" xfId="0" applyFont="1" applyBorder="1" applyAlignment="1">
      <alignment horizontal="center" vertical="center"/>
    </xf>
    <xf numFmtId="0" fontId="40" fillId="0" borderId="8" xfId="0" applyFont="1" applyBorder="1" applyAlignment="1">
      <alignment horizontal="left" vertical="center"/>
    </xf>
    <xf numFmtId="0" fontId="44" fillId="13" borderId="0" xfId="97" applyFont="1" applyFill="1" applyAlignment="1">
      <alignment horizontal="right" vertical="top" wrapText="1"/>
    </xf>
    <xf numFmtId="0" fontId="44" fillId="13" borderId="0" xfId="97" applyFont="1" applyFill="1" applyAlignment="1">
      <alignment horizontal="left" vertical="top" wrapText="1"/>
    </xf>
    <xf numFmtId="4" fontId="44" fillId="13" borderId="0" xfId="97" applyNumberFormat="1" applyFont="1" applyFill="1" applyAlignment="1">
      <alignment horizontal="right" vertical="top" wrapText="1"/>
    </xf>
    <xf numFmtId="0" fontId="43" fillId="13" borderId="0" xfId="97" applyFont="1" applyFill="1" applyAlignment="1">
      <alignment horizontal="center" wrapText="1"/>
    </xf>
    <xf numFmtId="0" fontId="42" fillId="0" borderId="0" xfId="97"/>
    <xf numFmtId="0" fontId="43" fillId="13" borderId="45" xfId="97" applyFont="1" applyFill="1" applyBorder="1" applyAlignment="1">
      <alignment horizontal="left" vertical="top" wrapText="1"/>
    </xf>
    <xf numFmtId="0" fontId="43" fillId="13" borderId="45" xfId="97" applyFont="1" applyFill="1" applyBorder="1" applyAlignment="1">
      <alignment horizontal="right" vertical="top" wrapText="1"/>
    </xf>
    <xf numFmtId="0" fontId="43" fillId="13" borderId="45" xfId="97" applyFont="1" applyFill="1" applyBorder="1" applyAlignment="1">
      <alignment horizontal="center" vertical="top" wrapText="1"/>
    </xf>
    <xf numFmtId="0" fontId="43" fillId="13" borderId="0" xfId="97" applyFont="1" applyFill="1" applyAlignment="1">
      <alignment horizontal="left" vertical="top" wrapText="1"/>
    </xf>
    <xf numFmtId="0" fontId="38" fillId="0" borderId="20" xfId="98" applyFont="1" applyBorder="1" applyAlignment="1">
      <alignment horizontal="left" vertical="center" wrapText="1"/>
    </xf>
    <xf numFmtId="0" fontId="38" fillId="0" borderId="29" xfId="98" applyFont="1" applyBorder="1" applyAlignment="1">
      <alignment horizontal="left" vertical="center" wrapText="1"/>
    </xf>
    <xf numFmtId="0" fontId="38" fillId="0" borderId="53" xfId="98" applyFont="1" applyBorder="1" applyAlignment="1">
      <alignment horizontal="left" vertical="center" wrapText="1"/>
    </xf>
    <xf numFmtId="0" fontId="57" fillId="0" borderId="14" xfId="98" applyFont="1" applyBorder="1" applyAlignment="1">
      <alignment horizontal="left" vertical="center"/>
    </xf>
    <xf numFmtId="0" fontId="57" fillId="0" borderId="50" xfId="98" applyFont="1" applyBorder="1" applyAlignment="1">
      <alignment horizontal="left" vertical="center"/>
    </xf>
    <xf numFmtId="10" fontId="57" fillId="22" borderId="50" xfId="98" applyNumberFormat="1" applyFont="1" applyFill="1" applyBorder="1" applyAlignment="1">
      <alignment horizontal="center" vertical="center"/>
    </xf>
    <xf numFmtId="10" fontId="57" fillId="22" borderId="33" xfId="98" applyNumberFormat="1" applyFont="1" applyFill="1" applyBorder="1" applyAlignment="1">
      <alignment horizontal="center" vertical="center"/>
    </xf>
    <xf numFmtId="0" fontId="57" fillId="0" borderId="50" xfId="98" applyFont="1" applyBorder="1" applyAlignment="1">
      <alignment horizontal="center" vertical="center"/>
    </xf>
    <xf numFmtId="0" fontId="57" fillId="0" borderId="51" xfId="98" applyFont="1" applyBorder="1" applyAlignment="1">
      <alignment horizontal="center" vertical="center"/>
    </xf>
    <xf numFmtId="0" fontId="57" fillId="0" borderId="33" xfId="98" applyFont="1" applyBorder="1" applyAlignment="1">
      <alignment horizontal="center" vertical="center"/>
    </xf>
    <xf numFmtId="0" fontId="57" fillId="0" borderId="23" xfId="98" applyFont="1" applyBorder="1" applyAlignment="1">
      <alignment horizontal="center" vertical="center"/>
    </xf>
    <xf numFmtId="0" fontId="57" fillId="0" borderId="26" xfId="98" applyFont="1" applyBorder="1" applyAlignment="1">
      <alignment horizontal="center" vertical="center"/>
    </xf>
    <xf numFmtId="0" fontId="57" fillId="0" borderId="17" xfId="98" applyFont="1" applyBorder="1" applyAlignment="1">
      <alignment horizontal="center" vertical="center"/>
    </xf>
    <xf numFmtId="10" fontId="57" fillId="0" borderId="23" xfId="98" applyNumberFormat="1" applyFont="1" applyBorder="1" applyAlignment="1">
      <alignment horizontal="center" vertical="center"/>
    </xf>
    <xf numFmtId="10" fontId="57" fillId="0" borderId="26" xfId="98" applyNumberFormat="1" applyFont="1" applyBorder="1" applyAlignment="1">
      <alignment horizontal="center" vertical="center"/>
    </xf>
    <xf numFmtId="10" fontId="57" fillId="0" borderId="17" xfId="98" applyNumberFormat="1" applyFont="1" applyBorder="1" applyAlignment="1">
      <alignment horizontal="center" vertical="center"/>
    </xf>
    <xf numFmtId="0" fontId="49" fillId="0" borderId="52" xfId="98" applyFont="1" applyBorder="1" applyAlignment="1">
      <alignment horizontal="right" vertical="center"/>
    </xf>
    <xf numFmtId="0" fontId="49" fillId="0" borderId="0" xfId="98" applyFont="1" applyAlignment="1">
      <alignment horizontal="right" vertical="center"/>
    </xf>
    <xf numFmtId="0" fontId="55" fillId="0" borderId="52" xfId="98" applyFont="1" applyBorder="1" applyAlignment="1">
      <alignment horizontal="left" vertical="center" wrapText="1"/>
    </xf>
    <xf numFmtId="0" fontId="55" fillId="0" borderId="0" xfId="98" applyFont="1" applyAlignment="1">
      <alignment horizontal="left" vertical="center" wrapText="1"/>
    </xf>
    <xf numFmtId="0" fontId="55" fillId="0" borderId="46" xfId="98" applyFont="1" applyBorder="1" applyAlignment="1">
      <alignment horizontal="left" vertical="center" wrapText="1"/>
    </xf>
    <xf numFmtId="0" fontId="55" fillId="0" borderId="52" xfId="98" applyFont="1" applyBorder="1" applyAlignment="1">
      <alignment horizontal="left" vertical="center"/>
    </xf>
    <xf numFmtId="0" fontId="55" fillId="0" borderId="0" xfId="98" applyFont="1" applyAlignment="1">
      <alignment horizontal="left" vertical="center"/>
    </xf>
    <xf numFmtId="0" fontId="55" fillId="0" borderId="46" xfId="98" applyFont="1" applyBorder="1" applyAlignment="1">
      <alignment horizontal="left" vertical="center"/>
    </xf>
    <xf numFmtId="0" fontId="38" fillId="0" borderId="52" xfId="98" applyFont="1" applyBorder="1" applyAlignment="1">
      <alignment horizontal="left" vertical="center" wrapText="1"/>
    </xf>
    <xf numFmtId="0" fontId="38" fillId="0" borderId="0" xfId="98" applyFont="1" applyAlignment="1">
      <alignment horizontal="left" vertical="center" wrapText="1"/>
    </xf>
    <xf numFmtId="0" fontId="38" fillId="0" borderId="46" xfId="98" applyFont="1" applyBorder="1" applyAlignment="1">
      <alignment horizontal="left" vertical="center" wrapText="1"/>
    </xf>
    <xf numFmtId="0" fontId="49" fillId="0" borderId="52" xfId="98" applyFont="1" applyBorder="1" applyAlignment="1">
      <alignment horizontal="left" vertical="center"/>
    </xf>
    <xf numFmtId="0" fontId="49" fillId="0" borderId="0" xfId="98" applyFont="1" applyAlignment="1">
      <alignment horizontal="left" vertical="center"/>
    </xf>
    <xf numFmtId="0" fontId="49" fillId="0" borderId="46" xfId="98" applyFont="1" applyBorder="1" applyAlignment="1">
      <alignment horizontal="left" vertical="center"/>
    </xf>
    <xf numFmtId="0" fontId="57" fillId="0" borderId="14" xfId="98" applyFont="1" applyBorder="1" applyAlignment="1">
      <alignment horizontal="center" vertical="center"/>
    </xf>
    <xf numFmtId="0" fontId="57" fillId="0" borderId="14" xfId="98" applyFont="1" applyBorder="1" applyAlignment="1">
      <alignment horizontal="center" vertical="center" wrapText="1"/>
    </xf>
    <xf numFmtId="0" fontId="49" fillId="0" borderId="50" xfId="98" applyFont="1" applyBorder="1" applyAlignment="1">
      <alignment horizontal="center" vertical="center" wrapText="1"/>
    </xf>
    <xf numFmtId="0" fontId="49" fillId="0" borderId="51" xfId="98" applyFont="1" applyBorder="1" applyAlignment="1">
      <alignment horizontal="center" vertical="center" wrapText="1"/>
    </xf>
    <xf numFmtId="0" fontId="49" fillId="0" borderId="33" xfId="98" applyFont="1" applyBorder="1" applyAlignment="1">
      <alignment horizontal="center" vertical="center" wrapText="1"/>
    </xf>
    <xf numFmtId="0" fontId="52" fillId="19" borderId="50" xfId="100" applyFont="1" applyFill="1" applyBorder="1" applyAlignment="1">
      <alignment horizontal="center"/>
    </xf>
    <xf numFmtId="0" fontId="52" fillId="19" borderId="51" xfId="100" applyFont="1" applyFill="1" applyBorder="1" applyAlignment="1">
      <alignment horizontal="center"/>
    </xf>
    <xf numFmtId="0" fontId="52" fillId="19" borderId="33" xfId="100" applyFont="1" applyFill="1" applyBorder="1" applyAlignment="1">
      <alignment horizontal="center"/>
    </xf>
    <xf numFmtId="0" fontId="60" fillId="0" borderId="52" xfId="98" applyFont="1" applyBorder="1" applyAlignment="1">
      <alignment horizontal="right" vertical="center"/>
    </xf>
    <xf numFmtId="0" fontId="60" fillId="0" borderId="0" xfId="98" applyFont="1" applyAlignment="1">
      <alignment horizontal="right" vertical="center"/>
    </xf>
    <xf numFmtId="0" fontId="60" fillId="0" borderId="46" xfId="98" applyFont="1" applyBorder="1" applyAlignment="1">
      <alignment horizontal="right" vertical="center"/>
    </xf>
    <xf numFmtId="0" fontId="57" fillId="0" borderId="52" xfId="98" applyFont="1" applyBorder="1" applyAlignment="1">
      <alignment horizontal="left" vertical="center"/>
    </xf>
    <xf numFmtId="0" fontId="57" fillId="0" borderId="0" xfId="98" applyFont="1" applyAlignment="1">
      <alignment horizontal="left" vertical="center"/>
    </xf>
    <xf numFmtId="0" fontId="57" fillId="0" borderId="46" xfId="98" applyFont="1" applyBorder="1" applyAlignment="1">
      <alignment horizontal="left" vertical="center"/>
    </xf>
    <xf numFmtId="175" fontId="30" fillId="12" borderId="41" xfId="26" applyNumberFormat="1" applyFont="1" applyFill="1" applyBorder="1" applyAlignment="1">
      <alignment horizontal="center" vertical="center"/>
    </xf>
    <xf numFmtId="0" fontId="34" fillId="12" borderId="9" xfId="26" applyFont="1" applyFill="1" applyBorder="1" applyAlignment="1">
      <alignment horizontal="center" vertical="center"/>
    </xf>
    <xf numFmtId="0" fontId="32" fillId="9" borderId="9" xfId="26" applyFont="1" applyFill="1" applyBorder="1" applyAlignment="1">
      <alignment horizontal="center" vertical="center"/>
    </xf>
    <xf numFmtId="0" fontId="33" fillId="9" borderId="9" xfId="26" applyFont="1" applyFill="1" applyBorder="1" applyAlignment="1">
      <alignment horizontal="center" vertical="center"/>
    </xf>
    <xf numFmtId="0" fontId="30" fillId="12" borderId="37" xfId="26" applyFont="1" applyFill="1" applyBorder="1" applyAlignment="1">
      <alignment horizontal="center" vertical="center"/>
    </xf>
    <xf numFmtId="0" fontId="31" fillId="0" borderId="16" xfId="26" applyFont="1" applyBorder="1" applyAlignment="1">
      <alignment horizontal="center" vertical="center" wrapText="1"/>
    </xf>
    <xf numFmtId="4" fontId="33" fillId="0" borderId="36" xfId="26" applyNumberFormat="1" applyFont="1" applyBorder="1" applyAlignment="1">
      <alignment horizontal="left" vertical="center"/>
    </xf>
    <xf numFmtId="4" fontId="33" fillId="0" borderId="8" xfId="26" applyNumberFormat="1" applyFont="1" applyBorder="1" applyAlignment="1">
      <alignment horizontal="left" vertical="center"/>
    </xf>
    <xf numFmtId="0" fontId="26" fillId="0" borderId="23" xfId="0" applyFont="1" applyBorder="1" applyAlignment="1">
      <alignment horizontal="left" vertical="center" wrapText="1"/>
    </xf>
    <xf numFmtId="0" fontId="26" fillId="0" borderId="26" xfId="0" applyFont="1" applyBorder="1" applyAlignment="1">
      <alignment horizontal="left" vertical="center" wrapText="1"/>
    </xf>
    <xf numFmtId="0" fontId="26" fillId="0" borderId="17" xfId="0" applyFont="1" applyBorder="1" applyAlignment="1">
      <alignment horizontal="left" vertical="center" wrapText="1"/>
    </xf>
    <xf numFmtId="0" fontId="26" fillId="0" borderId="25" xfId="0" applyFont="1" applyBorder="1" applyAlignment="1">
      <alignment horizontal="left" vertical="center"/>
    </xf>
    <xf numFmtId="0" fontId="26" fillId="0" borderId="27" xfId="0" applyFont="1" applyBorder="1" applyAlignment="1">
      <alignment horizontal="left" vertical="center"/>
    </xf>
    <xf numFmtId="0" fontId="26" fillId="0" borderId="19" xfId="0" applyFont="1" applyBorder="1" applyAlignment="1">
      <alignment horizontal="left" vertical="center"/>
    </xf>
    <xf numFmtId="170" fontId="24" fillId="0" borderId="30" xfId="30" applyNumberFormat="1" applyFont="1" applyBorder="1" applyAlignment="1">
      <alignment horizontal="center" vertical="center"/>
    </xf>
    <xf numFmtId="170" fontId="24" fillId="0" borderId="18" xfId="30" applyNumberFormat="1" applyFont="1" applyBorder="1" applyAlignment="1">
      <alignment horizontal="center" vertical="center"/>
    </xf>
    <xf numFmtId="170" fontId="24" fillId="0" borderId="34" xfId="30" applyNumberFormat="1" applyFont="1" applyBorder="1" applyAlignment="1">
      <alignment horizontal="center" vertical="center"/>
    </xf>
    <xf numFmtId="170" fontId="24" fillId="0" borderId="31" xfId="30" applyNumberFormat="1" applyFont="1" applyBorder="1" applyAlignment="1">
      <alignment horizontal="center" vertical="center"/>
    </xf>
    <xf numFmtId="170" fontId="24" fillId="0" borderId="4" xfId="30" applyNumberFormat="1" applyFont="1" applyBorder="1" applyAlignment="1">
      <alignment horizontal="center" vertical="center"/>
    </xf>
    <xf numFmtId="170" fontId="24" fillId="0" borderId="35" xfId="30" applyNumberFormat="1" applyFont="1" applyBorder="1" applyAlignment="1">
      <alignment horizontal="center" vertical="center"/>
    </xf>
    <xf numFmtId="0" fontId="25" fillId="0" borderId="44" xfId="30" applyFont="1" applyBorder="1" applyAlignment="1">
      <alignment horizontal="center" vertical="center" wrapText="1"/>
    </xf>
    <xf numFmtId="0" fontId="25" fillId="0" borderId="19" xfId="30" applyFont="1" applyBorder="1" applyAlignment="1">
      <alignment horizontal="center" vertical="center" wrapText="1"/>
    </xf>
    <xf numFmtId="0" fontId="25" fillId="0" borderId="32" xfId="30" applyFont="1" applyBorder="1" applyAlignment="1">
      <alignment horizontal="center" vertical="center" wrapText="1"/>
    </xf>
    <xf numFmtId="0" fontId="25" fillId="0" borderId="17" xfId="30" applyFont="1" applyBorder="1" applyAlignment="1">
      <alignment horizontal="center" vertical="center" wrapText="1"/>
    </xf>
    <xf numFmtId="0" fontId="25" fillId="0" borderId="43" xfId="30" applyFont="1" applyBorder="1" applyAlignment="1">
      <alignment horizontal="center" vertical="center" wrapText="1"/>
    </xf>
    <xf numFmtId="0" fontId="25" fillId="0" borderId="20" xfId="30" applyFont="1" applyBorder="1" applyAlignment="1">
      <alignment horizontal="center" vertical="center" wrapText="1"/>
    </xf>
    <xf numFmtId="0" fontId="47" fillId="13" borderId="0" xfId="97" applyFont="1" applyFill="1" applyAlignment="1">
      <alignment horizontal="center" vertical="top" wrapText="1"/>
    </xf>
    <xf numFmtId="10" fontId="44" fillId="13" borderId="0" xfId="97" applyNumberFormat="1" applyFont="1" applyFill="1" applyAlignment="1">
      <alignment horizontal="left" vertical="top" wrapText="1"/>
    </xf>
  </cellXfs>
  <cellStyles count="101">
    <cellStyle name="Cancel" xfId="4" xr:uid="{00000000-0005-0000-0000-000001000000}"/>
    <cellStyle name="Cancel 2" xfId="5" xr:uid="{00000000-0005-0000-0000-000002000000}"/>
    <cellStyle name="Cancel 4" xfId="100" xr:uid="{B2972FF6-3F38-4296-BEC2-A1D683FCC166}"/>
    <cellStyle name="Estilo 1" xfId="6" xr:uid="{00000000-0005-0000-0000-000003000000}"/>
    <cellStyle name="Euro" xfId="7" xr:uid="{00000000-0005-0000-0000-000004000000}"/>
    <cellStyle name="Excel Built-in 20% - Accent6" xfId="79" xr:uid="{00000000-0005-0000-0000-000005000000}"/>
    <cellStyle name="Excel Built-in Accent5" xfId="78" xr:uid="{00000000-0005-0000-0000-000006000000}"/>
    <cellStyle name="Excel Built-in Bad" xfId="76" xr:uid="{00000000-0005-0000-0000-000007000000}"/>
    <cellStyle name="Excel Built-in Calculation" xfId="75" xr:uid="{00000000-0005-0000-0000-000008000000}"/>
    <cellStyle name="Excel Built-in Good" xfId="77" xr:uid="{00000000-0005-0000-0000-000009000000}"/>
    <cellStyle name="Excel Built-in Neutral" xfId="74" xr:uid="{00000000-0005-0000-0000-00000A000000}"/>
    <cellStyle name="Excel Built-in Note" xfId="80" xr:uid="{00000000-0005-0000-0000-00000B000000}"/>
    <cellStyle name="Excel Built-in Output" xfId="73" xr:uid="{00000000-0005-0000-0000-00000C000000}"/>
    <cellStyle name="Hiperlink 2" xfId="8" xr:uid="{00000000-0005-0000-0000-00000E000000}"/>
    <cellStyle name="Hiperlink 3" xfId="9" xr:uid="{00000000-0005-0000-0000-00000F000000}"/>
    <cellStyle name="Hyperlink 2" xfId="96" xr:uid="{660DE529-919B-4402-8F3E-87D1139A3465}"/>
    <cellStyle name="Moeda" xfId="2" builtinId="4"/>
    <cellStyle name="Moeda 2" xfId="10" xr:uid="{00000000-0005-0000-0000-000012000000}"/>
    <cellStyle name="Moeda 2 2" xfId="11" xr:uid="{00000000-0005-0000-0000-000013000000}"/>
    <cellStyle name="Moeda 3" xfId="12" xr:uid="{00000000-0005-0000-0000-000014000000}"/>
    <cellStyle name="Moeda 3 2" xfId="13" xr:uid="{00000000-0005-0000-0000-000015000000}"/>
    <cellStyle name="Moeda 4" xfId="14" xr:uid="{00000000-0005-0000-0000-000016000000}"/>
    <cellStyle name="Moeda 5" xfId="15" xr:uid="{00000000-0005-0000-0000-000017000000}"/>
    <cellStyle name="Moeda 6" xfId="16" xr:uid="{00000000-0005-0000-0000-000018000000}"/>
    <cellStyle name="Moeda 7" xfId="17" xr:uid="{00000000-0005-0000-0000-000019000000}"/>
    <cellStyle name="Moeda 8" xfId="18" xr:uid="{00000000-0005-0000-0000-00001A000000}"/>
    <cellStyle name="Moeda 9" xfId="93" xr:uid="{C4A0C94E-31F5-4988-9367-1D25BE98B8E6}"/>
    <cellStyle name="Normal" xfId="0" builtinId="0"/>
    <cellStyle name="Normal 10" xfId="19" xr:uid="{00000000-0005-0000-0000-00001D000000}"/>
    <cellStyle name="Normal 10 2" xfId="95" xr:uid="{BD5AD0C5-1F3D-4011-BA94-EF278E91996F}"/>
    <cellStyle name="Normal 11" xfId="91" xr:uid="{693CE5FA-5F92-4852-AA3E-A86CADE02D79}"/>
    <cellStyle name="Normal 12" xfId="83" xr:uid="{00000000-0005-0000-0000-00001E000000}"/>
    <cellStyle name="Normal 13" xfId="97" xr:uid="{06600623-3C25-4FCD-A5AF-6CFFDEEB85D6}"/>
    <cellStyle name="Normal 14" xfId="20" xr:uid="{00000000-0005-0000-0000-00001F000000}"/>
    <cellStyle name="Normal 15" xfId="98" xr:uid="{35547D57-6F7F-45F9-86B5-F7A6D457FE0C}"/>
    <cellStyle name="Normal 17" xfId="21" xr:uid="{00000000-0005-0000-0000-000020000000}"/>
    <cellStyle name="Normal 17 2" xfId="84" xr:uid="{00000000-0005-0000-0000-000021000000}"/>
    <cellStyle name="Normal 18" xfId="22" xr:uid="{00000000-0005-0000-0000-000022000000}"/>
    <cellStyle name="Normal 19" xfId="23" xr:uid="{00000000-0005-0000-0000-000023000000}"/>
    <cellStyle name="Normal 2" xfId="24" xr:uid="{00000000-0005-0000-0000-000024000000}"/>
    <cellStyle name="Normal 2 2" xfId="25" xr:uid="{00000000-0005-0000-0000-000025000000}"/>
    <cellStyle name="Normal 2 2 2" xfId="26" xr:uid="{00000000-0005-0000-0000-000026000000}"/>
    <cellStyle name="Normal 2 3" xfId="27" xr:uid="{00000000-0005-0000-0000-000027000000}"/>
    <cellStyle name="Normal 2 3 2" xfId="28" xr:uid="{00000000-0005-0000-0000-000028000000}"/>
    <cellStyle name="Normal 2 4" xfId="29" xr:uid="{00000000-0005-0000-0000-000029000000}"/>
    <cellStyle name="Normal 2 5" xfId="30" xr:uid="{00000000-0005-0000-0000-00002A000000}"/>
    <cellStyle name="Normal 2 5 2" xfId="81" xr:uid="{00000000-0005-0000-0000-00002B000000}"/>
    <cellStyle name="Normal 2 58" xfId="31" xr:uid="{00000000-0005-0000-0000-00002C000000}"/>
    <cellStyle name="Normal 2 6" xfId="32" xr:uid="{00000000-0005-0000-0000-00002D000000}"/>
    <cellStyle name="Normal 3" xfId="33" xr:uid="{00000000-0005-0000-0000-00002E000000}"/>
    <cellStyle name="Normal 3 2" xfId="34" xr:uid="{00000000-0005-0000-0000-00002F000000}"/>
    <cellStyle name="Normal 3 3" xfId="35" xr:uid="{00000000-0005-0000-0000-000030000000}"/>
    <cellStyle name="Normal 3 4" xfId="99" xr:uid="{8115EF20-2551-460A-831F-03B2533C64D3}"/>
    <cellStyle name="Normal 4" xfId="36" xr:uid="{00000000-0005-0000-0000-000031000000}"/>
    <cellStyle name="Normal 4 2" xfId="37" xr:uid="{00000000-0005-0000-0000-000032000000}"/>
    <cellStyle name="Normal 4 3" xfId="38" xr:uid="{00000000-0005-0000-0000-000033000000}"/>
    <cellStyle name="Normal 4 4" xfId="39" xr:uid="{00000000-0005-0000-0000-000034000000}"/>
    <cellStyle name="Normal 4 5" xfId="40" xr:uid="{00000000-0005-0000-0000-000035000000}"/>
    <cellStyle name="Normal 4 5 2" xfId="88" xr:uid="{00000000-0005-0000-0000-000036000000}"/>
    <cellStyle name="Normal 5" xfId="41" xr:uid="{00000000-0005-0000-0000-000037000000}"/>
    <cellStyle name="Normal 6" xfId="42" xr:uid="{00000000-0005-0000-0000-000038000000}"/>
    <cellStyle name="Normal 7" xfId="43" xr:uid="{00000000-0005-0000-0000-000039000000}"/>
    <cellStyle name="Normal 7 2" xfId="44" xr:uid="{00000000-0005-0000-0000-00003A000000}"/>
    <cellStyle name="Normal 7 2 2" xfId="82" xr:uid="{00000000-0005-0000-0000-00003B000000}"/>
    <cellStyle name="Normal 8" xfId="45" xr:uid="{00000000-0005-0000-0000-00003C000000}"/>
    <cellStyle name="Normal 9" xfId="46" xr:uid="{00000000-0005-0000-0000-00003D000000}"/>
    <cellStyle name="Percentagem 2" xfId="47" xr:uid="{00000000-0005-0000-0000-00003F000000}"/>
    <cellStyle name="Percentagem 3" xfId="48" xr:uid="{00000000-0005-0000-0000-000040000000}"/>
    <cellStyle name="Porcentagem" xfId="3" builtinId="5"/>
    <cellStyle name="Porcentagem 2" xfId="49" xr:uid="{00000000-0005-0000-0000-000042000000}"/>
    <cellStyle name="Porcentagem 2 2" xfId="50" xr:uid="{00000000-0005-0000-0000-000043000000}"/>
    <cellStyle name="Porcentagem 2 3" xfId="51" xr:uid="{00000000-0005-0000-0000-000044000000}"/>
    <cellStyle name="Porcentagem 2 3 2" xfId="87" xr:uid="{00000000-0005-0000-0000-000045000000}"/>
    <cellStyle name="Porcentagem 3" xfId="52" xr:uid="{00000000-0005-0000-0000-000046000000}"/>
    <cellStyle name="Porcentagem 3 2" xfId="53" xr:uid="{00000000-0005-0000-0000-000047000000}"/>
    <cellStyle name="Porcentagem 3 3" xfId="54" xr:uid="{00000000-0005-0000-0000-000048000000}"/>
    <cellStyle name="Porcentagem 3 4" xfId="55" xr:uid="{00000000-0005-0000-0000-000049000000}"/>
    <cellStyle name="Porcentagem 4" xfId="92" xr:uid="{6E5A3EC8-6B2D-4962-88B3-7F3942ACC807}"/>
    <cellStyle name="Porcentagem 5" xfId="86" xr:uid="{00000000-0005-0000-0000-00004A000000}"/>
    <cellStyle name="Separador de milhares 2" xfId="56" xr:uid="{00000000-0005-0000-0000-00004B000000}"/>
    <cellStyle name="Separador de milhares 2 2" xfId="57" xr:uid="{00000000-0005-0000-0000-00004C000000}"/>
    <cellStyle name="Separador de milhares 2 3" xfId="58" xr:uid="{00000000-0005-0000-0000-00004D000000}"/>
    <cellStyle name="Separador de milhares 3" xfId="59" xr:uid="{00000000-0005-0000-0000-00004E000000}"/>
    <cellStyle name="Vírgula" xfId="1" builtinId="3"/>
    <cellStyle name="Vírgula 11" xfId="85" xr:uid="{00000000-0005-0000-0000-000050000000}"/>
    <cellStyle name="Vírgula 2" xfId="60" xr:uid="{00000000-0005-0000-0000-000051000000}"/>
    <cellStyle name="Vírgula 2 2" xfId="61" xr:uid="{00000000-0005-0000-0000-000052000000}"/>
    <cellStyle name="Vírgula 2 3" xfId="62" xr:uid="{00000000-0005-0000-0000-000053000000}"/>
    <cellStyle name="Vírgula 3" xfId="63" xr:uid="{00000000-0005-0000-0000-000054000000}"/>
    <cellStyle name="Vírgula 3 2" xfId="64" xr:uid="{00000000-0005-0000-0000-000055000000}"/>
    <cellStyle name="Vírgula 4" xfId="65" xr:uid="{00000000-0005-0000-0000-000056000000}"/>
    <cellStyle name="Vírgula 5" xfId="66" xr:uid="{00000000-0005-0000-0000-000057000000}"/>
    <cellStyle name="Vírgula 5 2" xfId="67" xr:uid="{00000000-0005-0000-0000-000058000000}"/>
    <cellStyle name="Vírgula 5 2 2" xfId="90" xr:uid="{00000000-0005-0000-0000-000059000000}"/>
    <cellStyle name="Vírgula 6" xfId="68" xr:uid="{00000000-0005-0000-0000-00005A000000}"/>
    <cellStyle name="Vírgula 7" xfId="69" xr:uid="{00000000-0005-0000-0000-00005B000000}"/>
    <cellStyle name="Vírgula 7 2" xfId="70" xr:uid="{00000000-0005-0000-0000-00005C000000}"/>
    <cellStyle name="Vírgula 7 2 2" xfId="89" xr:uid="{00000000-0005-0000-0000-00005D000000}"/>
    <cellStyle name="Vírgula 8" xfId="71" xr:uid="{00000000-0005-0000-0000-00005E000000}"/>
    <cellStyle name="Vírgula 9" xfId="72" xr:uid="{00000000-0005-0000-0000-00005F000000}"/>
    <cellStyle name="Vírgula 9 2" xfId="94" xr:uid="{9CF81A6C-C5AB-44F0-9516-FE1E7A0597D5}"/>
  </cellStyles>
  <dxfs count="1">
    <dxf>
      <fill>
        <patternFill>
          <bgColor theme="2" tint="-9.9948118533890809E-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C6EFCE"/>
      <rgbColor rgb="FF9C0006"/>
      <rgbColor rgb="FF006100"/>
      <rgbColor rgb="FF000080"/>
      <rgbColor rgb="FF9C6500"/>
      <rgbColor rgb="FF800080"/>
      <rgbColor rgb="FF70AD47"/>
      <rgbColor rgb="FFC0C0C0"/>
      <rgbColor rgb="FF808080"/>
      <rgbColor rgb="FFB2B2B2"/>
      <rgbColor rgb="FF993366"/>
      <rgbColor rgb="FFFFFFCC"/>
      <rgbColor rgb="FFCCFFFF"/>
      <rgbColor rgb="FF660066"/>
      <rgbColor rgb="FFED7D31"/>
      <rgbColor rgb="FF0070C0"/>
      <rgbColor rgb="FFBDD7EE"/>
      <rgbColor rgb="FF000080"/>
      <rgbColor rgb="FFFF00FF"/>
      <rgbColor rgb="FFE2F0D9"/>
      <rgbColor rgb="FFF2F2F2"/>
      <rgbColor rgb="FF800080"/>
      <rgbColor rgb="FF800000"/>
      <rgbColor rgb="FF008080"/>
      <rgbColor rgb="FF0000FF"/>
      <rgbColor rgb="FFDAE3F3"/>
      <rgbColor rgb="FFDEEBF7"/>
      <rgbColor rgb="FFCCFFCC"/>
      <rgbColor rgb="FFFFEB9C"/>
      <rgbColor rgb="FFB4C7E7"/>
      <rgbColor rgb="FFD0CECE"/>
      <rgbColor rgb="FFBFBFBF"/>
      <rgbColor rgb="FFFFC7CE"/>
      <rgbColor rgb="FF4472C4"/>
      <rgbColor rgb="FF5B9BD5"/>
      <rgbColor rgb="FF92D050"/>
      <rgbColor rgb="FFC5E0B4"/>
      <rgbColor rgb="FFD9D9D9"/>
      <rgbColor rgb="FFFA7D00"/>
      <rgbColor rgb="FF595959"/>
      <rgbColor rgb="FF7F7F7F"/>
      <rgbColor rgb="FF002060"/>
      <rgbColor rgb="FF00B050"/>
      <rgbColor rgb="FF385724"/>
      <rgbColor rgb="FF404040"/>
      <rgbColor rgb="FF993300"/>
      <rgbColor rgb="FF993366"/>
      <rgbColor rgb="FF333399"/>
      <rgbColor rgb="FF3F3F3F"/>
      <rgbColor rgb="00003366"/>
      <rgbColor rgb="00339966"/>
      <rgbColor rgb="00003300"/>
      <rgbColor rgb="00333300"/>
      <rgbColor rgb="00993300"/>
      <rgbColor rgb="00993366"/>
      <rgbColor rgb="00333399"/>
      <rgbColor rgb="00333333"/>
    </indexed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19050</xdr:rowOff>
    </xdr:from>
    <xdr:to>
      <xdr:col>2</xdr:col>
      <xdr:colOff>590550</xdr:colOff>
      <xdr:row>1</xdr:row>
      <xdr:rowOff>800100</xdr:rowOff>
    </xdr:to>
    <xdr:pic>
      <xdr:nvPicPr>
        <xdr:cNvPr id="2" name="Imagem 3">
          <a:extLst>
            <a:ext uri="{FF2B5EF4-FFF2-40B4-BE49-F238E27FC236}">
              <a16:creationId xmlns:a16="http://schemas.microsoft.com/office/drawing/2014/main" id="{4957C949-A90C-4537-B3E4-D4FBE596FA8C}"/>
            </a:ext>
          </a:extLst>
        </xdr:cNvPr>
        <xdr:cNvPicPr/>
      </xdr:nvPicPr>
      <xdr:blipFill>
        <a:blip xmlns:r="http://schemas.openxmlformats.org/officeDocument/2006/relationships" r:embed="rId1"/>
        <a:stretch/>
      </xdr:blipFill>
      <xdr:spPr>
        <a:xfrm>
          <a:off x="9525" y="209550"/>
          <a:ext cx="2105025" cy="78105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561975</xdr:colOff>
      <xdr:row>10</xdr:row>
      <xdr:rowOff>0</xdr:rowOff>
    </xdr:from>
    <xdr:to>
      <xdr:col>3</xdr:col>
      <xdr:colOff>657225</xdr:colOff>
      <xdr:row>11</xdr:row>
      <xdr:rowOff>200025</xdr:rowOff>
    </xdr:to>
    <xdr:sp macro="" textlink="">
      <xdr:nvSpPr>
        <xdr:cNvPr id="2" name="Colchete direito 11">
          <a:extLst>
            <a:ext uri="{FF2B5EF4-FFF2-40B4-BE49-F238E27FC236}">
              <a16:creationId xmlns:a16="http://schemas.microsoft.com/office/drawing/2014/main" id="{65CA577B-3E18-41AB-93C5-27AAD0C7612C}"/>
            </a:ext>
          </a:extLst>
        </xdr:cNvPr>
        <xdr:cNvSpPr>
          <a:spLocks/>
        </xdr:cNvSpPr>
      </xdr:nvSpPr>
      <xdr:spPr bwMode="auto">
        <a:xfrm>
          <a:off x="3162300" y="2886075"/>
          <a:ext cx="95250" cy="400050"/>
        </a:xfrm>
        <a:prstGeom prst="rightBracket">
          <a:avLst>
            <a:gd name="adj" fmla="val 3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447675</xdr:colOff>
      <xdr:row>9</xdr:row>
      <xdr:rowOff>171450</xdr:rowOff>
    </xdr:from>
    <xdr:to>
      <xdr:col>0</xdr:col>
      <xdr:colOff>542925</xdr:colOff>
      <xdr:row>11</xdr:row>
      <xdr:rowOff>190500</xdr:rowOff>
    </xdr:to>
    <xdr:sp macro="" textlink="">
      <xdr:nvSpPr>
        <xdr:cNvPr id="3" name="Colchete esquerdo 10">
          <a:extLst>
            <a:ext uri="{FF2B5EF4-FFF2-40B4-BE49-F238E27FC236}">
              <a16:creationId xmlns:a16="http://schemas.microsoft.com/office/drawing/2014/main" id="{7CE1A53F-25FE-4A3F-A04D-49AB914EF34E}"/>
            </a:ext>
          </a:extLst>
        </xdr:cNvPr>
        <xdr:cNvSpPr>
          <a:spLocks/>
        </xdr:cNvSpPr>
      </xdr:nvSpPr>
      <xdr:spPr bwMode="auto">
        <a:xfrm>
          <a:off x="447675" y="2876550"/>
          <a:ext cx="95250" cy="400050"/>
        </a:xfrm>
        <a:prstGeom prst="leftBracket">
          <a:avLst>
            <a:gd name="adj" fmla="val 3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38100</xdr:colOff>
      <xdr:row>0</xdr:row>
      <xdr:rowOff>85725</xdr:rowOff>
    </xdr:from>
    <xdr:to>
      <xdr:col>2</xdr:col>
      <xdr:colOff>1019175</xdr:colOff>
      <xdr:row>0</xdr:row>
      <xdr:rowOff>1019175</xdr:rowOff>
    </xdr:to>
    <xdr:pic>
      <xdr:nvPicPr>
        <xdr:cNvPr id="4" name="Imagem 3">
          <a:extLst>
            <a:ext uri="{FF2B5EF4-FFF2-40B4-BE49-F238E27FC236}">
              <a16:creationId xmlns:a16="http://schemas.microsoft.com/office/drawing/2014/main" id="{D5B5908F-E7EF-4168-A836-BF9F5882F18B}"/>
            </a:ext>
          </a:extLst>
        </xdr:cNvPr>
        <xdr:cNvPicPr/>
      </xdr:nvPicPr>
      <xdr:blipFill>
        <a:blip xmlns:r="http://schemas.openxmlformats.org/officeDocument/2006/relationships" r:embed="rId1"/>
        <a:stretch/>
      </xdr:blipFill>
      <xdr:spPr>
        <a:xfrm>
          <a:off x="38100" y="85725"/>
          <a:ext cx="2419350" cy="93345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76320</xdr:colOff>
      <xdr:row>0</xdr:row>
      <xdr:rowOff>104760</xdr:rowOff>
    </xdr:from>
    <xdr:to>
      <xdr:col>1</xdr:col>
      <xdr:colOff>1213200</xdr:colOff>
      <xdr:row>2</xdr:row>
      <xdr:rowOff>142560</xdr:rowOff>
    </xdr:to>
    <xdr:pic>
      <xdr:nvPicPr>
        <xdr:cNvPr id="14" name="Imagem 3">
          <a:extLst>
            <a:ext uri="{FF2B5EF4-FFF2-40B4-BE49-F238E27FC236}">
              <a16:creationId xmlns:a16="http://schemas.microsoft.com/office/drawing/2014/main" id="{00000000-0008-0000-1400-00000E000000}"/>
            </a:ext>
          </a:extLst>
        </xdr:cNvPr>
        <xdr:cNvPicPr/>
      </xdr:nvPicPr>
      <xdr:blipFill>
        <a:blip xmlns:r="http://schemas.openxmlformats.org/officeDocument/2006/relationships" r:embed="rId1"/>
        <a:stretch/>
      </xdr:blipFill>
      <xdr:spPr>
        <a:xfrm>
          <a:off x="76320" y="104760"/>
          <a:ext cx="1889280" cy="57132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BHZ-DIEDRO\Engenharia$\Or&#231;amento\Formul&#225;rios\14%20-%20Impressos%20Levantamentos\RESIDENCIAL%20JD.%20PRIMAVERA\LEV-JD.PRIMAVE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ESPECIF."/>
      <sheetName val="LEV-QTD"/>
      <sheetName val="LEV-ALV-BC"/>
      <sheetName val="LEV-ALV-TM"/>
      <sheetName val="LEV-ACAB-Nivel Inf."/>
      <sheetName val="LEV-ACAB-Nivel Sup."/>
      <sheetName val="LEV-ACAB-Mezzanino"/>
      <sheetName val="LEV-ACAB-Área Técnica"/>
      <sheetName val="LEV-ACAB-Escada de Seg."/>
      <sheetName val="LEV-ES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pageSetUpPr fitToPage="1"/>
  </sheetPr>
  <dimension ref="A1:D41"/>
  <sheetViews>
    <sheetView tabSelected="1" view="pageBreakPreview" zoomScaleNormal="85" zoomScaleSheetLayoutView="100" workbookViewId="0">
      <selection activeCell="A31" sqref="A31:D31"/>
    </sheetView>
  </sheetViews>
  <sheetFormatPr defaultColWidth="8.7109375" defaultRowHeight="15"/>
  <cols>
    <col min="1" max="1" width="9.140625" style="1" customWidth="1"/>
    <col min="2" max="2" width="74.28515625" customWidth="1"/>
    <col min="3" max="3" width="19.7109375" customWidth="1"/>
    <col min="4" max="4" width="14.140625" customWidth="1"/>
  </cols>
  <sheetData>
    <row r="1" spans="1:4" ht="15.75" thickBot="1">
      <c r="A1" s="200"/>
      <c r="B1" s="201"/>
      <c r="C1" s="201"/>
      <c r="D1" s="202"/>
    </row>
    <row r="2" spans="1:4" ht="15.75" thickBot="1">
      <c r="A2" s="203"/>
      <c r="B2" s="204"/>
      <c r="C2" s="204"/>
      <c r="D2" s="205"/>
    </row>
    <row r="3" spans="1:4" ht="15.75" thickBot="1">
      <c r="A3" s="203"/>
      <c r="B3" s="204"/>
      <c r="C3" s="204"/>
      <c r="D3" s="205"/>
    </row>
    <row r="4" spans="1:4" ht="21">
      <c r="A4" s="206" t="s">
        <v>0</v>
      </c>
      <c r="B4" s="206"/>
      <c r="C4" s="206"/>
      <c r="D4" s="206"/>
    </row>
    <row r="5" spans="1:4" ht="15.75">
      <c r="A5" s="207" t="s">
        <v>1</v>
      </c>
      <c r="B5" s="207"/>
      <c r="C5" s="207"/>
      <c r="D5" s="207"/>
    </row>
    <row r="6" spans="1:4" ht="10.5" customHeight="1">
      <c r="A6" s="2"/>
      <c r="B6" s="3"/>
      <c r="C6" s="3"/>
      <c r="D6" s="4"/>
    </row>
    <row r="7" spans="1:4" ht="18" customHeight="1">
      <c r="A7" s="79" t="s">
        <v>2</v>
      </c>
      <c r="B7" s="208" t="str">
        <f>'2.ORCAMENTO'!D2</f>
        <v>INSTALAÇÕES DE INCÊNDIO - SEDES TRF6 E GALPÃO - JUSTIÇA FEDERAL DE PRIMEIRO GRAU DE MINAS GERAIS</v>
      </c>
      <c r="C7" s="208"/>
      <c r="D7" s="208"/>
    </row>
    <row r="8" spans="1:4" ht="18" customHeight="1">
      <c r="A8" s="79" t="s">
        <v>3</v>
      </c>
      <c r="B8" s="208" t="s">
        <v>4</v>
      </c>
      <c r="C8" s="208"/>
      <c r="D8" s="208"/>
    </row>
    <row r="9" spans="1:4" ht="16.5" thickBot="1">
      <c r="A9" s="196" t="s">
        <v>5</v>
      </c>
      <c r="B9" s="196"/>
      <c r="C9" s="196"/>
      <c r="D9" s="196"/>
    </row>
    <row r="10" spans="1:4" s="5" customFormat="1">
      <c r="A10" s="105" t="s">
        <v>6</v>
      </c>
      <c r="B10" s="105" t="s">
        <v>7</v>
      </c>
      <c r="C10" s="105" t="s">
        <v>8</v>
      </c>
      <c r="D10" s="105" t="s">
        <v>9</v>
      </c>
    </row>
    <row r="11" spans="1:4" s="6" customFormat="1">
      <c r="A11" s="110">
        <v>1</v>
      </c>
      <c r="B11" s="108" t="str">
        <f>'2.ORCAMENTO'!D6</f>
        <v>SERVIÇOS PRELIMINARES</v>
      </c>
      <c r="C11" s="109">
        <f>'2.ORCAMENTO'!M6</f>
        <v>3962.34</v>
      </c>
      <c r="D11" s="111">
        <f>ROUND(C11/$C$18,5)</f>
        <v>8.6999999999999994E-3</v>
      </c>
    </row>
    <row r="12" spans="1:4" s="6" customFormat="1">
      <c r="A12" s="110">
        <v>2</v>
      </c>
      <c r="B12" s="108" t="str">
        <f>'2.ORCAMENTO'!D9</f>
        <v>ADMINISTRAÇÃO LOCAL</v>
      </c>
      <c r="C12" s="109">
        <f>'2.ORCAMENTO'!M9</f>
        <v>20823.86</v>
      </c>
      <c r="D12" s="111">
        <f t="shared" ref="D12:D18" si="0">ROUND(C12/$C$18,4)</f>
        <v>4.5699999999999998E-2</v>
      </c>
    </row>
    <row r="13" spans="1:4" s="6" customFormat="1">
      <c r="A13" s="110">
        <v>3</v>
      </c>
      <c r="B13" s="108" t="str">
        <f>'2.ORCAMENTO'!D11</f>
        <v>EDIFÍCIO  EUCLYDES REIS AGUIAR</v>
      </c>
      <c r="C13" s="109">
        <f>'2.ORCAMENTO'!M11</f>
        <v>130110.06</v>
      </c>
      <c r="D13" s="111">
        <f t="shared" si="0"/>
        <v>0.28560000000000002</v>
      </c>
    </row>
    <row r="14" spans="1:4" s="6" customFormat="1">
      <c r="A14" s="110">
        <v>4</v>
      </c>
      <c r="B14" s="108" t="str">
        <f>'2.ORCAMENTO'!D55</f>
        <v>EDIFÍCIO ANTÔNIO FERNANDO PINHEIRO</v>
      </c>
      <c r="C14" s="109">
        <f>'2.ORCAMENTO'!M55</f>
        <v>85329.18</v>
      </c>
      <c r="D14" s="111">
        <f t="shared" si="0"/>
        <v>0.18729999999999999</v>
      </c>
    </row>
    <row r="15" spans="1:4" s="6" customFormat="1">
      <c r="A15" s="110">
        <v>5</v>
      </c>
      <c r="B15" s="108" t="str">
        <f>'2.ORCAMENTO'!D87</f>
        <v>EDIFÍCIO OSCAR DIAS CORRÊA</v>
      </c>
      <c r="C15" s="109">
        <f>'2.ORCAMENTO'!M87</f>
        <v>100669.34</v>
      </c>
      <c r="D15" s="111">
        <f t="shared" si="0"/>
        <v>0.221</v>
      </c>
    </row>
    <row r="16" spans="1:4" s="6" customFormat="1">
      <c r="A16" s="110">
        <v>6</v>
      </c>
      <c r="B16" s="108" t="str">
        <f>'2.ORCAMENTO'!D120</f>
        <v>GALPÃO</v>
      </c>
      <c r="C16" s="109">
        <f>'2.ORCAMENTO'!M120</f>
        <v>111340.81000000003</v>
      </c>
      <c r="D16" s="111">
        <f t="shared" si="0"/>
        <v>0.24440000000000001</v>
      </c>
    </row>
    <row r="17" spans="1:4" s="6" customFormat="1">
      <c r="A17" s="110">
        <v>7</v>
      </c>
      <c r="B17" s="108" t="str">
        <f>'2.ORCAMENTO'!D177</f>
        <v>SERVIÇOS FINAIS</v>
      </c>
      <c r="C17" s="109">
        <f>'2.ORCAMENTO'!M177</f>
        <v>3333.6</v>
      </c>
      <c r="D17" s="111">
        <f t="shared" si="0"/>
        <v>7.3000000000000001E-3</v>
      </c>
    </row>
    <row r="18" spans="1:4" s="7" customFormat="1" ht="16.5" thickBot="1">
      <c r="A18" s="197" t="s">
        <v>10</v>
      </c>
      <c r="B18" s="197"/>
      <c r="C18" s="106">
        <f>SUM(C11:C17)</f>
        <v>455569.19000000006</v>
      </c>
      <c r="D18" s="107">
        <f t="shared" si="0"/>
        <v>1</v>
      </c>
    </row>
    <row r="19" spans="1:4">
      <c r="A19" s="8"/>
      <c r="D19" s="9"/>
    </row>
    <row r="20" spans="1:4" ht="18.75">
      <c r="A20" s="198" t="s">
        <v>11</v>
      </c>
      <c r="B20" s="198"/>
      <c r="C20" s="198"/>
      <c r="D20" s="198"/>
    </row>
    <row r="21" spans="1:4">
      <c r="A21" s="8"/>
      <c r="D21" s="9"/>
    </row>
    <row r="22" spans="1:4" ht="72" customHeight="1">
      <c r="A22" s="199" t="s">
        <v>12</v>
      </c>
      <c r="B22" s="199"/>
      <c r="C22" s="199"/>
      <c r="D22" s="199"/>
    </row>
    <row r="23" spans="1:4" ht="15.75">
      <c r="A23" s="182"/>
      <c r="B23" s="183" t="s">
        <v>13</v>
      </c>
      <c r="C23" s="10"/>
      <c r="D23" s="11"/>
    </row>
    <row r="24" spans="1:4" ht="15.75">
      <c r="A24" s="184">
        <v>1</v>
      </c>
      <c r="B24" s="185" t="s">
        <v>14</v>
      </c>
      <c r="C24" s="10"/>
      <c r="D24" s="11"/>
    </row>
    <row r="25" spans="1:4" ht="15.75">
      <c r="A25" s="184">
        <v>2</v>
      </c>
      <c r="B25" s="185" t="s">
        <v>15</v>
      </c>
      <c r="C25" s="10"/>
      <c r="D25" s="11"/>
    </row>
    <row r="26" spans="1:4" ht="15.75">
      <c r="A26" s="184">
        <v>3</v>
      </c>
      <c r="B26" s="185" t="s">
        <v>16</v>
      </c>
      <c r="C26" s="10"/>
      <c r="D26" s="11"/>
    </row>
    <row r="27" spans="1:4" ht="15.75">
      <c r="A27" s="184">
        <v>4</v>
      </c>
      <c r="B27" s="185" t="s">
        <v>17</v>
      </c>
      <c r="C27" s="10"/>
      <c r="D27" s="11"/>
    </row>
    <row r="28" spans="1:4" ht="15.75">
      <c r="A28" s="184">
        <v>5</v>
      </c>
      <c r="B28" s="185" t="s">
        <v>581</v>
      </c>
      <c r="C28" s="10"/>
      <c r="D28" s="11"/>
    </row>
    <row r="29" spans="1:4" ht="15.75">
      <c r="A29" s="184">
        <v>6</v>
      </c>
      <c r="B29" s="185" t="s">
        <v>582</v>
      </c>
      <c r="C29" s="10"/>
      <c r="D29" s="11"/>
    </row>
    <row r="30" spans="1:4" ht="15.75">
      <c r="A30" s="184">
        <v>7</v>
      </c>
      <c r="B30" s="185" t="s">
        <v>583</v>
      </c>
      <c r="C30" s="10"/>
      <c r="D30" s="11"/>
    </row>
    <row r="31" spans="1:4">
      <c r="A31" s="194"/>
      <c r="B31" s="194"/>
      <c r="C31" s="194"/>
      <c r="D31" s="194"/>
    </row>
    <row r="32" spans="1:4">
      <c r="A32" s="194" t="s">
        <v>18</v>
      </c>
      <c r="B32" s="194"/>
      <c r="C32" s="194"/>
      <c r="D32" s="194"/>
    </row>
    <row r="33" spans="1:4">
      <c r="A33" s="194" t="s">
        <v>19</v>
      </c>
      <c r="B33" s="194"/>
      <c r="C33" s="194"/>
      <c r="D33" s="194"/>
    </row>
    <row r="34" spans="1:4">
      <c r="A34" s="194" t="s">
        <v>20</v>
      </c>
      <c r="B34" s="194"/>
      <c r="C34" s="194"/>
      <c r="D34" s="194"/>
    </row>
    <row r="35" spans="1:4">
      <c r="A35" s="194" t="s">
        <v>21</v>
      </c>
      <c r="B35" s="194"/>
      <c r="C35" s="194"/>
      <c r="D35" s="194"/>
    </row>
    <row r="36" spans="1:4" ht="15.75" thickBot="1">
      <c r="A36" s="195"/>
      <c r="B36" s="195"/>
      <c r="C36" s="195"/>
      <c r="D36" s="195"/>
    </row>
    <row r="37" spans="1:4">
      <c r="A37" s="193"/>
      <c r="B37" s="193"/>
      <c r="C37" s="193"/>
      <c r="D37" s="193"/>
    </row>
    <row r="38" spans="1:4">
      <c r="A38" s="193"/>
      <c r="B38" s="193"/>
      <c r="C38" s="193"/>
      <c r="D38" s="193"/>
    </row>
    <row r="39" spans="1:4">
      <c r="A39" s="193"/>
      <c r="B39" s="193"/>
      <c r="C39" s="193"/>
      <c r="D39" s="193"/>
    </row>
    <row r="40" spans="1:4">
      <c r="A40" s="193"/>
      <c r="B40" s="193"/>
      <c r="C40" s="193"/>
      <c r="D40" s="193"/>
    </row>
    <row r="41" spans="1:4">
      <c r="A41" s="193"/>
      <c r="B41" s="193"/>
      <c r="C41" s="193"/>
      <c r="D41" s="193"/>
    </row>
  </sheetData>
  <sheetProtection algorithmName="SHA-512" hashValue="Eyu9o+tWSwG7X6W1+pXXAlCekIVWvZKisdYniCOSLmJbelPAcdZiMQieuoQbMb70VTa12CKyXYjH+Rqxq/WKAA==" saltValue="JnPkFEI+hxYUBpIp4gGnFg==" spinCount="100000" sheet="1" objects="1" scenarios="1"/>
  <mergeCells count="20">
    <mergeCell ref="A1:D3"/>
    <mergeCell ref="A4:D4"/>
    <mergeCell ref="A5:D5"/>
    <mergeCell ref="B7:D7"/>
    <mergeCell ref="B8:D8"/>
    <mergeCell ref="A9:D9"/>
    <mergeCell ref="A18:B18"/>
    <mergeCell ref="A20:D20"/>
    <mergeCell ref="A22:D22"/>
    <mergeCell ref="A31:D31"/>
    <mergeCell ref="A38:D38"/>
    <mergeCell ref="A39:D39"/>
    <mergeCell ref="A40:D40"/>
    <mergeCell ref="A41:D41"/>
    <mergeCell ref="A32:D32"/>
    <mergeCell ref="A33:D33"/>
    <mergeCell ref="A34:D34"/>
    <mergeCell ref="A36:D36"/>
    <mergeCell ref="A37:D37"/>
    <mergeCell ref="A35:D35"/>
  </mergeCells>
  <conditionalFormatting sqref="A11:D17">
    <cfRule type="expression" dxfId="0" priority="1">
      <formula>EVEN(ROW()) = ROW()</formula>
    </cfRule>
  </conditionalFormatting>
  <printOptions horizontalCentered="1"/>
  <pageMargins left="0.78749999999999998" right="0.59027777777777801" top="0.98402777777777795" bottom="0.59027777777777801" header="0.511811023622047" footer="0.511811023622047"/>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550B3-3C97-422A-8BC2-E56BE19E4FB9}">
  <sheetPr>
    <pageSetUpPr fitToPage="1"/>
  </sheetPr>
  <dimension ref="A1:P185"/>
  <sheetViews>
    <sheetView showWhiteSpace="0" zoomScaleNormal="100" workbookViewId="0">
      <selection activeCell="N2" sqref="N2"/>
    </sheetView>
  </sheetViews>
  <sheetFormatPr defaultRowHeight="14.25"/>
  <cols>
    <col min="1" max="3" width="11.42578125" style="82" bestFit="1" customWidth="1"/>
    <col min="4" max="4" width="68.5703125" style="82" bestFit="1" customWidth="1"/>
    <col min="5" max="5" width="5.7109375" style="82" bestFit="1" customWidth="1"/>
    <col min="6" max="13" width="11.42578125" style="82" bestFit="1" customWidth="1"/>
    <col min="14" max="14" width="14.28515625" style="82" bestFit="1" customWidth="1"/>
    <col min="15" max="15" width="11.5703125" style="82" bestFit="1" customWidth="1"/>
    <col min="16" max="16" width="9.140625" style="82"/>
    <col min="17" max="17" width="9.140625" style="82" customWidth="1"/>
    <col min="18" max="16384" width="9.140625" style="82"/>
  </cols>
  <sheetData>
    <row r="1" spans="1:16" ht="15">
      <c r="A1" s="81"/>
      <c r="B1" s="81"/>
      <c r="C1" s="81"/>
      <c r="D1" s="81" t="s">
        <v>22</v>
      </c>
      <c r="E1" s="217" t="s">
        <v>23</v>
      </c>
      <c r="F1" s="217"/>
      <c r="G1" s="217"/>
      <c r="H1" s="217" t="s">
        <v>24</v>
      </c>
      <c r="I1" s="217"/>
      <c r="J1" s="217"/>
      <c r="K1" s="217" t="s">
        <v>25</v>
      </c>
      <c r="L1" s="217"/>
      <c r="M1" s="217"/>
    </row>
    <row r="2" spans="1:16" ht="80.099999999999994" customHeight="1">
      <c r="A2" s="83"/>
      <c r="B2" s="83"/>
      <c r="C2" s="83"/>
      <c r="D2" s="84" t="s">
        <v>26</v>
      </c>
      <c r="E2" s="210" t="s">
        <v>27</v>
      </c>
      <c r="F2" s="210"/>
      <c r="G2" s="210"/>
      <c r="H2" s="189">
        <v>0.26569999999999999</v>
      </c>
      <c r="I2" s="99"/>
      <c r="J2" s="99"/>
      <c r="K2" s="210" t="s">
        <v>28</v>
      </c>
      <c r="L2" s="210"/>
      <c r="M2" s="210"/>
    </row>
    <row r="3" spans="1:16" ht="15">
      <c r="A3" s="212" t="s">
        <v>29</v>
      </c>
      <c r="B3" s="213"/>
      <c r="C3" s="213"/>
      <c r="D3" s="213"/>
      <c r="E3" s="213"/>
      <c r="F3" s="213"/>
      <c r="G3" s="213"/>
      <c r="H3" s="213"/>
      <c r="I3" s="213"/>
      <c r="J3" s="213"/>
      <c r="K3" s="213"/>
      <c r="L3" s="213"/>
      <c r="M3" s="213"/>
    </row>
    <row r="4" spans="1:16" ht="15" customHeight="1">
      <c r="A4" s="214" t="s">
        <v>30</v>
      </c>
      <c r="B4" s="215" t="s">
        <v>31</v>
      </c>
      <c r="C4" s="214" t="s">
        <v>32</v>
      </c>
      <c r="D4" s="214" t="s">
        <v>33</v>
      </c>
      <c r="E4" s="216" t="s">
        <v>34</v>
      </c>
      <c r="F4" s="215" t="s">
        <v>35</v>
      </c>
      <c r="G4" s="215" t="s">
        <v>36</v>
      </c>
      <c r="H4" s="216" t="s">
        <v>37</v>
      </c>
      <c r="I4" s="214"/>
      <c r="J4" s="214"/>
      <c r="K4" s="216" t="s">
        <v>38</v>
      </c>
      <c r="L4" s="214"/>
      <c r="M4" s="214"/>
    </row>
    <row r="5" spans="1:16" ht="15" customHeight="1">
      <c r="A5" s="215"/>
      <c r="B5" s="215"/>
      <c r="C5" s="215"/>
      <c r="D5" s="215"/>
      <c r="E5" s="215"/>
      <c r="F5" s="215"/>
      <c r="G5" s="215"/>
      <c r="H5" s="85" t="s">
        <v>39</v>
      </c>
      <c r="I5" s="85" t="s">
        <v>40</v>
      </c>
      <c r="J5" s="85" t="s">
        <v>38</v>
      </c>
      <c r="K5" s="85" t="s">
        <v>39</v>
      </c>
      <c r="L5" s="85" t="s">
        <v>40</v>
      </c>
      <c r="M5" s="85" t="s">
        <v>38</v>
      </c>
    </row>
    <row r="6" spans="1:16" ht="24" customHeight="1">
      <c r="A6" s="100" t="s">
        <v>41</v>
      </c>
      <c r="B6" s="100"/>
      <c r="C6" s="100"/>
      <c r="D6" s="100" t="s">
        <v>42</v>
      </c>
      <c r="E6" s="100"/>
      <c r="F6" s="101"/>
      <c r="G6" s="101"/>
      <c r="H6" s="100"/>
      <c r="I6" s="100"/>
      <c r="J6" s="100"/>
      <c r="K6" s="100"/>
      <c r="L6" s="100"/>
      <c r="M6" s="102">
        <f>SUBTOTAL(9,M7:M8)</f>
        <v>3962.34</v>
      </c>
    </row>
    <row r="7" spans="1:16" ht="24" customHeight="1">
      <c r="A7" s="89" t="s">
        <v>43</v>
      </c>
      <c r="B7" s="90" t="s">
        <v>44</v>
      </c>
      <c r="C7" s="89" t="s">
        <v>45</v>
      </c>
      <c r="D7" s="89" t="s">
        <v>548</v>
      </c>
      <c r="E7" s="91" t="s">
        <v>46</v>
      </c>
      <c r="F7" s="90">
        <v>1</v>
      </c>
      <c r="G7" s="190">
        <f>1580.28+1053.52</f>
        <v>2633.8</v>
      </c>
      <c r="H7" s="190">
        <f>463.08+308.72</f>
        <v>771.8</v>
      </c>
      <c r="I7" s="190">
        <f>1537.08+1024.72</f>
        <v>2561.8000000000002</v>
      </c>
      <c r="J7" s="92">
        <f>TRUNC(G7*(1+$H$2),2)</f>
        <v>3333.6</v>
      </c>
      <c r="K7" s="92">
        <f>TRUNC(F7 * H7, 2)</f>
        <v>771.8</v>
      </c>
      <c r="L7" s="92">
        <f>M7 - K7</f>
        <v>2561.8000000000002</v>
      </c>
      <c r="M7" s="92">
        <f>TRUNC(F7 * J7, 2)</f>
        <v>3333.6</v>
      </c>
    </row>
    <row r="8" spans="1:16" ht="24" customHeight="1">
      <c r="A8" s="89" t="s">
        <v>47</v>
      </c>
      <c r="B8" s="90" t="s">
        <v>48</v>
      </c>
      <c r="C8" s="89" t="s">
        <v>45</v>
      </c>
      <c r="D8" s="89" t="s">
        <v>49</v>
      </c>
      <c r="E8" s="91" t="s">
        <v>46</v>
      </c>
      <c r="F8" s="90">
        <f>38+4</f>
        <v>42</v>
      </c>
      <c r="G8" s="190">
        <v>11.83</v>
      </c>
      <c r="H8" s="190">
        <v>0</v>
      </c>
      <c r="I8" s="190">
        <v>14.97</v>
      </c>
      <c r="J8" s="92">
        <f>TRUNC(G8*(1+$H$2),2)</f>
        <v>14.97</v>
      </c>
      <c r="K8" s="92">
        <f>TRUNC(F8 * H8, 2)</f>
        <v>0</v>
      </c>
      <c r="L8" s="92">
        <f>M8 - K8</f>
        <v>628.74</v>
      </c>
      <c r="M8" s="92">
        <f>TRUNC(F8 * J8, 2)</f>
        <v>628.74</v>
      </c>
    </row>
    <row r="9" spans="1:16" ht="24" customHeight="1">
      <c r="A9" s="100" t="s">
        <v>50</v>
      </c>
      <c r="B9" s="100"/>
      <c r="C9" s="100"/>
      <c r="D9" s="100" t="s">
        <v>51</v>
      </c>
      <c r="E9" s="100"/>
      <c r="F9" s="101"/>
      <c r="G9" s="101"/>
      <c r="H9" s="100"/>
      <c r="I9" s="100"/>
      <c r="J9" s="100"/>
      <c r="K9" s="100"/>
      <c r="L9" s="100"/>
      <c r="M9" s="102">
        <f>SUBTOTAL(9,M10:M10)</f>
        <v>20823.86</v>
      </c>
      <c r="O9" s="103"/>
      <c r="P9" s="103"/>
    </row>
    <row r="10" spans="1:16" ht="24" customHeight="1">
      <c r="A10" s="89" t="s">
        <v>52</v>
      </c>
      <c r="B10" s="90" t="s">
        <v>53</v>
      </c>
      <c r="C10" s="89" t="s">
        <v>45</v>
      </c>
      <c r="D10" s="89" t="s">
        <v>549</v>
      </c>
      <c r="E10" s="91" t="s">
        <v>46</v>
      </c>
      <c r="F10" s="90">
        <v>1</v>
      </c>
      <c r="G10" s="190">
        <f>10968.3+5484.15</f>
        <v>16452.449999999997</v>
      </c>
      <c r="H10" s="190">
        <f>13621.5+6810.75</f>
        <v>20432.25</v>
      </c>
      <c r="I10" s="190">
        <f>261.07+130.53</f>
        <v>391.6</v>
      </c>
      <c r="J10" s="92">
        <f>TRUNC(G10*(1+$H$2),2)</f>
        <v>20823.86</v>
      </c>
      <c r="K10" s="92">
        <f>TRUNC(F10 * H10, 2)</f>
        <v>20432.25</v>
      </c>
      <c r="L10" s="92">
        <f>M10 - K10</f>
        <v>391.61000000000058</v>
      </c>
      <c r="M10" s="92">
        <f>TRUNC(F10 * J10, 2)</f>
        <v>20823.86</v>
      </c>
    </row>
    <row r="11" spans="1:16" ht="24" customHeight="1">
      <c r="A11" s="100" t="s">
        <v>54</v>
      </c>
      <c r="B11" s="100"/>
      <c r="C11" s="100"/>
      <c r="D11" s="100" t="s">
        <v>55</v>
      </c>
      <c r="E11" s="100"/>
      <c r="F11" s="101"/>
      <c r="G11" s="101"/>
      <c r="H11" s="100"/>
      <c r="I11" s="100"/>
      <c r="J11" s="100"/>
      <c r="K11" s="100"/>
      <c r="L11" s="100"/>
      <c r="M11" s="102">
        <f>SUBTOTAL(9,M12:M54)</f>
        <v>130110.06</v>
      </c>
    </row>
    <row r="12" spans="1:16" ht="24" customHeight="1">
      <c r="A12" s="86" t="s">
        <v>56</v>
      </c>
      <c r="B12" s="86"/>
      <c r="C12" s="86"/>
      <c r="D12" s="86" t="s">
        <v>57</v>
      </c>
      <c r="E12" s="86"/>
      <c r="F12" s="87"/>
      <c r="G12" s="87"/>
      <c r="H12" s="86"/>
      <c r="I12" s="86"/>
      <c r="J12" s="86"/>
      <c r="K12" s="86"/>
      <c r="L12" s="86"/>
      <c r="M12" s="88">
        <f>SUBTOTAL(9,M13:M15)</f>
        <v>9875.1200000000008</v>
      </c>
    </row>
    <row r="13" spans="1:16" ht="26.1" customHeight="1">
      <c r="A13" s="89" t="s">
        <v>58</v>
      </c>
      <c r="B13" s="90" t="s">
        <v>59</v>
      </c>
      <c r="C13" s="89" t="s">
        <v>45</v>
      </c>
      <c r="D13" s="89" t="s">
        <v>60</v>
      </c>
      <c r="E13" s="91" t="s">
        <v>46</v>
      </c>
      <c r="F13" s="90">
        <v>1</v>
      </c>
      <c r="G13" s="190">
        <v>4869.49</v>
      </c>
      <c r="H13" s="190">
        <v>530.58000000000004</v>
      </c>
      <c r="I13" s="190">
        <v>5632.73</v>
      </c>
      <c r="J13" s="92">
        <f>TRUNC(G13*(1+$H$2),2)</f>
        <v>6163.31</v>
      </c>
      <c r="K13" s="92">
        <f>TRUNC(F13 * H13, 2)</f>
        <v>530.58000000000004</v>
      </c>
      <c r="L13" s="92">
        <f>M13 - K13</f>
        <v>5632.7300000000005</v>
      </c>
      <c r="M13" s="92">
        <f>TRUNC(F13 * J13, 2)</f>
        <v>6163.31</v>
      </c>
    </row>
    <row r="14" spans="1:16" ht="24" customHeight="1">
      <c r="A14" s="89" t="s">
        <v>61</v>
      </c>
      <c r="B14" s="90" t="s">
        <v>62</v>
      </c>
      <c r="C14" s="89" t="s">
        <v>45</v>
      </c>
      <c r="D14" s="89" t="s">
        <v>63</v>
      </c>
      <c r="E14" s="91" t="s">
        <v>46</v>
      </c>
      <c r="F14" s="90">
        <v>1</v>
      </c>
      <c r="G14" s="190">
        <v>2179.6799999999998</v>
      </c>
      <c r="H14" s="190">
        <v>0</v>
      </c>
      <c r="I14" s="190">
        <v>2758.82</v>
      </c>
      <c r="J14" s="92">
        <f>TRUNC(G14*(1+$H$2),2)</f>
        <v>2758.82</v>
      </c>
      <c r="K14" s="92">
        <f>TRUNC(F14 * H14, 2)</f>
        <v>0</v>
      </c>
      <c r="L14" s="92">
        <f>M14 - K14</f>
        <v>2758.82</v>
      </c>
      <c r="M14" s="92">
        <f>TRUNC(F14 * J14, 2)</f>
        <v>2758.82</v>
      </c>
    </row>
    <row r="15" spans="1:16" ht="39" customHeight="1">
      <c r="A15" s="89" t="s">
        <v>64</v>
      </c>
      <c r="B15" s="90" t="s">
        <v>65</v>
      </c>
      <c r="C15" s="89" t="s">
        <v>66</v>
      </c>
      <c r="D15" s="89" t="s">
        <v>67</v>
      </c>
      <c r="E15" s="91" t="s">
        <v>68</v>
      </c>
      <c r="F15" s="90">
        <v>1.5</v>
      </c>
      <c r="G15" s="190">
        <v>501.96</v>
      </c>
      <c r="H15" s="190">
        <v>37.049999999999997</v>
      </c>
      <c r="I15" s="190">
        <v>598.28</v>
      </c>
      <c r="J15" s="92">
        <f>TRUNC(G15*(1+$H$2),2)</f>
        <v>635.33000000000004</v>
      </c>
      <c r="K15" s="92">
        <f>TRUNC(F15 * H15, 2)</f>
        <v>55.57</v>
      </c>
      <c r="L15" s="92">
        <f>M15 - K15</f>
        <v>897.42</v>
      </c>
      <c r="M15" s="92">
        <f>TRUNC(F15 * J15, 2)</f>
        <v>952.99</v>
      </c>
    </row>
    <row r="16" spans="1:16" ht="24" customHeight="1">
      <c r="A16" s="86" t="s">
        <v>69</v>
      </c>
      <c r="B16" s="86"/>
      <c r="C16" s="86"/>
      <c r="D16" s="86" t="s">
        <v>70</v>
      </c>
      <c r="E16" s="86"/>
      <c r="F16" s="87"/>
      <c r="G16" s="87"/>
      <c r="H16" s="86"/>
      <c r="I16" s="86"/>
      <c r="J16" s="86"/>
      <c r="K16" s="86"/>
      <c r="L16" s="86"/>
      <c r="M16" s="88">
        <f>SUBTOTAL(9,M17:M30)</f>
        <v>5255.34</v>
      </c>
    </row>
    <row r="17" spans="1:13" ht="26.1" customHeight="1">
      <c r="A17" s="89" t="s">
        <v>71</v>
      </c>
      <c r="B17" s="90" t="s">
        <v>72</v>
      </c>
      <c r="C17" s="89" t="s">
        <v>45</v>
      </c>
      <c r="D17" s="89" t="s">
        <v>73</v>
      </c>
      <c r="E17" s="91" t="s">
        <v>74</v>
      </c>
      <c r="F17" s="90">
        <v>16</v>
      </c>
      <c r="G17" s="190">
        <v>27.02</v>
      </c>
      <c r="H17" s="190">
        <v>8.3699999999999992</v>
      </c>
      <c r="I17" s="190">
        <v>25.82</v>
      </c>
      <c r="J17" s="92">
        <f>TRUNC(G17*(1+$H$2),2)</f>
        <v>34.19</v>
      </c>
      <c r="K17" s="92">
        <f t="shared" ref="K17:K21" si="0">TRUNC(F17 * H17, 2)</f>
        <v>133.91999999999999</v>
      </c>
      <c r="L17" s="92">
        <f t="shared" ref="L17:L21" si="1">M17 - K17</f>
        <v>413.12</v>
      </c>
      <c r="M17" s="92">
        <f t="shared" ref="M17:M21" si="2">TRUNC(F17 * J17, 2)</f>
        <v>547.04</v>
      </c>
    </row>
    <row r="18" spans="1:13" ht="39" customHeight="1">
      <c r="A18" s="89" t="s">
        <v>75</v>
      </c>
      <c r="B18" s="90" t="s">
        <v>76</v>
      </c>
      <c r="C18" s="89" t="s">
        <v>77</v>
      </c>
      <c r="D18" s="89" t="s">
        <v>78</v>
      </c>
      <c r="E18" s="91" t="s">
        <v>79</v>
      </c>
      <c r="F18" s="90">
        <v>12</v>
      </c>
      <c r="G18" s="190">
        <v>25.69</v>
      </c>
      <c r="H18" s="190">
        <v>6.2443</v>
      </c>
      <c r="I18" s="190">
        <v>26.265699999999999</v>
      </c>
      <c r="J18" s="92">
        <f t="shared" ref="J18:J54" si="3">TRUNC(G18*(1+$H$2),2)</f>
        <v>32.51</v>
      </c>
      <c r="K18" s="92">
        <f t="shared" si="0"/>
        <v>74.930000000000007</v>
      </c>
      <c r="L18" s="92">
        <f t="shared" si="1"/>
        <v>315.19</v>
      </c>
      <c r="M18" s="92">
        <f t="shared" si="2"/>
        <v>390.12</v>
      </c>
    </row>
    <row r="19" spans="1:13" ht="39" customHeight="1">
      <c r="A19" s="89" t="s">
        <v>80</v>
      </c>
      <c r="B19" s="90" t="s">
        <v>81</v>
      </c>
      <c r="C19" s="89" t="s">
        <v>77</v>
      </c>
      <c r="D19" s="89" t="s">
        <v>82</v>
      </c>
      <c r="E19" s="91" t="s">
        <v>79</v>
      </c>
      <c r="F19" s="90">
        <v>27</v>
      </c>
      <c r="G19" s="190">
        <v>25.69</v>
      </c>
      <c r="H19" s="190">
        <v>6.2443</v>
      </c>
      <c r="I19" s="190">
        <v>26.265699999999999</v>
      </c>
      <c r="J19" s="92">
        <f t="shared" si="3"/>
        <v>32.51</v>
      </c>
      <c r="K19" s="92">
        <f t="shared" si="0"/>
        <v>168.59</v>
      </c>
      <c r="L19" s="92">
        <f t="shared" si="1"/>
        <v>709.18</v>
      </c>
      <c r="M19" s="92">
        <f t="shared" si="2"/>
        <v>877.77</v>
      </c>
    </row>
    <row r="20" spans="1:13" ht="39" customHeight="1">
      <c r="A20" s="89" t="s">
        <v>83</v>
      </c>
      <c r="B20" s="90" t="s">
        <v>84</v>
      </c>
      <c r="C20" s="89" t="s">
        <v>77</v>
      </c>
      <c r="D20" s="89" t="s">
        <v>85</v>
      </c>
      <c r="E20" s="91" t="s">
        <v>79</v>
      </c>
      <c r="F20" s="90">
        <v>18</v>
      </c>
      <c r="G20" s="190">
        <v>25.69</v>
      </c>
      <c r="H20" s="190">
        <v>6.2443</v>
      </c>
      <c r="I20" s="190">
        <v>26.265699999999999</v>
      </c>
      <c r="J20" s="92">
        <f t="shared" si="3"/>
        <v>32.51</v>
      </c>
      <c r="K20" s="92">
        <f t="shared" si="0"/>
        <v>112.39</v>
      </c>
      <c r="L20" s="92">
        <f t="shared" si="1"/>
        <v>472.78999999999996</v>
      </c>
      <c r="M20" s="92">
        <f t="shared" si="2"/>
        <v>585.17999999999995</v>
      </c>
    </row>
    <row r="21" spans="1:13" ht="39" customHeight="1">
      <c r="A21" s="89" t="s">
        <v>86</v>
      </c>
      <c r="B21" s="90" t="s">
        <v>87</v>
      </c>
      <c r="C21" s="89" t="s">
        <v>66</v>
      </c>
      <c r="D21" s="89" t="s">
        <v>88</v>
      </c>
      <c r="E21" s="91" t="s">
        <v>68</v>
      </c>
      <c r="F21" s="90">
        <v>33</v>
      </c>
      <c r="G21" s="190">
        <v>27.21</v>
      </c>
      <c r="H21" s="190">
        <v>12.9</v>
      </c>
      <c r="I21" s="190">
        <v>21.53</v>
      </c>
      <c r="J21" s="92">
        <f t="shared" si="3"/>
        <v>34.43</v>
      </c>
      <c r="K21" s="92">
        <f t="shared" si="0"/>
        <v>425.7</v>
      </c>
      <c r="L21" s="92">
        <f t="shared" si="1"/>
        <v>710.49</v>
      </c>
      <c r="M21" s="92">
        <f t="shared" si="2"/>
        <v>1136.19</v>
      </c>
    </row>
    <row r="22" spans="1:13" ht="39" customHeight="1">
      <c r="A22" s="89" t="s">
        <v>550</v>
      </c>
      <c r="B22" s="186" t="s">
        <v>574</v>
      </c>
      <c r="C22" s="187" t="s">
        <v>77</v>
      </c>
      <c r="D22" s="187" t="s">
        <v>166</v>
      </c>
      <c r="E22" s="188" t="s">
        <v>79</v>
      </c>
      <c r="F22" s="186">
        <v>8</v>
      </c>
      <c r="G22" s="191">
        <v>17.28</v>
      </c>
      <c r="H22" s="191">
        <v>6.24</v>
      </c>
      <c r="I22" s="191">
        <v>15.63</v>
      </c>
      <c r="J22" s="92">
        <f t="shared" ref="J22:J30" si="4">TRUNC(G22*(1+$H$2),2)</f>
        <v>21.87</v>
      </c>
      <c r="K22" s="92">
        <f t="shared" ref="K22:K30" si="5">TRUNC(F22 * H22, 2)</f>
        <v>49.92</v>
      </c>
      <c r="L22" s="92">
        <f t="shared" ref="L22:L30" si="6">M22 - K22</f>
        <v>125.04</v>
      </c>
      <c r="M22" s="92">
        <f t="shared" ref="M22:M30" si="7">TRUNC(F22 * J22, 2)</f>
        <v>174.96</v>
      </c>
    </row>
    <row r="23" spans="1:13" ht="39" customHeight="1">
      <c r="A23" s="89" t="s">
        <v>551</v>
      </c>
      <c r="B23" s="186" t="s">
        <v>559</v>
      </c>
      <c r="C23" s="187" t="s">
        <v>77</v>
      </c>
      <c r="D23" s="187" t="s">
        <v>560</v>
      </c>
      <c r="E23" s="188" t="s">
        <v>79</v>
      </c>
      <c r="F23" s="186">
        <v>1</v>
      </c>
      <c r="G23" s="191">
        <v>25.69</v>
      </c>
      <c r="H23" s="191">
        <v>6.24</v>
      </c>
      <c r="I23" s="191">
        <v>26.27</v>
      </c>
      <c r="J23" s="92">
        <f t="shared" si="4"/>
        <v>32.51</v>
      </c>
      <c r="K23" s="92">
        <f t="shared" si="5"/>
        <v>6.24</v>
      </c>
      <c r="L23" s="92">
        <f t="shared" si="6"/>
        <v>26.269999999999996</v>
      </c>
      <c r="M23" s="92">
        <f t="shared" si="7"/>
        <v>32.51</v>
      </c>
    </row>
    <row r="24" spans="1:13" ht="39" customHeight="1">
      <c r="A24" s="89" t="s">
        <v>552</v>
      </c>
      <c r="B24" s="186" t="s">
        <v>561</v>
      </c>
      <c r="C24" s="187" t="s">
        <v>77</v>
      </c>
      <c r="D24" s="187" t="s">
        <v>562</v>
      </c>
      <c r="E24" s="188" t="s">
        <v>79</v>
      </c>
      <c r="F24" s="186">
        <v>3</v>
      </c>
      <c r="G24" s="191">
        <v>17.28</v>
      </c>
      <c r="H24" s="191">
        <v>6.24</v>
      </c>
      <c r="I24" s="191">
        <v>15.63</v>
      </c>
      <c r="J24" s="92">
        <f t="shared" si="4"/>
        <v>21.87</v>
      </c>
      <c r="K24" s="92">
        <f t="shared" si="5"/>
        <v>18.72</v>
      </c>
      <c r="L24" s="92">
        <f t="shared" si="6"/>
        <v>46.89</v>
      </c>
      <c r="M24" s="92">
        <f t="shared" si="7"/>
        <v>65.61</v>
      </c>
    </row>
    <row r="25" spans="1:13" ht="39" customHeight="1">
      <c r="A25" s="89" t="s">
        <v>553</v>
      </c>
      <c r="B25" s="186" t="s">
        <v>563</v>
      </c>
      <c r="C25" s="187" t="s">
        <v>77</v>
      </c>
      <c r="D25" s="187" t="s">
        <v>564</v>
      </c>
      <c r="E25" s="188" t="s">
        <v>79</v>
      </c>
      <c r="F25" s="186">
        <v>3</v>
      </c>
      <c r="G25" s="191">
        <v>10.33</v>
      </c>
      <c r="H25" s="191">
        <v>6.24</v>
      </c>
      <c r="I25" s="191">
        <v>6.83</v>
      </c>
      <c r="J25" s="92">
        <f t="shared" si="4"/>
        <v>13.07</v>
      </c>
      <c r="K25" s="92">
        <f t="shared" si="5"/>
        <v>18.72</v>
      </c>
      <c r="L25" s="92">
        <f t="shared" si="6"/>
        <v>20.490000000000002</v>
      </c>
      <c r="M25" s="92">
        <f t="shared" si="7"/>
        <v>39.21</v>
      </c>
    </row>
    <row r="26" spans="1:13" ht="39" customHeight="1">
      <c r="A26" s="89" t="s">
        <v>554</v>
      </c>
      <c r="B26" s="186" t="s">
        <v>565</v>
      </c>
      <c r="C26" s="187" t="s">
        <v>77</v>
      </c>
      <c r="D26" s="187" t="s">
        <v>566</v>
      </c>
      <c r="E26" s="188" t="s">
        <v>79</v>
      </c>
      <c r="F26" s="186">
        <v>3</v>
      </c>
      <c r="G26" s="191">
        <v>17.28</v>
      </c>
      <c r="H26" s="191">
        <v>6.24</v>
      </c>
      <c r="I26" s="191">
        <v>15.63</v>
      </c>
      <c r="J26" s="92">
        <f t="shared" si="4"/>
        <v>21.87</v>
      </c>
      <c r="K26" s="92">
        <f t="shared" si="5"/>
        <v>18.72</v>
      </c>
      <c r="L26" s="92">
        <f t="shared" si="6"/>
        <v>46.89</v>
      </c>
      <c r="M26" s="92">
        <f t="shared" si="7"/>
        <v>65.61</v>
      </c>
    </row>
    <row r="27" spans="1:13" ht="39" customHeight="1">
      <c r="A27" s="89" t="s">
        <v>555</v>
      </c>
      <c r="B27" s="186" t="s">
        <v>567</v>
      </c>
      <c r="C27" s="187" t="s">
        <v>77</v>
      </c>
      <c r="D27" s="187" t="s">
        <v>243</v>
      </c>
      <c r="E27" s="188" t="s">
        <v>79</v>
      </c>
      <c r="F27" s="186">
        <v>1</v>
      </c>
      <c r="G27" s="191">
        <v>101.04</v>
      </c>
      <c r="H27" s="191">
        <v>6.24</v>
      </c>
      <c r="I27" s="191">
        <v>121.64</v>
      </c>
      <c r="J27" s="92">
        <f t="shared" si="4"/>
        <v>127.88</v>
      </c>
      <c r="K27" s="92">
        <f t="shared" si="5"/>
        <v>6.24</v>
      </c>
      <c r="L27" s="92">
        <f t="shared" si="6"/>
        <v>121.64</v>
      </c>
      <c r="M27" s="92">
        <f t="shared" si="7"/>
        <v>127.88</v>
      </c>
    </row>
    <row r="28" spans="1:13" ht="39" customHeight="1">
      <c r="A28" s="89" t="s">
        <v>556</v>
      </c>
      <c r="B28" s="186" t="s">
        <v>568</v>
      </c>
      <c r="C28" s="187" t="s">
        <v>77</v>
      </c>
      <c r="D28" s="187" t="s">
        <v>569</v>
      </c>
      <c r="E28" s="188" t="s">
        <v>79</v>
      </c>
      <c r="F28" s="186">
        <v>1</v>
      </c>
      <c r="G28" s="191">
        <v>36.65</v>
      </c>
      <c r="H28" s="191">
        <v>6.24</v>
      </c>
      <c r="I28" s="191">
        <v>40.14</v>
      </c>
      <c r="J28" s="92">
        <f t="shared" si="4"/>
        <v>46.38</v>
      </c>
      <c r="K28" s="92">
        <f t="shared" si="5"/>
        <v>6.24</v>
      </c>
      <c r="L28" s="92">
        <f t="shared" si="6"/>
        <v>40.14</v>
      </c>
      <c r="M28" s="92">
        <f t="shared" si="7"/>
        <v>46.38</v>
      </c>
    </row>
    <row r="29" spans="1:13" ht="39" customHeight="1">
      <c r="A29" s="89" t="s">
        <v>557</v>
      </c>
      <c r="B29" s="186" t="s">
        <v>570</v>
      </c>
      <c r="C29" s="187" t="s">
        <v>45</v>
      </c>
      <c r="D29" s="187" t="s">
        <v>571</v>
      </c>
      <c r="E29" s="188" t="s">
        <v>79</v>
      </c>
      <c r="F29" s="186">
        <v>3</v>
      </c>
      <c r="G29" s="191">
        <v>14.16</v>
      </c>
      <c r="H29" s="191">
        <v>6.24</v>
      </c>
      <c r="I29" s="191">
        <v>11.68</v>
      </c>
      <c r="J29" s="92">
        <f t="shared" si="4"/>
        <v>17.920000000000002</v>
      </c>
      <c r="K29" s="92">
        <f t="shared" si="5"/>
        <v>18.72</v>
      </c>
      <c r="L29" s="92">
        <f t="shared" si="6"/>
        <v>35.04</v>
      </c>
      <c r="M29" s="92">
        <f t="shared" si="7"/>
        <v>53.76</v>
      </c>
    </row>
    <row r="30" spans="1:13" ht="39" customHeight="1">
      <c r="A30" s="89" t="s">
        <v>558</v>
      </c>
      <c r="B30" s="186" t="s">
        <v>572</v>
      </c>
      <c r="C30" s="187" t="s">
        <v>45</v>
      </c>
      <c r="D30" s="187" t="s">
        <v>573</v>
      </c>
      <c r="E30" s="188" t="s">
        <v>79</v>
      </c>
      <c r="F30" s="186">
        <v>24</v>
      </c>
      <c r="G30" s="191">
        <v>36.65</v>
      </c>
      <c r="H30" s="191">
        <v>6.24</v>
      </c>
      <c r="I30" s="191">
        <v>40.14</v>
      </c>
      <c r="J30" s="92">
        <f t="shared" si="4"/>
        <v>46.38</v>
      </c>
      <c r="K30" s="92">
        <f t="shared" si="5"/>
        <v>149.76</v>
      </c>
      <c r="L30" s="92">
        <f t="shared" si="6"/>
        <v>963.3599999999999</v>
      </c>
      <c r="M30" s="92">
        <f t="shared" si="7"/>
        <v>1113.1199999999999</v>
      </c>
    </row>
    <row r="31" spans="1:13" ht="24" customHeight="1">
      <c r="A31" s="86" t="s">
        <v>93</v>
      </c>
      <c r="B31" s="86"/>
      <c r="C31" s="86"/>
      <c r="D31" s="86" t="s">
        <v>94</v>
      </c>
      <c r="E31" s="86"/>
      <c r="F31" s="87"/>
      <c r="G31" s="87"/>
      <c r="H31" s="86"/>
      <c r="I31" s="86"/>
      <c r="J31" s="86"/>
      <c r="K31" s="86"/>
      <c r="L31" s="86"/>
      <c r="M31" s="88">
        <f>SUBTOTAL(9,M32:M34)</f>
        <v>3801.83</v>
      </c>
    </row>
    <row r="32" spans="1:13" ht="24" customHeight="1">
      <c r="A32" s="89" t="s">
        <v>95</v>
      </c>
      <c r="B32" s="90" t="s">
        <v>96</v>
      </c>
      <c r="C32" s="89" t="s">
        <v>45</v>
      </c>
      <c r="D32" s="89" t="s">
        <v>97</v>
      </c>
      <c r="E32" s="91" t="s">
        <v>74</v>
      </c>
      <c r="F32" s="90">
        <v>10</v>
      </c>
      <c r="G32" s="190">
        <v>251.85</v>
      </c>
      <c r="H32" s="190">
        <v>2.78</v>
      </c>
      <c r="I32" s="190">
        <v>315.98</v>
      </c>
      <c r="J32" s="92">
        <f t="shared" si="3"/>
        <v>318.76</v>
      </c>
      <c r="K32" s="92">
        <f>TRUNC(F32 * H32, 2)</f>
        <v>27.8</v>
      </c>
      <c r="L32" s="92">
        <f>M32 - K32</f>
        <v>3159.7999999999997</v>
      </c>
      <c r="M32" s="92">
        <f>TRUNC(F32 * J32, 2)</f>
        <v>3187.6</v>
      </c>
    </row>
    <row r="33" spans="1:13" ht="24" customHeight="1">
      <c r="A33" s="89" t="s">
        <v>575</v>
      </c>
      <c r="B33" s="186" t="s">
        <v>577</v>
      </c>
      <c r="C33" s="187" t="s">
        <v>77</v>
      </c>
      <c r="D33" s="187" t="s">
        <v>578</v>
      </c>
      <c r="E33" s="188" t="s">
        <v>207</v>
      </c>
      <c r="F33" s="186">
        <v>1</v>
      </c>
      <c r="G33" s="191">
        <v>259.08</v>
      </c>
      <c r="H33" s="191">
        <v>36.729999999999997</v>
      </c>
      <c r="I33" s="191">
        <v>291.18</v>
      </c>
      <c r="J33" s="92">
        <f t="shared" ref="J33:J34" si="8">TRUNC(G33*(1+$H$2),2)</f>
        <v>327.91</v>
      </c>
      <c r="K33" s="92">
        <f t="shared" ref="K33:K34" si="9">TRUNC(F33 * H33, 2)</f>
        <v>36.729999999999997</v>
      </c>
      <c r="L33" s="92">
        <f t="shared" ref="L33:L34" si="10">M33 - K33</f>
        <v>291.18</v>
      </c>
      <c r="M33" s="92">
        <f t="shared" ref="M33:M34" si="11">TRUNC(F33 * J33, 2)</f>
        <v>327.91</v>
      </c>
    </row>
    <row r="34" spans="1:13" ht="24" customHeight="1">
      <c r="A34" s="89" t="s">
        <v>576</v>
      </c>
      <c r="B34" s="186" t="s">
        <v>579</v>
      </c>
      <c r="C34" s="187" t="s">
        <v>77</v>
      </c>
      <c r="D34" s="187" t="s">
        <v>580</v>
      </c>
      <c r="E34" s="188" t="s">
        <v>207</v>
      </c>
      <c r="F34" s="186">
        <v>1</v>
      </c>
      <c r="G34" s="191">
        <v>226.22</v>
      </c>
      <c r="H34" s="191">
        <v>36.729999999999997</v>
      </c>
      <c r="I34" s="191">
        <v>249.59</v>
      </c>
      <c r="J34" s="92">
        <f t="shared" si="8"/>
        <v>286.32</v>
      </c>
      <c r="K34" s="92">
        <f t="shared" si="9"/>
        <v>36.729999999999997</v>
      </c>
      <c r="L34" s="92">
        <f t="shared" si="10"/>
        <v>249.59</v>
      </c>
      <c r="M34" s="92">
        <f t="shared" si="11"/>
        <v>286.32</v>
      </c>
    </row>
    <row r="35" spans="1:13" ht="24" customHeight="1">
      <c r="A35" s="86" t="s">
        <v>98</v>
      </c>
      <c r="B35" s="86"/>
      <c r="C35" s="86"/>
      <c r="D35" s="86" t="s">
        <v>99</v>
      </c>
      <c r="E35" s="86"/>
      <c r="F35" s="87"/>
      <c r="G35" s="87"/>
      <c r="H35" s="86"/>
      <c r="I35" s="86"/>
      <c r="J35" s="86"/>
      <c r="K35" s="86"/>
      <c r="L35" s="86"/>
      <c r="M35" s="88">
        <f>SUBTOTAL(9,M36:M41)</f>
        <v>70035.78</v>
      </c>
    </row>
    <row r="36" spans="1:13" ht="39" customHeight="1">
      <c r="A36" s="89" t="s">
        <v>100</v>
      </c>
      <c r="B36" s="90" t="s">
        <v>101</v>
      </c>
      <c r="C36" s="89" t="s">
        <v>66</v>
      </c>
      <c r="D36" s="89" t="s">
        <v>102</v>
      </c>
      <c r="E36" s="91" t="s">
        <v>103</v>
      </c>
      <c r="F36" s="90">
        <v>76</v>
      </c>
      <c r="G36" s="190">
        <v>20.67</v>
      </c>
      <c r="H36" s="190">
        <v>6.7</v>
      </c>
      <c r="I36" s="190">
        <v>19.46</v>
      </c>
      <c r="J36" s="92">
        <f t="shared" si="3"/>
        <v>26.16</v>
      </c>
      <c r="K36" s="92">
        <f t="shared" ref="K36:K41" si="12">TRUNC(F36 * H36, 2)</f>
        <v>509.2</v>
      </c>
      <c r="L36" s="92">
        <f t="shared" ref="L36:L41" si="13">M36 - K36</f>
        <v>1478.96</v>
      </c>
      <c r="M36" s="92">
        <f t="shared" ref="M36:M41" si="14">TRUNC(F36 * J36, 2)</f>
        <v>1988.16</v>
      </c>
    </row>
    <row r="37" spans="1:13" ht="39" customHeight="1">
      <c r="A37" s="89" t="s">
        <v>104</v>
      </c>
      <c r="B37" s="90" t="s">
        <v>105</v>
      </c>
      <c r="C37" s="89" t="s">
        <v>66</v>
      </c>
      <c r="D37" s="89" t="s">
        <v>106</v>
      </c>
      <c r="E37" s="91" t="s">
        <v>107</v>
      </c>
      <c r="F37" s="90">
        <v>5010</v>
      </c>
      <c r="G37" s="190">
        <v>2.99</v>
      </c>
      <c r="H37" s="190">
        <v>1.1299999999999999</v>
      </c>
      <c r="I37" s="190">
        <v>2.65</v>
      </c>
      <c r="J37" s="92">
        <f t="shared" si="3"/>
        <v>3.78</v>
      </c>
      <c r="K37" s="92">
        <f t="shared" si="12"/>
        <v>5661.3</v>
      </c>
      <c r="L37" s="92">
        <f t="shared" si="13"/>
        <v>13276.5</v>
      </c>
      <c r="M37" s="92">
        <f t="shared" si="14"/>
        <v>18937.8</v>
      </c>
    </row>
    <row r="38" spans="1:13" ht="26.1" customHeight="1">
      <c r="A38" s="89" t="s">
        <v>108</v>
      </c>
      <c r="B38" s="90" t="s">
        <v>109</v>
      </c>
      <c r="C38" s="89" t="s">
        <v>77</v>
      </c>
      <c r="D38" s="89" t="s">
        <v>110</v>
      </c>
      <c r="E38" s="91" t="s">
        <v>92</v>
      </c>
      <c r="F38" s="90">
        <v>1670</v>
      </c>
      <c r="G38" s="190">
        <v>20.84</v>
      </c>
      <c r="H38" s="190">
        <v>11.8505</v>
      </c>
      <c r="I38" s="190">
        <v>14.519500000000001</v>
      </c>
      <c r="J38" s="92">
        <f t="shared" si="3"/>
        <v>26.37</v>
      </c>
      <c r="K38" s="92">
        <f t="shared" si="12"/>
        <v>19790.330000000002</v>
      </c>
      <c r="L38" s="92">
        <f t="shared" si="13"/>
        <v>24247.57</v>
      </c>
      <c r="M38" s="92">
        <f t="shared" si="14"/>
        <v>44037.9</v>
      </c>
    </row>
    <row r="39" spans="1:13" ht="24" customHeight="1">
      <c r="A39" s="89" t="s">
        <v>111</v>
      </c>
      <c r="B39" s="90" t="s">
        <v>112</v>
      </c>
      <c r="C39" s="89" t="s">
        <v>45</v>
      </c>
      <c r="D39" s="89" t="s">
        <v>113</v>
      </c>
      <c r="E39" s="91" t="s">
        <v>46</v>
      </c>
      <c r="F39" s="90">
        <v>46</v>
      </c>
      <c r="G39" s="190">
        <v>46.91</v>
      </c>
      <c r="H39" s="190">
        <v>24.81</v>
      </c>
      <c r="I39" s="190">
        <v>34.56</v>
      </c>
      <c r="J39" s="92">
        <f t="shared" si="3"/>
        <v>59.37</v>
      </c>
      <c r="K39" s="92">
        <f t="shared" si="12"/>
        <v>1141.26</v>
      </c>
      <c r="L39" s="92">
        <f t="shared" si="13"/>
        <v>1589.76</v>
      </c>
      <c r="M39" s="92">
        <f t="shared" si="14"/>
        <v>2731.02</v>
      </c>
    </row>
    <row r="40" spans="1:13" ht="39" customHeight="1">
      <c r="A40" s="89" t="s">
        <v>114</v>
      </c>
      <c r="B40" s="90" t="s">
        <v>115</v>
      </c>
      <c r="C40" s="89" t="s">
        <v>66</v>
      </c>
      <c r="D40" s="89" t="s">
        <v>116</v>
      </c>
      <c r="E40" s="91" t="s">
        <v>103</v>
      </c>
      <c r="F40" s="90">
        <v>46</v>
      </c>
      <c r="G40" s="190">
        <v>34.56</v>
      </c>
      <c r="H40" s="190">
        <v>25.52</v>
      </c>
      <c r="I40" s="190">
        <v>18.22</v>
      </c>
      <c r="J40" s="92">
        <f t="shared" si="3"/>
        <v>43.74</v>
      </c>
      <c r="K40" s="92">
        <f t="shared" si="12"/>
        <v>1173.92</v>
      </c>
      <c r="L40" s="92">
        <f t="shared" si="13"/>
        <v>838.11999999999989</v>
      </c>
      <c r="M40" s="92">
        <f t="shared" si="14"/>
        <v>2012.04</v>
      </c>
    </row>
    <row r="41" spans="1:13" ht="26.1" customHeight="1">
      <c r="A41" s="89" t="s">
        <v>117</v>
      </c>
      <c r="B41" s="90" t="s">
        <v>118</v>
      </c>
      <c r="C41" s="89" t="s">
        <v>66</v>
      </c>
      <c r="D41" s="89" t="s">
        <v>119</v>
      </c>
      <c r="E41" s="91" t="s">
        <v>103</v>
      </c>
      <c r="F41" s="90">
        <v>18</v>
      </c>
      <c r="G41" s="190">
        <v>14.44</v>
      </c>
      <c r="H41" s="190">
        <v>1.74</v>
      </c>
      <c r="I41" s="190">
        <v>16.53</v>
      </c>
      <c r="J41" s="92">
        <f t="shared" si="3"/>
        <v>18.27</v>
      </c>
      <c r="K41" s="92">
        <f t="shared" si="12"/>
        <v>31.32</v>
      </c>
      <c r="L41" s="92">
        <f t="shared" si="13"/>
        <v>297.54000000000002</v>
      </c>
      <c r="M41" s="92">
        <f t="shared" si="14"/>
        <v>328.86</v>
      </c>
    </row>
    <row r="42" spans="1:13" ht="24" customHeight="1">
      <c r="A42" s="86" t="s">
        <v>120</v>
      </c>
      <c r="B42" s="86"/>
      <c r="C42" s="86"/>
      <c r="D42" s="86" t="s">
        <v>121</v>
      </c>
      <c r="E42" s="86"/>
      <c r="F42" s="87"/>
      <c r="G42" s="87"/>
      <c r="H42" s="86"/>
      <c r="I42" s="86"/>
      <c r="J42" s="86"/>
      <c r="K42" s="86"/>
      <c r="L42" s="86"/>
      <c r="M42" s="88">
        <f>SUBTOTAL(9,M43:M43)</f>
        <v>2047.72</v>
      </c>
    </row>
    <row r="43" spans="1:13" ht="24" customHeight="1">
      <c r="A43" s="89" t="s">
        <v>122</v>
      </c>
      <c r="B43" s="90" t="s">
        <v>123</v>
      </c>
      <c r="C43" s="89" t="s">
        <v>45</v>
      </c>
      <c r="D43" s="89" t="s">
        <v>124</v>
      </c>
      <c r="E43" s="91" t="s">
        <v>74</v>
      </c>
      <c r="F43" s="90">
        <v>1</v>
      </c>
      <c r="G43" s="190">
        <v>1617.86</v>
      </c>
      <c r="H43" s="190">
        <v>1618.92</v>
      </c>
      <c r="I43" s="190">
        <v>428.8</v>
      </c>
      <c r="J43" s="92">
        <f t="shared" si="3"/>
        <v>2047.72</v>
      </c>
      <c r="K43" s="92">
        <f>TRUNC(F43 * H43, 2)</f>
        <v>1618.92</v>
      </c>
      <c r="L43" s="92">
        <f>M43 - K43</f>
        <v>428.79999999999995</v>
      </c>
      <c r="M43" s="92">
        <f>TRUNC(F43 * J43, 2)</f>
        <v>2047.72</v>
      </c>
    </row>
    <row r="44" spans="1:13" ht="24" customHeight="1">
      <c r="A44" s="86" t="s">
        <v>125</v>
      </c>
      <c r="B44" s="86"/>
      <c r="C44" s="86"/>
      <c r="D44" s="86" t="s">
        <v>126</v>
      </c>
      <c r="E44" s="86"/>
      <c r="F44" s="87"/>
      <c r="G44" s="87"/>
      <c r="H44" s="86"/>
      <c r="I44" s="86"/>
      <c r="J44" s="86"/>
      <c r="K44" s="86"/>
      <c r="L44" s="86"/>
      <c r="M44" s="88">
        <f>SUBTOTAL(9,M45:M46)</f>
        <v>7003.85</v>
      </c>
    </row>
    <row r="45" spans="1:13" ht="24" customHeight="1">
      <c r="A45" s="89" t="s">
        <v>127</v>
      </c>
      <c r="B45" s="90" t="s">
        <v>128</v>
      </c>
      <c r="C45" s="89" t="s">
        <v>45</v>
      </c>
      <c r="D45" s="89" t="s">
        <v>129</v>
      </c>
      <c r="E45" s="91" t="s">
        <v>74</v>
      </c>
      <c r="F45" s="90">
        <v>19</v>
      </c>
      <c r="G45" s="190">
        <v>266.38</v>
      </c>
      <c r="H45" s="190">
        <v>262.26</v>
      </c>
      <c r="I45" s="190">
        <v>74.89</v>
      </c>
      <c r="J45" s="92">
        <f t="shared" si="3"/>
        <v>337.15</v>
      </c>
      <c r="K45" s="92">
        <f>TRUNC(F45 * H45, 2)</f>
        <v>4982.9399999999996</v>
      </c>
      <c r="L45" s="92">
        <f>M45 - K45</f>
        <v>1422.9100000000008</v>
      </c>
      <c r="M45" s="92">
        <f>TRUNC(F45 * J45, 2)</f>
        <v>6405.85</v>
      </c>
    </row>
    <row r="46" spans="1:13" ht="26.1" customHeight="1">
      <c r="A46" s="89" t="s">
        <v>130</v>
      </c>
      <c r="B46" s="90" t="s">
        <v>131</v>
      </c>
      <c r="C46" s="89" t="s">
        <v>45</v>
      </c>
      <c r="D46" s="89" t="s">
        <v>132</v>
      </c>
      <c r="E46" s="91" t="s">
        <v>107</v>
      </c>
      <c r="F46" s="90">
        <v>20</v>
      </c>
      <c r="G46" s="190">
        <v>23.63</v>
      </c>
      <c r="H46" s="190">
        <v>20.18</v>
      </c>
      <c r="I46" s="190">
        <v>9.7200000000000006</v>
      </c>
      <c r="J46" s="92">
        <f t="shared" si="3"/>
        <v>29.9</v>
      </c>
      <c r="K46" s="92">
        <f>TRUNC(F46 * H46, 2)</f>
        <v>403.6</v>
      </c>
      <c r="L46" s="92">
        <f>M46 - K46</f>
        <v>194.39999999999998</v>
      </c>
      <c r="M46" s="92">
        <f>TRUNC(F46 * J46, 2)</f>
        <v>598</v>
      </c>
    </row>
    <row r="47" spans="1:13" ht="24" customHeight="1">
      <c r="A47" s="86" t="s">
        <v>133</v>
      </c>
      <c r="B47" s="86"/>
      <c r="C47" s="86"/>
      <c r="D47" s="86" t="s">
        <v>134</v>
      </c>
      <c r="E47" s="86"/>
      <c r="F47" s="87"/>
      <c r="G47" s="87"/>
      <c r="H47" s="86"/>
      <c r="I47" s="86"/>
      <c r="J47" s="86"/>
      <c r="K47" s="86"/>
      <c r="L47" s="86"/>
      <c r="M47" s="88">
        <f>SUBTOTAL(9,M48:M49)</f>
        <v>22503.010000000002</v>
      </c>
    </row>
    <row r="48" spans="1:13" ht="26.1" customHeight="1">
      <c r="A48" s="89" t="s">
        <v>135</v>
      </c>
      <c r="B48" s="90" t="s">
        <v>136</v>
      </c>
      <c r="C48" s="89" t="s">
        <v>45</v>
      </c>
      <c r="D48" s="89" t="s">
        <v>137</v>
      </c>
      <c r="E48" s="91" t="s">
        <v>74</v>
      </c>
      <c r="F48" s="90">
        <v>1</v>
      </c>
      <c r="G48" s="190">
        <v>2128.52</v>
      </c>
      <c r="H48" s="190">
        <v>591</v>
      </c>
      <c r="I48" s="190">
        <v>2103.06</v>
      </c>
      <c r="J48" s="92">
        <f t="shared" si="3"/>
        <v>2694.06</v>
      </c>
      <c r="K48" s="92">
        <f>TRUNC(F48 * H48, 2)</f>
        <v>591</v>
      </c>
      <c r="L48" s="92">
        <f>M48 - K48</f>
        <v>2103.06</v>
      </c>
      <c r="M48" s="92">
        <f>TRUNC(F48 * J48, 2)</f>
        <v>2694.06</v>
      </c>
    </row>
    <row r="49" spans="1:13" ht="26.1" customHeight="1">
      <c r="A49" s="89" t="s">
        <v>138</v>
      </c>
      <c r="B49" s="90" t="s">
        <v>139</v>
      </c>
      <c r="C49" s="89" t="s">
        <v>45</v>
      </c>
      <c r="D49" s="89" t="s">
        <v>140</v>
      </c>
      <c r="E49" s="91" t="s">
        <v>74</v>
      </c>
      <c r="F49" s="90">
        <v>1</v>
      </c>
      <c r="G49" s="190">
        <v>15650.59</v>
      </c>
      <c r="H49" s="190">
        <v>1470.89</v>
      </c>
      <c r="I49" s="190">
        <v>18338.060000000001</v>
      </c>
      <c r="J49" s="92">
        <f t="shared" si="3"/>
        <v>19808.95</v>
      </c>
      <c r="K49" s="92">
        <f>TRUNC(F49 * H49, 2)</f>
        <v>1470.89</v>
      </c>
      <c r="L49" s="92">
        <f>M49 - K49</f>
        <v>18338.060000000001</v>
      </c>
      <c r="M49" s="92">
        <f>TRUNC(F49 * J49, 2)</f>
        <v>19808.95</v>
      </c>
    </row>
    <row r="50" spans="1:13" ht="24" customHeight="1">
      <c r="A50" s="86" t="s">
        <v>141</v>
      </c>
      <c r="B50" s="86"/>
      <c r="C50" s="86"/>
      <c r="D50" s="86" t="s">
        <v>142</v>
      </c>
      <c r="E50" s="86"/>
      <c r="F50" s="87"/>
      <c r="G50" s="87"/>
      <c r="H50" s="86"/>
      <c r="I50" s="86"/>
      <c r="J50" s="86"/>
      <c r="K50" s="86"/>
      <c r="L50" s="86"/>
      <c r="M50" s="88">
        <f>SUBTOTAL(9,M51:M52)</f>
        <v>3286.9799999999996</v>
      </c>
    </row>
    <row r="51" spans="1:13" ht="26.1" customHeight="1">
      <c r="A51" s="89" t="s">
        <v>143</v>
      </c>
      <c r="B51" s="90" t="s">
        <v>144</v>
      </c>
      <c r="C51" s="89" t="s">
        <v>45</v>
      </c>
      <c r="D51" s="89" t="s">
        <v>145</v>
      </c>
      <c r="E51" s="91" t="s">
        <v>74</v>
      </c>
      <c r="F51" s="90">
        <v>1</v>
      </c>
      <c r="G51" s="190">
        <v>1970.81</v>
      </c>
      <c r="H51" s="190">
        <v>1702.51</v>
      </c>
      <c r="I51" s="190">
        <v>791.94</v>
      </c>
      <c r="J51" s="92">
        <f t="shared" si="3"/>
        <v>2494.4499999999998</v>
      </c>
      <c r="K51" s="92">
        <f>TRUNC(F51 * H51, 2)</f>
        <v>1702.51</v>
      </c>
      <c r="L51" s="92">
        <f>M51 - K51</f>
        <v>791.93999999999983</v>
      </c>
      <c r="M51" s="92">
        <f>TRUNC(F51 * J51, 2)</f>
        <v>2494.4499999999998</v>
      </c>
    </row>
    <row r="52" spans="1:13" ht="24" customHeight="1">
      <c r="A52" s="89" t="s">
        <v>146</v>
      </c>
      <c r="B52" s="90" t="s">
        <v>147</v>
      </c>
      <c r="C52" s="89" t="s">
        <v>45</v>
      </c>
      <c r="D52" s="89" t="s">
        <v>148</v>
      </c>
      <c r="E52" s="91" t="s">
        <v>74</v>
      </c>
      <c r="F52" s="90">
        <v>1</v>
      </c>
      <c r="G52" s="190">
        <v>626.16</v>
      </c>
      <c r="H52" s="190">
        <v>399.76</v>
      </c>
      <c r="I52" s="190">
        <v>392.77</v>
      </c>
      <c r="J52" s="92">
        <f t="shared" si="3"/>
        <v>792.53</v>
      </c>
      <c r="K52" s="92">
        <f>TRUNC(F52 * H52, 2)</f>
        <v>399.76</v>
      </c>
      <c r="L52" s="92">
        <f>M52 - K52</f>
        <v>392.77</v>
      </c>
      <c r="M52" s="92">
        <f>TRUNC(F52 * J52, 2)</f>
        <v>792.53</v>
      </c>
    </row>
    <row r="53" spans="1:13" ht="24" customHeight="1">
      <c r="A53" s="86" t="s">
        <v>149</v>
      </c>
      <c r="B53" s="86"/>
      <c r="C53" s="86"/>
      <c r="D53" s="86" t="s">
        <v>150</v>
      </c>
      <c r="E53" s="86"/>
      <c r="F53" s="87"/>
      <c r="G53" s="87"/>
      <c r="H53" s="86"/>
      <c r="I53" s="86"/>
      <c r="J53" s="86"/>
      <c r="K53" s="86"/>
      <c r="L53" s="86"/>
      <c r="M53" s="88">
        <f>SUBTOTAL(9,M54:M54)</f>
        <v>6300.43</v>
      </c>
    </row>
    <row r="54" spans="1:13" ht="26.1" customHeight="1">
      <c r="A54" s="89" t="s">
        <v>151</v>
      </c>
      <c r="B54" s="90" t="s">
        <v>152</v>
      </c>
      <c r="C54" s="89" t="s">
        <v>45</v>
      </c>
      <c r="D54" s="89" t="s">
        <v>153</v>
      </c>
      <c r="E54" s="91" t="s">
        <v>74</v>
      </c>
      <c r="F54" s="90">
        <v>1</v>
      </c>
      <c r="G54" s="190">
        <v>4977.83</v>
      </c>
      <c r="H54" s="190">
        <v>6054</v>
      </c>
      <c r="I54" s="190">
        <v>246.43</v>
      </c>
      <c r="J54" s="92">
        <f t="shared" si="3"/>
        <v>6300.43</v>
      </c>
      <c r="K54" s="92">
        <f>TRUNC(F54 * H54, 2)</f>
        <v>6054</v>
      </c>
      <c r="L54" s="92">
        <f>M54 - K54</f>
        <v>246.43000000000029</v>
      </c>
      <c r="M54" s="92">
        <f>TRUNC(F54 * J54, 2)</f>
        <v>6300.43</v>
      </c>
    </row>
    <row r="55" spans="1:13" ht="24" customHeight="1">
      <c r="A55" s="100" t="s">
        <v>154</v>
      </c>
      <c r="B55" s="100"/>
      <c r="C55" s="100"/>
      <c r="D55" s="100" t="s">
        <v>155</v>
      </c>
      <c r="E55" s="100"/>
      <c r="F55" s="101"/>
      <c r="G55" s="101"/>
      <c r="H55" s="100"/>
      <c r="I55" s="100"/>
      <c r="J55" s="100"/>
      <c r="K55" s="100"/>
      <c r="L55" s="100"/>
      <c r="M55" s="102">
        <f>SUBTOTAL(9,M56:M86)</f>
        <v>85329.18</v>
      </c>
    </row>
    <row r="56" spans="1:13" ht="24" customHeight="1">
      <c r="A56" s="86" t="s">
        <v>156</v>
      </c>
      <c r="B56" s="86"/>
      <c r="C56" s="86"/>
      <c r="D56" s="86" t="s">
        <v>57</v>
      </c>
      <c r="E56" s="86"/>
      <c r="F56" s="87"/>
      <c r="G56" s="87"/>
      <c r="H56" s="86"/>
      <c r="I56" s="86"/>
      <c r="J56" s="86"/>
      <c r="K56" s="86"/>
      <c r="L56" s="86"/>
      <c r="M56" s="88">
        <f>SUBTOTAL(9,M57:M59)</f>
        <v>9875.1200000000008</v>
      </c>
    </row>
    <row r="57" spans="1:13" ht="26.1" customHeight="1">
      <c r="A57" s="89" t="s">
        <v>157</v>
      </c>
      <c r="B57" s="90" t="s">
        <v>59</v>
      </c>
      <c r="C57" s="89" t="s">
        <v>45</v>
      </c>
      <c r="D57" s="89" t="s">
        <v>60</v>
      </c>
      <c r="E57" s="91" t="s">
        <v>46</v>
      </c>
      <c r="F57" s="90">
        <v>1</v>
      </c>
      <c r="G57" s="190">
        <v>4869.49</v>
      </c>
      <c r="H57" s="190">
        <v>530.58000000000004</v>
      </c>
      <c r="I57" s="190">
        <v>5632.73</v>
      </c>
      <c r="J57" s="92">
        <f t="shared" ref="J57:J86" si="15">TRUNC(G57*(1+$H$2),2)</f>
        <v>6163.31</v>
      </c>
      <c r="K57" s="92">
        <f>TRUNC(F57 * H57, 2)</f>
        <v>530.58000000000004</v>
      </c>
      <c r="L57" s="92">
        <f>M57 - K57</f>
        <v>5632.7300000000005</v>
      </c>
      <c r="M57" s="92">
        <f>TRUNC(F57 * J57, 2)</f>
        <v>6163.31</v>
      </c>
    </row>
    <row r="58" spans="1:13" ht="24" customHeight="1">
      <c r="A58" s="89" t="s">
        <v>158</v>
      </c>
      <c r="B58" s="90" t="s">
        <v>159</v>
      </c>
      <c r="C58" s="89" t="s">
        <v>45</v>
      </c>
      <c r="D58" s="89" t="s">
        <v>63</v>
      </c>
      <c r="E58" s="91" t="s">
        <v>46</v>
      </c>
      <c r="F58" s="90">
        <v>1</v>
      </c>
      <c r="G58" s="190">
        <v>2179.6799999999998</v>
      </c>
      <c r="H58" s="190">
        <v>0</v>
      </c>
      <c r="I58" s="190">
        <v>2758.82</v>
      </c>
      <c r="J58" s="92">
        <f t="shared" si="15"/>
        <v>2758.82</v>
      </c>
      <c r="K58" s="92">
        <f>TRUNC(F58 * H58, 2)</f>
        <v>0</v>
      </c>
      <c r="L58" s="92">
        <f>M58 - K58</f>
        <v>2758.82</v>
      </c>
      <c r="M58" s="92">
        <f>TRUNC(F58 * J58, 2)</f>
        <v>2758.82</v>
      </c>
    </row>
    <row r="59" spans="1:13" ht="39" customHeight="1">
      <c r="A59" s="89" t="s">
        <v>160</v>
      </c>
      <c r="B59" s="90" t="s">
        <v>65</v>
      </c>
      <c r="C59" s="89" t="s">
        <v>66</v>
      </c>
      <c r="D59" s="89" t="s">
        <v>67</v>
      </c>
      <c r="E59" s="91" t="s">
        <v>68</v>
      </c>
      <c r="F59" s="90">
        <v>1.5</v>
      </c>
      <c r="G59" s="190">
        <v>501.96</v>
      </c>
      <c r="H59" s="190">
        <v>37.049999999999997</v>
      </c>
      <c r="I59" s="190">
        <v>598.28</v>
      </c>
      <c r="J59" s="92">
        <f t="shared" si="15"/>
        <v>635.33000000000004</v>
      </c>
      <c r="K59" s="92">
        <f>TRUNC(F59 * H59, 2)</f>
        <v>55.57</v>
      </c>
      <c r="L59" s="92">
        <f>M59 - K59</f>
        <v>897.42</v>
      </c>
      <c r="M59" s="92">
        <f>TRUNC(F59 * J59, 2)</f>
        <v>952.99</v>
      </c>
    </row>
    <row r="60" spans="1:13" ht="24" customHeight="1">
      <c r="A60" s="86" t="s">
        <v>161</v>
      </c>
      <c r="B60" s="86"/>
      <c r="C60" s="86"/>
      <c r="D60" s="86" t="s">
        <v>70</v>
      </c>
      <c r="E60" s="86"/>
      <c r="F60" s="87"/>
      <c r="G60" s="87"/>
      <c r="H60" s="86"/>
      <c r="I60" s="86"/>
      <c r="J60" s="86"/>
      <c r="K60" s="86"/>
      <c r="L60" s="86"/>
      <c r="M60" s="88">
        <f>SUBTOTAL(9,M61:M66)</f>
        <v>4784.5899999999992</v>
      </c>
    </row>
    <row r="61" spans="1:13" ht="39" customHeight="1">
      <c r="A61" s="89" t="s">
        <v>162</v>
      </c>
      <c r="B61" s="90" t="s">
        <v>81</v>
      </c>
      <c r="C61" s="89" t="s">
        <v>77</v>
      </c>
      <c r="D61" s="89" t="s">
        <v>82</v>
      </c>
      <c r="E61" s="91" t="s">
        <v>79</v>
      </c>
      <c r="F61" s="90">
        <v>20</v>
      </c>
      <c r="G61" s="190">
        <v>25.69</v>
      </c>
      <c r="H61" s="190">
        <v>6.2443</v>
      </c>
      <c r="I61" s="190">
        <v>26.265699999999999</v>
      </c>
      <c r="J61" s="92">
        <f t="shared" si="15"/>
        <v>32.51</v>
      </c>
      <c r="K61" s="92">
        <f t="shared" ref="K61:K66" si="16">TRUNC(F61 * H61, 2)</f>
        <v>124.88</v>
      </c>
      <c r="L61" s="92">
        <f t="shared" ref="L61:L66" si="17">M61 - K61</f>
        <v>525.32000000000005</v>
      </c>
      <c r="M61" s="92">
        <f t="shared" ref="M61:M66" si="18">TRUNC(F61 * J61, 2)</f>
        <v>650.20000000000005</v>
      </c>
    </row>
    <row r="62" spans="1:13" ht="39" customHeight="1">
      <c r="A62" s="89" t="s">
        <v>163</v>
      </c>
      <c r="B62" s="90" t="s">
        <v>84</v>
      </c>
      <c r="C62" s="89" t="s">
        <v>77</v>
      </c>
      <c r="D62" s="89" t="s">
        <v>85</v>
      </c>
      <c r="E62" s="91" t="s">
        <v>79</v>
      </c>
      <c r="F62" s="90">
        <v>5</v>
      </c>
      <c r="G62" s="190">
        <v>25.69</v>
      </c>
      <c r="H62" s="190">
        <v>6.2443</v>
      </c>
      <c r="I62" s="190">
        <v>26.265699999999999</v>
      </c>
      <c r="J62" s="92">
        <f t="shared" si="15"/>
        <v>32.51</v>
      </c>
      <c r="K62" s="92">
        <f t="shared" si="16"/>
        <v>31.22</v>
      </c>
      <c r="L62" s="92">
        <f t="shared" si="17"/>
        <v>131.33000000000001</v>
      </c>
      <c r="M62" s="92">
        <f t="shared" si="18"/>
        <v>162.55000000000001</v>
      </c>
    </row>
    <row r="63" spans="1:13" ht="39" customHeight="1">
      <c r="A63" s="89" t="s">
        <v>164</v>
      </c>
      <c r="B63" s="90" t="s">
        <v>165</v>
      </c>
      <c r="C63" s="89" t="s">
        <v>77</v>
      </c>
      <c r="D63" s="89" t="s">
        <v>166</v>
      </c>
      <c r="E63" s="91" t="s">
        <v>79</v>
      </c>
      <c r="F63" s="90">
        <v>5</v>
      </c>
      <c r="G63" s="190">
        <v>17.28</v>
      </c>
      <c r="H63" s="190">
        <v>6.2443</v>
      </c>
      <c r="I63" s="190">
        <v>15.6257</v>
      </c>
      <c r="J63" s="92">
        <f t="shared" si="15"/>
        <v>21.87</v>
      </c>
      <c r="K63" s="92">
        <f t="shared" si="16"/>
        <v>31.22</v>
      </c>
      <c r="L63" s="92">
        <f t="shared" si="17"/>
        <v>78.13</v>
      </c>
      <c r="M63" s="92">
        <f t="shared" si="18"/>
        <v>109.35</v>
      </c>
    </row>
    <row r="64" spans="1:13" ht="39" customHeight="1">
      <c r="A64" s="89" t="s">
        <v>167</v>
      </c>
      <c r="B64" s="90" t="s">
        <v>87</v>
      </c>
      <c r="C64" s="89" t="s">
        <v>66</v>
      </c>
      <c r="D64" s="89" t="s">
        <v>88</v>
      </c>
      <c r="E64" s="91" t="s">
        <v>68</v>
      </c>
      <c r="F64" s="90">
        <v>10</v>
      </c>
      <c r="G64" s="190">
        <v>27.21</v>
      </c>
      <c r="H64" s="190">
        <v>12.9</v>
      </c>
      <c r="I64" s="190">
        <v>21.53</v>
      </c>
      <c r="J64" s="92">
        <f t="shared" si="15"/>
        <v>34.43</v>
      </c>
      <c r="K64" s="92">
        <f t="shared" si="16"/>
        <v>129</v>
      </c>
      <c r="L64" s="92">
        <f t="shared" si="17"/>
        <v>215.3</v>
      </c>
      <c r="M64" s="92">
        <f t="shared" si="18"/>
        <v>344.3</v>
      </c>
    </row>
    <row r="65" spans="1:13" ht="39" customHeight="1">
      <c r="A65" s="89" t="s">
        <v>168</v>
      </c>
      <c r="B65" s="90" t="s">
        <v>90</v>
      </c>
      <c r="C65" s="89" t="s">
        <v>77</v>
      </c>
      <c r="D65" s="89" t="s">
        <v>91</v>
      </c>
      <c r="E65" s="91" t="s">
        <v>92</v>
      </c>
      <c r="F65" s="90">
        <v>200</v>
      </c>
      <c r="G65" s="190">
        <v>13.77</v>
      </c>
      <c r="H65" s="190">
        <v>3.6238000000000001</v>
      </c>
      <c r="I65" s="190">
        <v>13.796200000000001</v>
      </c>
      <c r="J65" s="92">
        <f t="shared" si="15"/>
        <v>17.420000000000002</v>
      </c>
      <c r="K65" s="92">
        <f t="shared" si="16"/>
        <v>724.76</v>
      </c>
      <c r="L65" s="92">
        <f t="shared" si="17"/>
        <v>2759.24</v>
      </c>
      <c r="M65" s="92">
        <f t="shared" si="18"/>
        <v>3484</v>
      </c>
    </row>
    <row r="66" spans="1:13" ht="26.1" customHeight="1">
      <c r="A66" s="89" t="s">
        <v>169</v>
      </c>
      <c r="B66" s="90" t="s">
        <v>72</v>
      </c>
      <c r="C66" s="89" t="s">
        <v>45</v>
      </c>
      <c r="D66" s="89" t="s">
        <v>73</v>
      </c>
      <c r="E66" s="91" t="s">
        <v>74</v>
      </c>
      <c r="F66" s="90">
        <v>1</v>
      </c>
      <c r="G66" s="190">
        <v>27.02</v>
      </c>
      <c r="H66" s="190">
        <v>8.3699999999999992</v>
      </c>
      <c r="I66" s="190">
        <v>25.82</v>
      </c>
      <c r="J66" s="92">
        <f t="shared" si="15"/>
        <v>34.19</v>
      </c>
      <c r="K66" s="92">
        <f t="shared" si="16"/>
        <v>8.3699999999999992</v>
      </c>
      <c r="L66" s="92">
        <f t="shared" si="17"/>
        <v>25.82</v>
      </c>
      <c r="M66" s="92">
        <f t="shared" si="18"/>
        <v>34.19</v>
      </c>
    </row>
    <row r="67" spans="1:13" ht="24" customHeight="1">
      <c r="A67" s="86" t="s">
        <v>170</v>
      </c>
      <c r="B67" s="86"/>
      <c r="C67" s="86"/>
      <c r="D67" s="86" t="s">
        <v>94</v>
      </c>
      <c r="E67" s="86"/>
      <c r="F67" s="87"/>
      <c r="G67" s="87"/>
      <c r="H67" s="86"/>
      <c r="I67" s="86"/>
      <c r="J67" s="86"/>
      <c r="K67" s="86"/>
      <c r="L67" s="86"/>
      <c r="M67" s="88">
        <f>SUBTOTAL(9,M68:M68)</f>
        <v>3187.6</v>
      </c>
    </row>
    <row r="68" spans="1:13" ht="24" customHeight="1">
      <c r="A68" s="89" t="s">
        <v>171</v>
      </c>
      <c r="B68" s="90" t="s">
        <v>96</v>
      </c>
      <c r="C68" s="89" t="s">
        <v>45</v>
      </c>
      <c r="D68" s="89" t="s">
        <v>97</v>
      </c>
      <c r="E68" s="91" t="s">
        <v>74</v>
      </c>
      <c r="F68" s="90">
        <v>10</v>
      </c>
      <c r="G68" s="190">
        <v>251.85</v>
      </c>
      <c r="H68" s="190">
        <v>2.78</v>
      </c>
      <c r="I68" s="190">
        <v>315.98</v>
      </c>
      <c r="J68" s="92">
        <f t="shared" si="15"/>
        <v>318.76</v>
      </c>
      <c r="K68" s="92">
        <f>TRUNC(F68 * H68, 2)</f>
        <v>27.8</v>
      </c>
      <c r="L68" s="92">
        <f>M68 - K68</f>
        <v>3159.7999999999997</v>
      </c>
      <c r="M68" s="92">
        <f>TRUNC(F68 * J68, 2)</f>
        <v>3187.6</v>
      </c>
    </row>
    <row r="69" spans="1:13" ht="24" customHeight="1">
      <c r="A69" s="86" t="s">
        <v>172</v>
      </c>
      <c r="B69" s="86"/>
      <c r="C69" s="86"/>
      <c r="D69" s="86" t="s">
        <v>99</v>
      </c>
      <c r="E69" s="86"/>
      <c r="F69" s="87"/>
      <c r="G69" s="87"/>
      <c r="H69" s="86"/>
      <c r="I69" s="86"/>
      <c r="J69" s="86"/>
      <c r="K69" s="86"/>
      <c r="L69" s="86"/>
      <c r="M69" s="88">
        <f>SUBTOTAL(9,M70:M75)</f>
        <v>29061.9</v>
      </c>
    </row>
    <row r="70" spans="1:13" ht="39" customHeight="1">
      <c r="A70" s="89" t="s">
        <v>173</v>
      </c>
      <c r="B70" s="90" t="s">
        <v>101</v>
      </c>
      <c r="C70" s="89" t="s">
        <v>66</v>
      </c>
      <c r="D70" s="89" t="s">
        <v>102</v>
      </c>
      <c r="E70" s="91" t="s">
        <v>103</v>
      </c>
      <c r="F70" s="90">
        <v>42</v>
      </c>
      <c r="G70" s="190">
        <v>20.67</v>
      </c>
      <c r="H70" s="190">
        <v>6.7</v>
      </c>
      <c r="I70" s="190">
        <v>19.46</v>
      </c>
      <c r="J70" s="92">
        <f t="shared" si="15"/>
        <v>26.16</v>
      </c>
      <c r="K70" s="92">
        <f t="shared" ref="K70:K75" si="19">TRUNC(F70 * H70, 2)</f>
        <v>281.39999999999998</v>
      </c>
      <c r="L70" s="92">
        <f t="shared" ref="L70:L75" si="20">M70 - K70</f>
        <v>817.32</v>
      </c>
      <c r="M70" s="92">
        <f t="shared" ref="M70:M75" si="21">TRUNC(F70 * J70, 2)</f>
        <v>1098.72</v>
      </c>
    </row>
    <row r="71" spans="1:13" ht="39" customHeight="1">
      <c r="A71" s="89" t="s">
        <v>174</v>
      </c>
      <c r="B71" s="90" t="s">
        <v>105</v>
      </c>
      <c r="C71" s="89" t="s">
        <v>66</v>
      </c>
      <c r="D71" s="89" t="s">
        <v>106</v>
      </c>
      <c r="E71" s="91" t="s">
        <v>107</v>
      </c>
      <c r="F71" s="90">
        <v>2100</v>
      </c>
      <c r="G71" s="190">
        <v>2.99</v>
      </c>
      <c r="H71" s="190">
        <v>1.1299999999999999</v>
      </c>
      <c r="I71" s="190">
        <v>2.65</v>
      </c>
      <c r="J71" s="92">
        <f t="shared" si="15"/>
        <v>3.78</v>
      </c>
      <c r="K71" s="92">
        <f t="shared" si="19"/>
        <v>2373</v>
      </c>
      <c r="L71" s="92">
        <f t="shared" si="20"/>
        <v>5565</v>
      </c>
      <c r="M71" s="92">
        <f t="shared" si="21"/>
        <v>7938</v>
      </c>
    </row>
    <row r="72" spans="1:13" ht="26.1" customHeight="1">
      <c r="A72" s="89" t="s">
        <v>175</v>
      </c>
      <c r="B72" s="90" t="s">
        <v>109</v>
      </c>
      <c r="C72" s="89" t="s">
        <v>77</v>
      </c>
      <c r="D72" s="89" t="s">
        <v>110</v>
      </c>
      <c r="E72" s="91" t="s">
        <v>92</v>
      </c>
      <c r="F72" s="90">
        <v>700</v>
      </c>
      <c r="G72" s="190">
        <v>20.84</v>
      </c>
      <c r="H72" s="190">
        <v>11.8505</v>
      </c>
      <c r="I72" s="190">
        <v>14.519500000000001</v>
      </c>
      <c r="J72" s="92">
        <f t="shared" si="15"/>
        <v>26.37</v>
      </c>
      <c r="K72" s="92">
        <f t="shared" si="19"/>
        <v>8295.35</v>
      </c>
      <c r="L72" s="92">
        <f t="shared" si="20"/>
        <v>10163.65</v>
      </c>
      <c r="M72" s="92">
        <f t="shared" si="21"/>
        <v>18459</v>
      </c>
    </row>
    <row r="73" spans="1:13" ht="24" customHeight="1">
      <c r="A73" s="89" t="s">
        <v>176</v>
      </c>
      <c r="B73" s="90" t="s">
        <v>112</v>
      </c>
      <c r="C73" s="89" t="s">
        <v>45</v>
      </c>
      <c r="D73" s="89" t="s">
        <v>113</v>
      </c>
      <c r="E73" s="91" t="s">
        <v>46</v>
      </c>
      <c r="F73" s="90">
        <v>12</v>
      </c>
      <c r="G73" s="190">
        <v>46.91</v>
      </c>
      <c r="H73" s="190">
        <v>24.81</v>
      </c>
      <c r="I73" s="190">
        <v>34.56</v>
      </c>
      <c r="J73" s="92">
        <f t="shared" si="15"/>
        <v>59.37</v>
      </c>
      <c r="K73" s="92">
        <f t="shared" si="19"/>
        <v>297.72000000000003</v>
      </c>
      <c r="L73" s="92">
        <f t="shared" si="20"/>
        <v>414.72</v>
      </c>
      <c r="M73" s="92">
        <f t="shared" si="21"/>
        <v>712.44</v>
      </c>
    </row>
    <row r="74" spans="1:13" ht="39" customHeight="1">
      <c r="A74" s="89" t="s">
        <v>177</v>
      </c>
      <c r="B74" s="90" t="s">
        <v>115</v>
      </c>
      <c r="C74" s="89" t="s">
        <v>66</v>
      </c>
      <c r="D74" s="89" t="s">
        <v>116</v>
      </c>
      <c r="E74" s="91" t="s">
        <v>103</v>
      </c>
      <c r="F74" s="90">
        <v>12</v>
      </c>
      <c r="G74" s="190">
        <v>34.56</v>
      </c>
      <c r="H74" s="190">
        <v>25.52</v>
      </c>
      <c r="I74" s="190">
        <v>18.22</v>
      </c>
      <c r="J74" s="92">
        <f t="shared" si="15"/>
        <v>43.74</v>
      </c>
      <c r="K74" s="92">
        <f t="shared" si="19"/>
        <v>306.24</v>
      </c>
      <c r="L74" s="92">
        <f t="shared" si="20"/>
        <v>218.64</v>
      </c>
      <c r="M74" s="92">
        <f t="shared" si="21"/>
        <v>524.88</v>
      </c>
    </row>
    <row r="75" spans="1:13" ht="26.1" customHeight="1">
      <c r="A75" s="89" t="s">
        <v>178</v>
      </c>
      <c r="B75" s="90" t="s">
        <v>118</v>
      </c>
      <c r="C75" s="89" t="s">
        <v>66</v>
      </c>
      <c r="D75" s="89" t="s">
        <v>119</v>
      </c>
      <c r="E75" s="91" t="s">
        <v>103</v>
      </c>
      <c r="F75" s="90">
        <v>18</v>
      </c>
      <c r="G75" s="190">
        <v>14.44</v>
      </c>
      <c r="H75" s="190">
        <v>1.74</v>
      </c>
      <c r="I75" s="190">
        <v>16.53</v>
      </c>
      <c r="J75" s="92">
        <f t="shared" si="15"/>
        <v>18.27</v>
      </c>
      <c r="K75" s="92">
        <f t="shared" si="19"/>
        <v>31.32</v>
      </c>
      <c r="L75" s="92">
        <f t="shared" si="20"/>
        <v>297.54000000000002</v>
      </c>
      <c r="M75" s="92">
        <f t="shared" si="21"/>
        <v>328.86</v>
      </c>
    </row>
    <row r="76" spans="1:13" ht="24" customHeight="1">
      <c r="A76" s="86" t="s">
        <v>179</v>
      </c>
      <c r="B76" s="86"/>
      <c r="C76" s="86"/>
      <c r="D76" s="86" t="s">
        <v>126</v>
      </c>
      <c r="E76" s="86"/>
      <c r="F76" s="87"/>
      <c r="G76" s="87"/>
      <c r="H76" s="86"/>
      <c r="I76" s="86"/>
      <c r="J76" s="86"/>
      <c r="K76" s="86"/>
      <c r="L76" s="86"/>
      <c r="M76" s="88">
        <f>SUBTOTAL(9,M77:M78)</f>
        <v>6329.55</v>
      </c>
    </row>
    <row r="77" spans="1:13" ht="24" customHeight="1">
      <c r="A77" s="89" t="s">
        <v>180</v>
      </c>
      <c r="B77" s="90" t="s">
        <v>128</v>
      </c>
      <c r="C77" s="89" t="s">
        <v>45</v>
      </c>
      <c r="D77" s="89" t="s">
        <v>129</v>
      </c>
      <c r="E77" s="91" t="s">
        <v>74</v>
      </c>
      <c r="F77" s="90">
        <v>17</v>
      </c>
      <c r="G77" s="190">
        <v>266.38</v>
      </c>
      <c r="H77" s="190">
        <v>262.26</v>
      </c>
      <c r="I77" s="190">
        <v>74.89</v>
      </c>
      <c r="J77" s="92">
        <f t="shared" si="15"/>
        <v>337.15</v>
      </c>
      <c r="K77" s="92">
        <f>TRUNC(F77 * H77, 2)</f>
        <v>4458.42</v>
      </c>
      <c r="L77" s="92">
        <f>M77 - K77</f>
        <v>1273.1300000000001</v>
      </c>
      <c r="M77" s="92">
        <f>TRUNC(F77 * J77, 2)</f>
        <v>5731.55</v>
      </c>
    </row>
    <row r="78" spans="1:13" ht="26.1" customHeight="1">
      <c r="A78" s="89" t="s">
        <v>181</v>
      </c>
      <c r="B78" s="90" t="s">
        <v>131</v>
      </c>
      <c r="C78" s="89" t="s">
        <v>45</v>
      </c>
      <c r="D78" s="89" t="s">
        <v>132</v>
      </c>
      <c r="E78" s="91" t="s">
        <v>107</v>
      </c>
      <c r="F78" s="90">
        <v>20</v>
      </c>
      <c r="G78" s="190">
        <v>23.63</v>
      </c>
      <c r="H78" s="190">
        <v>20.18</v>
      </c>
      <c r="I78" s="190">
        <v>9.7200000000000006</v>
      </c>
      <c r="J78" s="92">
        <f t="shared" si="15"/>
        <v>29.9</v>
      </c>
      <c r="K78" s="92">
        <f>TRUNC(F78 * H78, 2)</f>
        <v>403.6</v>
      </c>
      <c r="L78" s="92">
        <f>M78 - K78</f>
        <v>194.39999999999998</v>
      </c>
      <c r="M78" s="92">
        <f>TRUNC(F78 * J78, 2)</f>
        <v>598</v>
      </c>
    </row>
    <row r="79" spans="1:13" ht="24" customHeight="1">
      <c r="A79" s="86" t="s">
        <v>182</v>
      </c>
      <c r="B79" s="86"/>
      <c r="C79" s="86"/>
      <c r="D79" s="86" t="s">
        <v>134</v>
      </c>
      <c r="E79" s="86"/>
      <c r="F79" s="87"/>
      <c r="G79" s="87"/>
      <c r="H79" s="86"/>
      <c r="I79" s="86"/>
      <c r="J79" s="86"/>
      <c r="K79" s="86"/>
      <c r="L79" s="86"/>
      <c r="M79" s="88">
        <f>SUBTOTAL(9,M80:M81)</f>
        <v>22503.010000000002</v>
      </c>
    </row>
    <row r="80" spans="1:13" ht="26.1" customHeight="1">
      <c r="A80" s="89" t="s">
        <v>183</v>
      </c>
      <c r="B80" s="90" t="s">
        <v>136</v>
      </c>
      <c r="C80" s="89" t="s">
        <v>45</v>
      </c>
      <c r="D80" s="89" t="s">
        <v>137</v>
      </c>
      <c r="E80" s="91" t="s">
        <v>74</v>
      </c>
      <c r="F80" s="90">
        <v>1</v>
      </c>
      <c r="G80" s="190">
        <v>2128.52</v>
      </c>
      <c r="H80" s="190">
        <v>591</v>
      </c>
      <c r="I80" s="190">
        <v>2103.06</v>
      </c>
      <c r="J80" s="92">
        <f t="shared" si="15"/>
        <v>2694.06</v>
      </c>
      <c r="K80" s="92">
        <f>TRUNC(F80 * H80, 2)</f>
        <v>591</v>
      </c>
      <c r="L80" s="92">
        <f>M80 - K80</f>
        <v>2103.06</v>
      </c>
      <c r="M80" s="92">
        <f>TRUNC(F80 * J80, 2)</f>
        <v>2694.06</v>
      </c>
    </row>
    <row r="81" spans="1:13" ht="26.1" customHeight="1">
      <c r="A81" s="89" t="s">
        <v>184</v>
      </c>
      <c r="B81" s="90" t="s">
        <v>185</v>
      </c>
      <c r="C81" s="89" t="s">
        <v>45</v>
      </c>
      <c r="D81" s="89" t="s">
        <v>140</v>
      </c>
      <c r="E81" s="91" t="s">
        <v>74</v>
      </c>
      <c r="F81" s="90">
        <v>1</v>
      </c>
      <c r="G81" s="190">
        <v>15650.59</v>
      </c>
      <c r="H81" s="190">
        <v>1470.89</v>
      </c>
      <c r="I81" s="190">
        <v>18338.060000000001</v>
      </c>
      <c r="J81" s="92">
        <f t="shared" si="15"/>
        <v>19808.95</v>
      </c>
      <c r="K81" s="92">
        <f>TRUNC(F81 * H81, 2)</f>
        <v>1470.89</v>
      </c>
      <c r="L81" s="92">
        <f>M81 - K81</f>
        <v>18338.060000000001</v>
      </c>
      <c r="M81" s="92">
        <f>TRUNC(F81 * J81, 2)</f>
        <v>19808.95</v>
      </c>
    </row>
    <row r="82" spans="1:13" ht="24" customHeight="1">
      <c r="A82" s="86" t="s">
        <v>186</v>
      </c>
      <c r="B82" s="86"/>
      <c r="C82" s="86"/>
      <c r="D82" s="86" t="s">
        <v>142</v>
      </c>
      <c r="E82" s="86"/>
      <c r="F82" s="87"/>
      <c r="G82" s="87"/>
      <c r="H82" s="86"/>
      <c r="I82" s="86"/>
      <c r="J82" s="86"/>
      <c r="K82" s="86"/>
      <c r="L82" s="86"/>
      <c r="M82" s="88">
        <f>SUBTOTAL(9,M83:M84)</f>
        <v>3286.9799999999996</v>
      </c>
    </row>
    <row r="83" spans="1:13" ht="24" customHeight="1">
      <c r="A83" s="89" t="s">
        <v>187</v>
      </c>
      <c r="B83" s="90" t="s">
        <v>144</v>
      </c>
      <c r="C83" s="89" t="s">
        <v>45</v>
      </c>
      <c r="D83" s="89" t="s">
        <v>145</v>
      </c>
      <c r="E83" s="91" t="s">
        <v>74</v>
      </c>
      <c r="F83" s="90">
        <v>1</v>
      </c>
      <c r="G83" s="190">
        <v>1970.81</v>
      </c>
      <c r="H83" s="190">
        <v>1702.51</v>
      </c>
      <c r="I83" s="190">
        <v>791.94</v>
      </c>
      <c r="J83" s="92">
        <f t="shared" si="15"/>
        <v>2494.4499999999998</v>
      </c>
      <c r="K83" s="92">
        <f>TRUNC(F83 * H83, 2)</f>
        <v>1702.51</v>
      </c>
      <c r="L83" s="92">
        <f>M83 - K83</f>
        <v>791.93999999999983</v>
      </c>
      <c r="M83" s="92">
        <f>TRUNC(F83 * J83, 2)</f>
        <v>2494.4499999999998</v>
      </c>
    </row>
    <row r="84" spans="1:13" ht="24" customHeight="1">
      <c r="A84" s="89" t="s">
        <v>188</v>
      </c>
      <c r="B84" s="90" t="s">
        <v>147</v>
      </c>
      <c r="C84" s="89" t="s">
        <v>45</v>
      </c>
      <c r="D84" s="89" t="s">
        <v>148</v>
      </c>
      <c r="E84" s="91" t="s">
        <v>74</v>
      </c>
      <c r="F84" s="90">
        <v>1</v>
      </c>
      <c r="G84" s="190">
        <v>626.16</v>
      </c>
      <c r="H84" s="190">
        <v>399.76</v>
      </c>
      <c r="I84" s="190">
        <v>392.77</v>
      </c>
      <c r="J84" s="92">
        <f t="shared" si="15"/>
        <v>792.53</v>
      </c>
      <c r="K84" s="92">
        <f>TRUNC(F84 * H84, 2)</f>
        <v>399.76</v>
      </c>
      <c r="L84" s="92">
        <f>M84 - K84</f>
        <v>392.77</v>
      </c>
      <c r="M84" s="92">
        <f>TRUNC(F84 * J84, 2)</f>
        <v>792.53</v>
      </c>
    </row>
    <row r="85" spans="1:13" ht="24" customHeight="1">
      <c r="A85" s="86" t="s">
        <v>189</v>
      </c>
      <c r="B85" s="86"/>
      <c r="C85" s="86"/>
      <c r="D85" s="86" t="s">
        <v>150</v>
      </c>
      <c r="E85" s="86"/>
      <c r="F85" s="87"/>
      <c r="G85" s="87"/>
      <c r="H85" s="86"/>
      <c r="I85" s="86"/>
      <c r="J85" s="86"/>
      <c r="K85" s="86"/>
      <c r="L85" s="86"/>
      <c r="M85" s="88">
        <f>SUBTOTAL(9,M86:M86)</f>
        <v>6300.43</v>
      </c>
    </row>
    <row r="86" spans="1:13" ht="26.1" customHeight="1">
      <c r="A86" s="89" t="s">
        <v>190</v>
      </c>
      <c r="B86" s="90" t="s">
        <v>152</v>
      </c>
      <c r="C86" s="89" t="s">
        <v>45</v>
      </c>
      <c r="D86" s="89" t="s">
        <v>153</v>
      </c>
      <c r="E86" s="91" t="s">
        <v>74</v>
      </c>
      <c r="F86" s="90">
        <v>1</v>
      </c>
      <c r="G86" s="190">
        <v>4977.83</v>
      </c>
      <c r="H86" s="190">
        <v>6054</v>
      </c>
      <c r="I86" s="190">
        <v>246.43</v>
      </c>
      <c r="J86" s="92">
        <f t="shared" si="15"/>
        <v>6300.43</v>
      </c>
      <c r="K86" s="92">
        <f>TRUNC(F86 * H86, 2)</f>
        <v>6054</v>
      </c>
      <c r="L86" s="92">
        <f>M86 - K86</f>
        <v>246.43000000000029</v>
      </c>
      <c r="M86" s="92">
        <f>TRUNC(F86 * J86, 2)</f>
        <v>6300.43</v>
      </c>
    </row>
    <row r="87" spans="1:13" ht="24" customHeight="1">
      <c r="A87" s="100" t="s">
        <v>191</v>
      </c>
      <c r="B87" s="100"/>
      <c r="C87" s="100"/>
      <c r="D87" s="100" t="s">
        <v>192</v>
      </c>
      <c r="E87" s="100"/>
      <c r="F87" s="101"/>
      <c r="G87" s="101"/>
      <c r="H87" s="100"/>
      <c r="I87" s="100"/>
      <c r="J87" s="100"/>
      <c r="K87" s="100"/>
      <c r="L87" s="100"/>
      <c r="M87" s="102">
        <f>SUBTOTAL(9,M89:M119)</f>
        <v>100669.34</v>
      </c>
    </row>
    <row r="88" spans="1:13" ht="24" customHeight="1">
      <c r="A88" s="86" t="s">
        <v>193</v>
      </c>
      <c r="B88" s="86"/>
      <c r="C88" s="86"/>
      <c r="D88" s="86" t="s">
        <v>57</v>
      </c>
      <c r="E88" s="86"/>
      <c r="F88" s="87"/>
      <c r="G88" s="87"/>
      <c r="H88" s="86"/>
      <c r="I88" s="86"/>
      <c r="J88" s="86"/>
      <c r="K88" s="86"/>
      <c r="L88" s="86"/>
      <c r="M88" s="88">
        <f>SUBTOTAL(9,M89:M91)</f>
        <v>9875.1200000000008</v>
      </c>
    </row>
    <row r="89" spans="1:13" ht="26.1" customHeight="1">
      <c r="A89" s="89" t="s">
        <v>194</v>
      </c>
      <c r="B89" s="90" t="s">
        <v>59</v>
      </c>
      <c r="C89" s="89" t="s">
        <v>45</v>
      </c>
      <c r="D89" s="89" t="s">
        <v>60</v>
      </c>
      <c r="E89" s="91" t="s">
        <v>46</v>
      </c>
      <c r="F89" s="90">
        <v>1</v>
      </c>
      <c r="G89" s="190">
        <v>4869.49</v>
      </c>
      <c r="H89" s="190">
        <v>530.58000000000004</v>
      </c>
      <c r="I89" s="190">
        <v>5632.73</v>
      </c>
      <c r="J89" s="92">
        <f t="shared" ref="J89:J119" si="22">TRUNC(G89*(1+$H$2),2)</f>
        <v>6163.31</v>
      </c>
      <c r="K89" s="92">
        <f>TRUNC(F89 * H89, 2)</f>
        <v>530.58000000000004</v>
      </c>
      <c r="L89" s="92">
        <f>M89 - K89</f>
        <v>5632.7300000000005</v>
      </c>
      <c r="M89" s="92">
        <f>TRUNC(F89 * J89, 2)</f>
        <v>6163.31</v>
      </c>
    </row>
    <row r="90" spans="1:13" ht="24" customHeight="1">
      <c r="A90" s="89" t="s">
        <v>195</v>
      </c>
      <c r="B90" s="90" t="s">
        <v>159</v>
      </c>
      <c r="C90" s="89" t="s">
        <v>45</v>
      </c>
      <c r="D90" s="89" t="s">
        <v>63</v>
      </c>
      <c r="E90" s="91" t="s">
        <v>46</v>
      </c>
      <c r="F90" s="90">
        <v>1</v>
      </c>
      <c r="G90" s="190">
        <v>2179.6799999999998</v>
      </c>
      <c r="H90" s="190">
        <v>0</v>
      </c>
      <c r="I90" s="190">
        <v>2758.82</v>
      </c>
      <c r="J90" s="92">
        <f t="shared" si="22"/>
        <v>2758.82</v>
      </c>
      <c r="K90" s="92">
        <f>TRUNC(F90 * H90, 2)</f>
        <v>0</v>
      </c>
      <c r="L90" s="92">
        <f>M90 - K90</f>
        <v>2758.82</v>
      </c>
      <c r="M90" s="92">
        <f>TRUNC(F90 * J90, 2)</f>
        <v>2758.82</v>
      </c>
    </row>
    <row r="91" spans="1:13" ht="39" customHeight="1">
      <c r="A91" s="89" t="s">
        <v>197</v>
      </c>
      <c r="B91" s="90" t="s">
        <v>65</v>
      </c>
      <c r="C91" s="89" t="s">
        <v>66</v>
      </c>
      <c r="D91" s="89" t="s">
        <v>67</v>
      </c>
      <c r="E91" s="91" t="s">
        <v>68</v>
      </c>
      <c r="F91" s="90">
        <v>1.5</v>
      </c>
      <c r="G91" s="190">
        <v>501.96</v>
      </c>
      <c r="H91" s="190">
        <v>37.049999999999997</v>
      </c>
      <c r="I91" s="190">
        <v>598.28</v>
      </c>
      <c r="J91" s="92">
        <f t="shared" si="22"/>
        <v>635.33000000000004</v>
      </c>
      <c r="K91" s="92">
        <f>TRUNC(F91 * H91, 2)</f>
        <v>55.57</v>
      </c>
      <c r="L91" s="92">
        <f>M91 - K91</f>
        <v>897.42</v>
      </c>
      <c r="M91" s="92">
        <f>TRUNC(F91 * J91, 2)</f>
        <v>952.99</v>
      </c>
    </row>
    <row r="92" spans="1:13" ht="24" customHeight="1">
      <c r="A92" s="86" t="s">
        <v>198</v>
      </c>
      <c r="B92" s="86"/>
      <c r="C92" s="86"/>
      <c r="D92" s="86" t="s">
        <v>70</v>
      </c>
      <c r="E92" s="86"/>
      <c r="F92" s="87"/>
      <c r="G92" s="87"/>
      <c r="H92" s="86"/>
      <c r="I92" s="86"/>
      <c r="J92" s="86"/>
      <c r="K92" s="86"/>
      <c r="L92" s="86"/>
      <c r="M92" s="88">
        <f>SUBTOTAL(9,M93:M96)</f>
        <v>6760.79</v>
      </c>
    </row>
    <row r="93" spans="1:13" ht="39" customHeight="1">
      <c r="A93" s="89" t="s">
        <v>199</v>
      </c>
      <c r="B93" s="90" t="s">
        <v>165</v>
      </c>
      <c r="C93" s="89" t="s">
        <v>77</v>
      </c>
      <c r="D93" s="89" t="s">
        <v>166</v>
      </c>
      <c r="E93" s="91" t="s">
        <v>79</v>
      </c>
      <c r="F93" s="90">
        <v>45</v>
      </c>
      <c r="G93" s="190">
        <v>17.28</v>
      </c>
      <c r="H93" s="190">
        <v>6.2443</v>
      </c>
      <c r="I93" s="190">
        <v>15.6257</v>
      </c>
      <c r="J93" s="92">
        <f t="shared" si="22"/>
        <v>21.87</v>
      </c>
      <c r="K93" s="92">
        <f>TRUNC(F93 * H93, 2)</f>
        <v>280.99</v>
      </c>
      <c r="L93" s="92">
        <f>M93 - K93</f>
        <v>703.16</v>
      </c>
      <c r="M93" s="92">
        <f>TRUNC(F93 * J93, 2)</f>
        <v>984.15</v>
      </c>
    </row>
    <row r="94" spans="1:13" ht="39" customHeight="1">
      <c r="A94" s="89" t="s">
        <v>200</v>
      </c>
      <c r="B94" s="90" t="s">
        <v>87</v>
      </c>
      <c r="C94" s="89" t="s">
        <v>66</v>
      </c>
      <c r="D94" s="89" t="s">
        <v>88</v>
      </c>
      <c r="E94" s="91" t="s">
        <v>68</v>
      </c>
      <c r="F94" s="90">
        <v>15</v>
      </c>
      <c r="G94" s="190">
        <v>27.21</v>
      </c>
      <c r="H94" s="190">
        <v>12.9</v>
      </c>
      <c r="I94" s="190">
        <v>21.53</v>
      </c>
      <c r="J94" s="92">
        <f t="shared" si="22"/>
        <v>34.43</v>
      </c>
      <c r="K94" s="92">
        <f>TRUNC(F94 * H94, 2)</f>
        <v>193.5</v>
      </c>
      <c r="L94" s="92">
        <f>M94 - K94</f>
        <v>322.95000000000005</v>
      </c>
      <c r="M94" s="92">
        <f>TRUNC(F94 * J94, 2)</f>
        <v>516.45000000000005</v>
      </c>
    </row>
    <row r="95" spans="1:13" ht="39" customHeight="1">
      <c r="A95" s="89" t="s">
        <v>201</v>
      </c>
      <c r="B95" s="90" t="s">
        <v>90</v>
      </c>
      <c r="C95" s="89" t="s">
        <v>77</v>
      </c>
      <c r="D95" s="89" t="s">
        <v>91</v>
      </c>
      <c r="E95" s="91" t="s">
        <v>92</v>
      </c>
      <c r="F95" s="90">
        <v>300</v>
      </c>
      <c r="G95" s="190">
        <v>13.77</v>
      </c>
      <c r="H95" s="190">
        <v>3.6238000000000001</v>
      </c>
      <c r="I95" s="190">
        <v>13.796200000000001</v>
      </c>
      <c r="J95" s="92">
        <f t="shared" si="22"/>
        <v>17.420000000000002</v>
      </c>
      <c r="K95" s="92">
        <f>TRUNC(F95 * H95, 2)</f>
        <v>1087.1400000000001</v>
      </c>
      <c r="L95" s="92">
        <f>M95 - K95</f>
        <v>4138.8599999999997</v>
      </c>
      <c r="M95" s="92">
        <f>TRUNC(F95 * J95, 2)</f>
        <v>5226</v>
      </c>
    </row>
    <row r="96" spans="1:13" ht="26.1" customHeight="1">
      <c r="A96" s="89" t="s">
        <v>202</v>
      </c>
      <c r="B96" s="90" t="s">
        <v>72</v>
      </c>
      <c r="C96" s="89" t="s">
        <v>45</v>
      </c>
      <c r="D96" s="89" t="s">
        <v>73</v>
      </c>
      <c r="E96" s="91" t="s">
        <v>74</v>
      </c>
      <c r="F96" s="90">
        <v>1</v>
      </c>
      <c r="G96" s="190">
        <v>27.02</v>
      </c>
      <c r="H96" s="190">
        <v>8.3699999999999992</v>
      </c>
      <c r="I96" s="190">
        <v>25.82</v>
      </c>
      <c r="J96" s="92">
        <f t="shared" si="22"/>
        <v>34.19</v>
      </c>
      <c r="K96" s="92">
        <f>TRUNC(F96 * H96, 2)</f>
        <v>8.3699999999999992</v>
      </c>
      <c r="L96" s="92">
        <f>M96 - K96</f>
        <v>25.82</v>
      </c>
      <c r="M96" s="92">
        <f>TRUNC(F96 * J96, 2)</f>
        <v>34.19</v>
      </c>
    </row>
    <row r="97" spans="1:13" ht="24" customHeight="1">
      <c r="A97" s="86" t="s">
        <v>203</v>
      </c>
      <c r="B97" s="86"/>
      <c r="C97" s="86"/>
      <c r="D97" s="86" t="s">
        <v>94</v>
      </c>
      <c r="E97" s="86"/>
      <c r="F97" s="87"/>
      <c r="G97" s="87"/>
      <c r="H97" s="86"/>
      <c r="I97" s="86"/>
      <c r="J97" s="86"/>
      <c r="K97" s="86"/>
      <c r="L97" s="86"/>
      <c r="M97" s="88">
        <f>SUBTOTAL(9,M98:M98)</f>
        <v>4918.6499999999996</v>
      </c>
    </row>
    <row r="98" spans="1:13" ht="26.1" customHeight="1">
      <c r="A98" s="89" t="s">
        <v>204</v>
      </c>
      <c r="B98" s="90" t="s">
        <v>205</v>
      </c>
      <c r="C98" s="89" t="s">
        <v>77</v>
      </c>
      <c r="D98" s="89" t="s">
        <v>206</v>
      </c>
      <c r="E98" s="91" t="s">
        <v>207</v>
      </c>
      <c r="F98" s="90">
        <v>15</v>
      </c>
      <c r="G98" s="190">
        <v>259.08</v>
      </c>
      <c r="H98" s="190">
        <v>36.7254</v>
      </c>
      <c r="I98" s="190">
        <v>291.18459999999999</v>
      </c>
      <c r="J98" s="92">
        <f t="shared" si="22"/>
        <v>327.91</v>
      </c>
      <c r="K98" s="92">
        <f>TRUNC(F98 * H98, 2)</f>
        <v>550.88</v>
      </c>
      <c r="L98" s="92">
        <f>M98 - K98</f>
        <v>4367.7699999999995</v>
      </c>
      <c r="M98" s="92">
        <f>TRUNC(F98 * J98, 2)</f>
        <v>4918.6499999999996</v>
      </c>
    </row>
    <row r="99" spans="1:13" ht="24" customHeight="1">
      <c r="A99" s="86" t="s">
        <v>208</v>
      </c>
      <c r="B99" s="86"/>
      <c r="C99" s="86"/>
      <c r="D99" s="86" t="s">
        <v>99</v>
      </c>
      <c r="E99" s="86"/>
      <c r="F99" s="87"/>
      <c r="G99" s="87"/>
      <c r="H99" s="86"/>
      <c r="I99" s="86"/>
      <c r="J99" s="86"/>
      <c r="K99" s="86"/>
      <c r="L99" s="86"/>
      <c r="M99" s="88">
        <f>SUBTOTAL(9,M100:M106)</f>
        <v>40409.140000000007</v>
      </c>
    </row>
    <row r="100" spans="1:13" ht="39" customHeight="1">
      <c r="A100" s="89" t="s">
        <v>209</v>
      </c>
      <c r="B100" s="90" t="s">
        <v>101</v>
      </c>
      <c r="C100" s="89" t="s">
        <v>66</v>
      </c>
      <c r="D100" s="89" t="s">
        <v>102</v>
      </c>
      <c r="E100" s="91" t="s">
        <v>103</v>
      </c>
      <c r="F100" s="90">
        <v>6</v>
      </c>
      <c r="G100" s="190">
        <v>20.67</v>
      </c>
      <c r="H100" s="190">
        <v>6.7</v>
      </c>
      <c r="I100" s="190">
        <v>19.46</v>
      </c>
      <c r="J100" s="92">
        <f t="shared" si="22"/>
        <v>26.16</v>
      </c>
      <c r="K100" s="92">
        <f t="shared" ref="K100:K106" si="23">TRUNC(F100 * H100, 2)</f>
        <v>40.200000000000003</v>
      </c>
      <c r="L100" s="92">
        <f t="shared" ref="L100:L106" si="24">M100 - K100</f>
        <v>116.76</v>
      </c>
      <c r="M100" s="92">
        <f t="shared" ref="M100:M106" si="25">TRUNC(F100 * J100, 2)</f>
        <v>156.96</v>
      </c>
    </row>
    <row r="101" spans="1:13" ht="26.1" customHeight="1">
      <c r="A101" s="89" t="s">
        <v>210</v>
      </c>
      <c r="B101" s="90" t="s">
        <v>211</v>
      </c>
      <c r="C101" s="89" t="s">
        <v>45</v>
      </c>
      <c r="D101" s="89" t="s">
        <v>212</v>
      </c>
      <c r="E101" s="91" t="s">
        <v>46</v>
      </c>
      <c r="F101" s="90">
        <v>8</v>
      </c>
      <c r="G101" s="190">
        <v>214.17</v>
      </c>
      <c r="H101" s="190">
        <v>7.83</v>
      </c>
      <c r="I101" s="190">
        <v>263.24</v>
      </c>
      <c r="J101" s="92">
        <f t="shared" si="22"/>
        <v>271.07</v>
      </c>
      <c r="K101" s="92">
        <f t="shared" si="23"/>
        <v>62.64</v>
      </c>
      <c r="L101" s="92">
        <f t="shared" si="24"/>
        <v>2105.92</v>
      </c>
      <c r="M101" s="92">
        <f t="shared" si="25"/>
        <v>2168.56</v>
      </c>
    </row>
    <row r="102" spans="1:13" ht="39" customHeight="1">
      <c r="A102" s="89" t="s">
        <v>213</v>
      </c>
      <c r="B102" s="90" t="s">
        <v>105</v>
      </c>
      <c r="C102" s="89" t="s">
        <v>66</v>
      </c>
      <c r="D102" s="89" t="s">
        <v>106</v>
      </c>
      <c r="E102" s="91" t="s">
        <v>107</v>
      </c>
      <c r="F102" s="90">
        <v>2880</v>
      </c>
      <c r="G102" s="190">
        <v>2.99</v>
      </c>
      <c r="H102" s="190">
        <v>1.1299999999999999</v>
      </c>
      <c r="I102" s="190">
        <v>2.65</v>
      </c>
      <c r="J102" s="92">
        <f t="shared" si="22"/>
        <v>3.78</v>
      </c>
      <c r="K102" s="92">
        <f t="shared" si="23"/>
        <v>3254.4</v>
      </c>
      <c r="L102" s="92">
        <f t="shared" si="24"/>
        <v>7632</v>
      </c>
      <c r="M102" s="92">
        <f t="shared" si="25"/>
        <v>10886.4</v>
      </c>
    </row>
    <row r="103" spans="1:13" ht="26.1" customHeight="1">
      <c r="A103" s="89" t="s">
        <v>214</v>
      </c>
      <c r="B103" s="90" t="s">
        <v>109</v>
      </c>
      <c r="C103" s="89" t="s">
        <v>77</v>
      </c>
      <c r="D103" s="89" t="s">
        <v>110</v>
      </c>
      <c r="E103" s="91" t="s">
        <v>92</v>
      </c>
      <c r="F103" s="90">
        <v>960</v>
      </c>
      <c r="G103" s="190">
        <v>20.84</v>
      </c>
      <c r="H103" s="190">
        <v>11.8505</v>
      </c>
      <c r="I103" s="190">
        <v>14.519500000000001</v>
      </c>
      <c r="J103" s="92">
        <f t="shared" si="22"/>
        <v>26.37</v>
      </c>
      <c r="K103" s="92">
        <f t="shared" si="23"/>
        <v>11376.48</v>
      </c>
      <c r="L103" s="92">
        <f t="shared" si="24"/>
        <v>13938.720000000001</v>
      </c>
      <c r="M103" s="92">
        <f t="shared" si="25"/>
        <v>25315.200000000001</v>
      </c>
    </row>
    <row r="104" spans="1:13" ht="24" customHeight="1">
      <c r="A104" s="89" t="s">
        <v>215</v>
      </c>
      <c r="B104" s="90" t="s">
        <v>112</v>
      </c>
      <c r="C104" s="89" t="s">
        <v>45</v>
      </c>
      <c r="D104" s="89" t="s">
        <v>113</v>
      </c>
      <c r="E104" s="91" t="s">
        <v>46</v>
      </c>
      <c r="F104" s="90">
        <v>14</v>
      </c>
      <c r="G104" s="190">
        <v>46.91</v>
      </c>
      <c r="H104" s="190">
        <v>24.81</v>
      </c>
      <c r="I104" s="190">
        <v>34.56</v>
      </c>
      <c r="J104" s="92">
        <f t="shared" si="22"/>
        <v>59.37</v>
      </c>
      <c r="K104" s="92">
        <f t="shared" si="23"/>
        <v>347.34</v>
      </c>
      <c r="L104" s="92">
        <f t="shared" si="24"/>
        <v>483.84</v>
      </c>
      <c r="M104" s="92">
        <f t="shared" si="25"/>
        <v>831.18</v>
      </c>
    </row>
    <row r="105" spans="1:13" ht="39" customHeight="1">
      <c r="A105" s="89" t="s">
        <v>216</v>
      </c>
      <c r="B105" s="90" t="s">
        <v>115</v>
      </c>
      <c r="C105" s="89" t="s">
        <v>66</v>
      </c>
      <c r="D105" s="89" t="s">
        <v>116</v>
      </c>
      <c r="E105" s="91" t="s">
        <v>103</v>
      </c>
      <c r="F105" s="90">
        <v>14</v>
      </c>
      <c r="G105" s="190">
        <v>34.56</v>
      </c>
      <c r="H105" s="190">
        <v>25.52</v>
      </c>
      <c r="I105" s="190">
        <v>18.22</v>
      </c>
      <c r="J105" s="92">
        <f t="shared" si="22"/>
        <v>43.74</v>
      </c>
      <c r="K105" s="92">
        <f t="shared" si="23"/>
        <v>357.28</v>
      </c>
      <c r="L105" s="92">
        <f t="shared" si="24"/>
        <v>255.08000000000004</v>
      </c>
      <c r="M105" s="92">
        <f t="shared" si="25"/>
        <v>612.36</v>
      </c>
    </row>
    <row r="106" spans="1:13" ht="26.1" customHeight="1">
      <c r="A106" s="89" t="s">
        <v>217</v>
      </c>
      <c r="B106" s="90" t="s">
        <v>118</v>
      </c>
      <c r="C106" s="89" t="s">
        <v>66</v>
      </c>
      <c r="D106" s="89" t="s">
        <v>119</v>
      </c>
      <c r="E106" s="91" t="s">
        <v>103</v>
      </c>
      <c r="F106" s="90">
        <v>24</v>
      </c>
      <c r="G106" s="190">
        <v>14.44</v>
      </c>
      <c r="H106" s="190">
        <v>1.74</v>
      </c>
      <c r="I106" s="190">
        <v>16.53</v>
      </c>
      <c r="J106" s="92">
        <f t="shared" si="22"/>
        <v>18.27</v>
      </c>
      <c r="K106" s="92">
        <f t="shared" si="23"/>
        <v>41.76</v>
      </c>
      <c r="L106" s="92">
        <f t="shared" si="24"/>
        <v>396.72</v>
      </c>
      <c r="M106" s="92">
        <f t="shared" si="25"/>
        <v>438.48</v>
      </c>
    </row>
    <row r="107" spans="1:13" ht="24" customHeight="1">
      <c r="A107" s="86" t="s">
        <v>218</v>
      </c>
      <c r="B107" s="86"/>
      <c r="C107" s="86"/>
      <c r="D107" s="86" t="s">
        <v>121</v>
      </c>
      <c r="E107" s="86"/>
      <c r="F107" s="87"/>
      <c r="G107" s="87"/>
      <c r="H107" s="86"/>
      <c r="I107" s="86"/>
      <c r="J107" s="86"/>
      <c r="K107" s="86"/>
      <c r="L107" s="86"/>
      <c r="M107" s="88">
        <f>SUBTOTAL(9,M108:M108)</f>
        <v>2047.72</v>
      </c>
    </row>
    <row r="108" spans="1:13" ht="24" customHeight="1">
      <c r="A108" s="89" t="s">
        <v>219</v>
      </c>
      <c r="B108" s="90" t="s">
        <v>123</v>
      </c>
      <c r="C108" s="89" t="s">
        <v>45</v>
      </c>
      <c r="D108" s="89" t="s">
        <v>124</v>
      </c>
      <c r="E108" s="91" t="s">
        <v>74</v>
      </c>
      <c r="F108" s="90">
        <v>1</v>
      </c>
      <c r="G108" s="190">
        <v>1617.86</v>
      </c>
      <c r="H108" s="190">
        <v>1618.92</v>
      </c>
      <c r="I108" s="190">
        <v>428.8</v>
      </c>
      <c r="J108" s="92">
        <f t="shared" si="22"/>
        <v>2047.72</v>
      </c>
      <c r="K108" s="92">
        <f>TRUNC(F108 * H108, 2)</f>
        <v>1618.92</v>
      </c>
      <c r="L108" s="92">
        <f>M108 - K108</f>
        <v>428.79999999999995</v>
      </c>
      <c r="M108" s="92">
        <f>TRUNC(F108 * J108, 2)</f>
        <v>2047.72</v>
      </c>
    </row>
    <row r="109" spans="1:13" ht="24" customHeight="1">
      <c r="A109" s="86" t="s">
        <v>220</v>
      </c>
      <c r="B109" s="86"/>
      <c r="C109" s="86"/>
      <c r="D109" s="86" t="s">
        <v>126</v>
      </c>
      <c r="E109" s="86"/>
      <c r="F109" s="87"/>
      <c r="G109" s="87"/>
      <c r="H109" s="86"/>
      <c r="I109" s="86"/>
      <c r="J109" s="86"/>
      <c r="K109" s="86"/>
      <c r="L109" s="86"/>
      <c r="M109" s="88">
        <f>SUBTOTAL(9,M110:M111)</f>
        <v>4567.5</v>
      </c>
    </row>
    <row r="110" spans="1:13" ht="24" customHeight="1">
      <c r="A110" s="89" t="s">
        <v>221</v>
      </c>
      <c r="B110" s="90" t="s">
        <v>222</v>
      </c>
      <c r="C110" s="89" t="s">
        <v>45</v>
      </c>
      <c r="D110" s="89" t="s">
        <v>129</v>
      </c>
      <c r="E110" s="91" t="s">
        <v>74</v>
      </c>
      <c r="F110" s="90">
        <v>10</v>
      </c>
      <c r="G110" s="190">
        <v>266.38</v>
      </c>
      <c r="H110" s="190">
        <v>262.26</v>
      </c>
      <c r="I110" s="190">
        <v>74.89</v>
      </c>
      <c r="J110" s="92">
        <f t="shared" si="22"/>
        <v>337.15</v>
      </c>
      <c r="K110" s="92">
        <f>TRUNC(F110 * H110, 2)</f>
        <v>2622.6</v>
      </c>
      <c r="L110" s="92">
        <f>M110 - K110</f>
        <v>748.90000000000009</v>
      </c>
      <c r="M110" s="92">
        <f>TRUNC(F110 * J110, 2)</f>
        <v>3371.5</v>
      </c>
    </row>
    <row r="111" spans="1:13" ht="26.1" customHeight="1">
      <c r="A111" s="89" t="s">
        <v>223</v>
      </c>
      <c r="B111" s="90" t="s">
        <v>131</v>
      </c>
      <c r="C111" s="89" t="s">
        <v>45</v>
      </c>
      <c r="D111" s="89" t="s">
        <v>132</v>
      </c>
      <c r="E111" s="91" t="s">
        <v>107</v>
      </c>
      <c r="F111" s="90">
        <v>40</v>
      </c>
      <c r="G111" s="190">
        <v>23.63</v>
      </c>
      <c r="H111" s="190">
        <v>20.18</v>
      </c>
      <c r="I111" s="190">
        <v>9.7200000000000006</v>
      </c>
      <c r="J111" s="92">
        <f t="shared" si="22"/>
        <v>29.9</v>
      </c>
      <c r="K111" s="92">
        <f>TRUNC(F111 * H111, 2)</f>
        <v>807.2</v>
      </c>
      <c r="L111" s="92">
        <f>M111 - K111</f>
        <v>388.79999999999995</v>
      </c>
      <c r="M111" s="92">
        <f>TRUNC(F111 * J111, 2)</f>
        <v>1196</v>
      </c>
    </row>
    <row r="112" spans="1:13" ht="24" customHeight="1">
      <c r="A112" s="86" t="s">
        <v>224</v>
      </c>
      <c r="B112" s="86"/>
      <c r="C112" s="86"/>
      <c r="D112" s="86" t="s">
        <v>134</v>
      </c>
      <c r="E112" s="86"/>
      <c r="F112" s="87"/>
      <c r="G112" s="87"/>
      <c r="H112" s="86"/>
      <c r="I112" s="86"/>
      <c r="J112" s="86"/>
      <c r="K112" s="86"/>
      <c r="L112" s="86"/>
      <c r="M112" s="88">
        <f>SUBTOTAL(9,M113:M114)</f>
        <v>22503.010000000002</v>
      </c>
    </row>
    <row r="113" spans="1:13" ht="26.1" customHeight="1">
      <c r="A113" s="89" t="s">
        <v>225</v>
      </c>
      <c r="B113" s="90" t="s">
        <v>136</v>
      </c>
      <c r="C113" s="89" t="s">
        <v>45</v>
      </c>
      <c r="D113" s="89" t="s">
        <v>137</v>
      </c>
      <c r="E113" s="91" t="s">
        <v>74</v>
      </c>
      <c r="F113" s="90">
        <v>1</v>
      </c>
      <c r="G113" s="190">
        <v>2128.52</v>
      </c>
      <c r="H113" s="190">
        <v>591</v>
      </c>
      <c r="I113" s="190">
        <v>2103.06</v>
      </c>
      <c r="J113" s="92">
        <f t="shared" si="22"/>
        <v>2694.06</v>
      </c>
      <c r="K113" s="92">
        <f>TRUNC(F113 * H113, 2)</f>
        <v>591</v>
      </c>
      <c r="L113" s="92">
        <f>M113 - K113</f>
        <v>2103.06</v>
      </c>
      <c r="M113" s="92">
        <f>TRUNC(F113 * J113, 2)</f>
        <v>2694.06</v>
      </c>
    </row>
    <row r="114" spans="1:13" ht="26.1" customHeight="1">
      <c r="A114" s="89" t="s">
        <v>226</v>
      </c>
      <c r="B114" s="90" t="s">
        <v>185</v>
      </c>
      <c r="C114" s="89" t="s">
        <v>45</v>
      </c>
      <c r="D114" s="89" t="s">
        <v>140</v>
      </c>
      <c r="E114" s="91" t="s">
        <v>74</v>
      </c>
      <c r="F114" s="90">
        <v>1</v>
      </c>
      <c r="G114" s="190">
        <v>15650.59</v>
      </c>
      <c r="H114" s="190">
        <v>1470.89</v>
      </c>
      <c r="I114" s="190">
        <v>18338.060000000001</v>
      </c>
      <c r="J114" s="92">
        <f t="shared" si="22"/>
        <v>19808.95</v>
      </c>
      <c r="K114" s="92">
        <f>TRUNC(F114 * H114, 2)</f>
        <v>1470.89</v>
      </c>
      <c r="L114" s="92">
        <f>M114 - K114</f>
        <v>18338.060000000001</v>
      </c>
      <c r="M114" s="92">
        <f>TRUNC(F114 * J114, 2)</f>
        <v>19808.95</v>
      </c>
    </row>
    <row r="115" spans="1:13" ht="24" customHeight="1">
      <c r="A115" s="86" t="s">
        <v>227</v>
      </c>
      <c r="B115" s="86"/>
      <c r="C115" s="86"/>
      <c r="D115" s="86" t="s">
        <v>142</v>
      </c>
      <c r="E115" s="86"/>
      <c r="F115" s="87"/>
      <c r="G115" s="87"/>
      <c r="H115" s="86"/>
      <c r="I115" s="86"/>
      <c r="J115" s="86"/>
      <c r="K115" s="86"/>
      <c r="L115" s="86"/>
      <c r="M115" s="88">
        <f>SUBTOTAL(9,M116:M117)</f>
        <v>3286.9799999999996</v>
      </c>
    </row>
    <row r="116" spans="1:13" ht="24" customHeight="1">
      <c r="A116" s="89" t="s">
        <v>228</v>
      </c>
      <c r="B116" s="90" t="s">
        <v>144</v>
      </c>
      <c r="C116" s="89" t="s">
        <v>45</v>
      </c>
      <c r="D116" s="89" t="s">
        <v>145</v>
      </c>
      <c r="E116" s="91" t="s">
        <v>74</v>
      </c>
      <c r="F116" s="90">
        <v>1</v>
      </c>
      <c r="G116" s="190">
        <v>1970.81</v>
      </c>
      <c r="H116" s="190">
        <v>1702.51</v>
      </c>
      <c r="I116" s="190">
        <v>791.94</v>
      </c>
      <c r="J116" s="92">
        <f t="shared" si="22"/>
        <v>2494.4499999999998</v>
      </c>
      <c r="K116" s="92">
        <f>TRUNC(F116 * H116, 2)</f>
        <v>1702.51</v>
      </c>
      <c r="L116" s="92">
        <f>M116 - K116</f>
        <v>791.93999999999983</v>
      </c>
      <c r="M116" s="92">
        <f>TRUNC(F116 * J116, 2)</f>
        <v>2494.4499999999998</v>
      </c>
    </row>
    <row r="117" spans="1:13" ht="24" customHeight="1">
      <c r="A117" s="89" t="s">
        <v>229</v>
      </c>
      <c r="B117" s="90" t="s">
        <v>147</v>
      </c>
      <c r="C117" s="89" t="s">
        <v>45</v>
      </c>
      <c r="D117" s="89" t="s">
        <v>148</v>
      </c>
      <c r="E117" s="91" t="s">
        <v>74</v>
      </c>
      <c r="F117" s="90">
        <v>1</v>
      </c>
      <c r="G117" s="190">
        <v>626.16</v>
      </c>
      <c r="H117" s="190">
        <v>399.76</v>
      </c>
      <c r="I117" s="190">
        <v>392.77</v>
      </c>
      <c r="J117" s="92">
        <f t="shared" si="22"/>
        <v>792.53</v>
      </c>
      <c r="K117" s="92">
        <f>TRUNC(F117 * H117, 2)</f>
        <v>399.76</v>
      </c>
      <c r="L117" s="92">
        <f>M117 - K117</f>
        <v>392.77</v>
      </c>
      <c r="M117" s="92">
        <f>TRUNC(F117 * J117, 2)</f>
        <v>792.53</v>
      </c>
    </row>
    <row r="118" spans="1:13" ht="24" customHeight="1">
      <c r="A118" s="86" t="s">
        <v>230</v>
      </c>
      <c r="B118" s="86"/>
      <c r="C118" s="86"/>
      <c r="D118" s="86" t="s">
        <v>150</v>
      </c>
      <c r="E118" s="86"/>
      <c r="F118" s="87"/>
      <c r="G118" s="87"/>
      <c r="H118" s="86"/>
      <c r="I118" s="86"/>
      <c r="J118" s="86"/>
      <c r="K118" s="86"/>
      <c r="L118" s="86"/>
      <c r="M118" s="88">
        <f>SUBTOTAL(9,M119:M119)</f>
        <v>6300.43</v>
      </c>
    </row>
    <row r="119" spans="1:13" ht="26.1" customHeight="1">
      <c r="A119" s="89" t="s">
        <v>231</v>
      </c>
      <c r="B119" s="90" t="s">
        <v>152</v>
      </c>
      <c r="C119" s="89" t="s">
        <v>45</v>
      </c>
      <c r="D119" s="89" t="s">
        <v>153</v>
      </c>
      <c r="E119" s="91" t="s">
        <v>74</v>
      </c>
      <c r="F119" s="90">
        <v>1</v>
      </c>
      <c r="G119" s="190">
        <v>4977.83</v>
      </c>
      <c r="H119" s="190">
        <v>6054</v>
      </c>
      <c r="I119" s="190">
        <v>246.43</v>
      </c>
      <c r="J119" s="92">
        <f t="shared" si="22"/>
        <v>6300.43</v>
      </c>
      <c r="K119" s="92">
        <f>TRUNC(F119 * H119, 2)</f>
        <v>6054</v>
      </c>
      <c r="L119" s="92">
        <f>M119 - K119</f>
        <v>246.43000000000029</v>
      </c>
      <c r="M119" s="92">
        <f>TRUNC(F119 * J119, 2)</f>
        <v>6300.43</v>
      </c>
    </row>
    <row r="120" spans="1:13" ht="26.1" customHeight="1">
      <c r="A120" s="100">
        <v>6</v>
      </c>
      <c r="B120" s="100"/>
      <c r="C120" s="100"/>
      <c r="D120" s="100" t="s">
        <v>232</v>
      </c>
      <c r="E120" s="100"/>
      <c r="F120" s="101"/>
      <c r="G120" s="101"/>
      <c r="H120" s="100"/>
      <c r="I120" s="100"/>
      <c r="J120" s="100"/>
      <c r="K120" s="100"/>
      <c r="L120" s="100"/>
      <c r="M120" s="102">
        <f>SUBTOTAL(9,M121:M176)</f>
        <v>111340.81000000003</v>
      </c>
    </row>
    <row r="121" spans="1:13" ht="26.1" customHeight="1">
      <c r="A121" s="86" t="s">
        <v>233</v>
      </c>
      <c r="B121" s="86"/>
      <c r="C121" s="86"/>
      <c r="D121" s="86" t="s">
        <v>57</v>
      </c>
      <c r="E121" s="86"/>
      <c r="F121" s="87"/>
      <c r="G121" s="87"/>
      <c r="H121" s="86"/>
      <c r="I121" s="86"/>
      <c r="J121" s="86"/>
      <c r="K121" s="86"/>
      <c r="L121" s="86"/>
      <c r="M121" s="88">
        <f>SUBTOTAL(9,M122:M124)</f>
        <v>7619.0199999999995</v>
      </c>
    </row>
    <row r="122" spans="1:13" ht="26.1" customHeight="1">
      <c r="A122" s="89" t="s">
        <v>234</v>
      </c>
      <c r="B122" s="90" t="s">
        <v>59</v>
      </c>
      <c r="C122" s="89" t="s">
        <v>45</v>
      </c>
      <c r="D122" s="89" t="s">
        <v>60</v>
      </c>
      <c r="E122" s="91" t="s">
        <v>46</v>
      </c>
      <c r="F122" s="90">
        <v>1</v>
      </c>
      <c r="G122" s="190">
        <v>3813.56</v>
      </c>
      <c r="H122" s="190">
        <v>530.58000000000004</v>
      </c>
      <c r="I122" s="190">
        <v>4296.24</v>
      </c>
      <c r="J122" s="92">
        <f t="shared" ref="J122:J124" si="26">TRUNC(G122*(1+$H$2),2)</f>
        <v>4826.82</v>
      </c>
      <c r="K122" s="92">
        <f>TRUNC(F122 * H122, 2)</f>
        <v>530.58000000000004</v>
      </c>
      <c r="L122" s="92">
        <f>M122 - K122</f>
        <v>4296.24</v>
      </c>
      <c r="M122" s="92">
        <f>TRUNC(F122 * J122, 2)</f>
        <v>4826.82</v>
      </c>
    </row>
    <row r="123" spans="1:13" ht="26.1" customHeight="1">
      <c r="A123" s="89" t="s">
        <v>235</v>
      </c>
      <c r="B123" s="90" t="s">
        <v>62</v>
      </c>
      <c r="C123" s="89" t="s">
        <v>45</v>
      </c>
      <c r="D123" s="89" t="s">
        <v>63</v>
      </c>
      <c r="E123" s="91" t="s">
        <v>46</v>
      </c>
      <c r="F123" s="90">
        <v>1</v>
      </c>
      <c r="G123" s="190">
        <v>1453.12</v>
      </c>
      <c r="H123" s="190">
        <v>0</v>
      </c>
      <c r="I123" s="190">
        <v>1839.21</v>
      </c>
      <c r="J123" s="92">
        <f t="shared" si="26"/>
        <v>1839.21</v>
      </c>
      <c r="K123" s="92">
        <f>TRUNC(F123 * H123, 2)</f>
        <v>0</v>
      </c>
      <c r="L123" s="92">
        <f>M123 - K123</f>
        <v>1839.21</v>
      </c>
      <c r="M123" s="92">
        <f>TRUNC(F123 * J123, 2)</f>
        <v>1839.21</v>
      </c>
    </row>
    <row r="124" spans="1:13" ht="26.1" customHeight="1">
      <c r="A124" s="89" t="s">
        <v>236</v>
      </c>
      <c r="B124" s="90" t="s">
        <v>65</v>
      </c>
      <c r="C124" s="89" t="s">
        <v>66</v>
      </c>
      <c r="D124" s="89" t="s">
        <v>67</v>
      </c>
      <c r="E124" s="91" t="s">
        <v>68</v>
      </c>
      <c r="F124" s="90">
        <v>1.5</v>
      </c>
      <c r="G124" s="190">
        <v>501.96</v>
      </c>
      <c r="H124" s="190">
        <v>37.049999999999997</v>
      </c>
      <c r="I124" s="190">
        <v>598.28</v>
      </c>
      <c r="J124" s="92">
        <f t="shared" si="26"/>
        <v>635.33000000000004</v>
      </c>
      <c r="K124" s="92">
        <f>TRUNC(F124 * H124, 2)</f>
        <v>55.57</v>
      </c>
      <c r="L124" s="92">
        <f>M124 - K124</f>
        <v>897.42</v>
      </c>
      <c r="M124" s="92">
        <f>TRUNC(F124 * J124, 2)</f>
        <v>952.99</v>
      </c>
    </row>
    <row r="125" spans="1:13" ht="26.1" customHeight="1">
      <c r="A125" s="86" t="s">
        <v>237</v>
      </c>
      <c r="B125" s="86"/>
      <c r="C125" s="86"/>
      <c r="D125" s="86" t="s">
        <v>70</v>
      </c>
      <c r="E125" s="86"/>
      <c r="F125" s="87"/>
      <c r="G125" s="87"/>
      <c r="H125" s="86"/>
      <c r="I125" s="86"/>
      <c r="J125" s="86"/>
      <c r="K125" s="86"/>
      <c r="L125" s="86"/>
      <c r="M125" s="88">
        <f>SUBTOTAL(9,M126:M128)</f>
        <v>466.05</v>
      </c>
    </row>
    <row r="126" spans="1:13" ht="26.1" customHeight="1">
      <c r="A126" s="89" t="s">
        <v>238</v>
      </c>
      <c r="B126" s="90" t="s">
        <v>239</v>
      </c>
      <c r="C126" s="89" t="s">
        <v>77</v>
      </c>
      <c r="D126" s="89" t="s">
        <v>240</v>
      </c>
      <c r="E126" s="91" t="s">
        <v>79</v>
      </c>
      <c r="F126" s="90">
        <v>1</v>
      </c>
      <c r="G126" s="190">
        <v>10.33</v>
      </c>
      <c r="H126" s="190">
        <v>6.2443</v>
      </c>
      <c r="I126" s="190">
        <v>6.8257000000000003</v>
      </c>
      <c r="J126" s="92">
        <f t="shared" ref="J126" si="27">TRUNC(G126*(1+$H$2),2)</f>
        <v>13.07</v>
      </c>
      <c r="K126" s="92">
        <f>TRUNC(F126 * H126, 2)</f>
        <v>6.24</v>
      </c>
      <c r="L126" s="92">
        <f>M126 - K126</f>
        <v>6.83</v>
      </c>
      <c r="M126" s="92">
        <f>TRUNC(F126 * J126, 2)</f>
        <v>13.07</v>
      </c>
    </row>
    <row r="127" spans="1:13" ht="26.1" customHeight="1">
      <c r="A127" s="89" t="s">
        <v>241</v>
      </c>
      <c r="B127" s="90" t="s">
        <v>242</v>
      </c>
      <c r="C127" s="89" t="s">
        <v>77</v>
      </c>
      <c r="D127" s="89" t="s">
        <v>243</v>
      </c>
      <c r="E127" s="91" t="s">
        <v>79</v>
      </c>
      <c r="F127" s="90">
        <v>1</v>
      </c>
      <c r="G127" s="190">
        <v>101.04</v>
      </c>
      <c r="H127" s="190">
        <v>6.2443</v>
      </c>
      <c r="I127" s="190">
        <v>121.6357</v>
      </c>
      <c r="J127" s="92">
        <f t="shared" ref="J127:J128" si="28">TRUNC(G127*(1+$H$2),2)</f>
        <v>127.88</v>
      </c>
      <c r="K127" s="92">
        <f t="shared" ref="K127:K128" si="29">TRUNC(F127 * H127, 2)</f>
        <v>6.24</v>
      </c>
      <c r="L127" s="92">
        <f t="shared" ref="L127:L178" si="30">M127 - K127</f>
        <v>121.64</v>
      </c>
      <c r="M127" s="92">
        <f t="shared" ref="M127:M128" si="31">TRUNC(F127 * J127, 2)</f>
        <v>127.88</v>
      </c>
    </row>
    <row r="128" spans="1:13" ht="26.1" customHeight="1">
      <c r="A128" s="89" t="s">
        <v>244</v>
      </c>
      <c r="B128" s="90" t="s">
        <v>81</v>
      </c>
      <c r="C128" s="89" t="s">
        <v>77</v>
      </c>
      <c r="D128" s="89" t="s">
        <v>82</v>
      </c>
      <c r="E128" s="91" t="s">
        <v>79</v>
      </c>
      <c r="F128" s="90">
        <v>10</v>
      </c>
      <c r="G128" s="190">
        <v>25.69</v>
      </c>
      <c r="H128" s="190">
        <v>6.2443</v>
      </c>
      <c r="I128" s="190">
        <v>26.265699999999999</v>
      </c>
      <c r="J128" s="92">
        <f t="shared" si="28"/>
        <v>32.51</v>
      </c>
      <c r="K128" s="92">
        <f t="shared" si="29"/>
        <v>62.44</v>
      </c>
      <c r="L128" s="92">
        <f t="shared" si="30"/>
        <v>262.66000000000003</v>
      </c>
      <c r="M128" s="92">
        <f t="shared" si="31"/>
        <v>325.10000000000002</v>
      </c>
    </row>
    <row r="129" spans="1:13" ht="26.1" customHeight="1">
      <c r="A129" s="86" t="s">
        <v>245</v>
      </c>
      <c r="B129" s="86"/>
      <c r="C129" s="86"/>
      <c r="D129" s="86" t="s">
        <v>246</v>
      </c>
      <c r="E129" s="86"/>
      <c r="F129" s="87"/>
      <c r="G129" s="87"/>
      <c r="H129" s="86"/>
      <c r="I129" s="86"/>
      <c r="J129" s="86"/>
      <c r="K129" s="86"/>
      <c r="L129" s="86"/>
      <c r="M129" s="88">
        <f>SUBTOTAL(9,M130:M134)</f>
        <v>15950.179999999998</v>
      </c>
    </row>
    <row r="130" spans="1:13" ht="26.1" customHeight="1">
      <c r="A130" s="89" t="s">
        <v>247</v>
      </c>
      <c r="B130" s="90" t="s">
        <v>248</v>
      </c>
      <c r="C130" s="89" t="s">
        <v>66</v>
      </c>
      <c r="D130" s="89" t="s">
        <v>249</v>
      </c>
      <c r="E130" s="91" t="s">
        <v>107</v>
      </c>
      <c r="F130" s="90">
        <v>60</v>
      </c>
      <c r="G130" s="190">
        <v>120.96</v>
      </c>
      <c r="H130" s="190">
        <v>11.97</v>
      </c>
      <c r="I130" s="190">
        <v>141.12</v>
      </c>
      <c r="J130" s="92">
        <f t="shared" ref="J130" si="32">TRUNC(G130*(1+$H$2),2)</f>
        <v>153.09</v>
      </c>
      <c r="K130" s="92">
        <f t="shared" ref="K130" si="33">TRUNC(F130 * H130, 2)</f>
        <v>718.2</v>
      </c>
      <c r="L130" s="92">
        <f t="shared" si="30"/>
        <v>8467.1999999999989</v>
      </c>
      <c r="M130" s="92">
        <f t="shared" ref="M130" si="34">TRUNC(F130 * J130, 2)</f>
        <v>9185.4</v>
      </c>
    </row>
    <row r="131" spans="1:13" ht="26.1" customHeight="1">
      <c r="A131" s="89" t="s">
        <v>250</v>
      </c>
      <c r="B131" s="90" t="s">
        <v>251</v>
      </c>
      <c r="C131" s="89" t="s">
        <v>66</v>
      </c>
      <c r="D131" s="89" t="s">
        <v>252</v>
      </c>
      <c r="E131" s="91" t="s">
        <v>103</v>
      </c>
      <c r="F131" s="90">
        <v>3</v>
      </c>
      <c r="G131" s="190">
        <v>309.38</v>
      </c>
      <c r="H131" s="190">
        <v>45.89</v>
      </c>
      <c r="I131" s="190">
        <v>345.69</v>
      </c>
      <c r="J131" s="92">
        <f t="shared" ref="J131:J134" si="35">TRUNC(G131*(1+$H$2),2)</f>
        <v>391.58</v>
      </c>
      <c r="K131" s="92">
        <f t="shared" ref="K131:K134" si="36">TRUNC(F131 * H131, 2)</f>
        <v>137.66999999999999</v>
      </c>
      <c r="L131" s="92">
        <f t="shared" si="30"/>
        <v>1037.07</v>
      </c>
      <c r="M131" s="92">
        <f t="shared" ref="M131:M134" si="37">TRUNC(F131 * J131, 2)</f>
        <v>1174.74</v>
      </c>
    </row>
    <row r="132" spans="1:13" ht="26.1" customHeight="1">
      <c r="A132" s="89" t="s">
        <v>253</v>
      </c>
      <c r="B132" s="90" t="s">
        <v>254</v>
      </c>
      <c r="C132" s="89" t="s">
        <v>66</v>
      </c>
      <c r="D132" s="89" t="s">
        <v>255</v>
      </c>
      <c r="E132" s="91" t="s">
        <v>103</v>
      </c>
      <c r="F132" s="90">
        <v>2</v>
      </c>
      <c r="G132" s="190">
        <v>469.03</v>
      </c>
      <c r="H132" s="190">
        <v>61.16</v>
      </c>
      <c r="I132" s="190">
        <v>532.49</v>
      </c>
      <c r="J132" s="92">
        <f t="shared" si="35"/>
        <v>593.65</v>
      </c>
      <c r="K132" s="92">
        <f t="shared" si="36"/>
        <v>122.32</v>
      </c>
      <c r="L132" s="92">
        <f t="shared" si="30"/>
        <v>1064.98</v>
      </c>
      <c r="M132" s="92">
        <f t="shared" si="37"/>
        <v>1187.3</v>
      </c>
    </row>
    <row r="133" spans="1:13" ht="26.1" customHeight="1">
      <c r="A133" s="89" t="s">
        <v>256</v>
      </c>
      <c r="B133" s="90" t="s">
        <v>257</v>
      </c>
      <c r="C133" s="89" t="s">
        <v>66</v>
      </c>
      <c r="D133" s="89" t="s">
        <v>258</v>
      </c>
      <c r="E133" s="91" t="s">
        <v>103</v>
      </c>
      <c r="F133" s="90">
        <v>2</v>
      </c>
      <c r="G133" s="190">
        <v>206.38</v>
      </c>
      <c r="H133" s="190">
        <v>35.950000000000003</v>
      </c>
      <c r="I133" s="190">
        <v>225.26</v>
      </c>
      <c r="J133" s="92">
        <f t="shared" si="35"/>
        <v>261.20999999999998</v>
      </c>
      <c r="K133" s="92">
        <f t="shared" si="36"/>
        <v>71.900000000000006</v>
      </c>
      <c r="L133" s="92">
        <f t="shared" si="30"/>
        <v>450.52</v>
      </c>
      <c r="M133" s="92">
        <f t="shared" si="37"/>
        <v>522.41999999999996</v>
      </c>
    </row>
    <row r="134" spans="1:13" ht="26.1" customHeight="1">
      <c r="A134" s="89" t="s">
        <v>259</v>
      </c>
      <c r="B134" s="90" t="s">
        <v>260</v>
      </c>
      <c r="C134" s="89" t="s">
        <v>66</v>
      </c>
      <c r="D134" s="89" t="s">
        <v>261</v>
      </c>
      <c r="E134" s="91" t="s">
        <v>103</v>
      </c>
      <c r="F134" s="90">
        <v>2</v>
      </c>
      <c r="G134" s="190">
        <v>1532.88</v>
      </c>
      <c r="H134" s="190">
        <v>148.46</v>
      </c>
      <c r="I134" s="190">
        <v>1791.7</v>
      </c>
      <c r="J134" s="92">
        <f t="shared" si="35"/>
        <v>1940.16</v>
      </c>
      <c r="K134" s="92">
        <f t="shared" si="36"/>
        <v>296.92</v>
      </c>
      <c r="L134" s="92">
        <f t="shared" si="30"/>
        <v>3583.4</v>
      </c>
      <c r="M134" s="92">
        <f t="shared" si="37"/>
        <v>3880.32</v>
      </c>
    </row>
    <row r="135" spans="1:13" ht="26.1" customHeight="1">
      <c r="A135" s="86" t="s">
        <v>262</v>
      </c>
      <c r="B135" s="86"/>
      <c r="C135" s="86"/>
      <c r="D135" s="86" t="s">
        <v>99</v>
      </c>
      <c r="E135" s="86"/>
      <c r="F135" s="87"/>
      <c r="G135" s="87"/>
      <c r="H135" s="86"/>
      <c r="I135" s="86"/>
      <c r="J135" s="86"/>
      <c r="K135" s="86"/>
      <c r="L135" s="86"/>
      <c r="M135" s="88">
        <f>SUBTOTAL(9,M136:M143)</f>
        <v>18202.830000000002</v>
      </c>
    </row>
    <row r="136" spans="1:13" ht="26.1" customHeight="1">
      <c r="A136" s="89" t="s">
        <v>263</v>
      </c>
      <c r="B136" s="90" t="s">
        <v>109</v>
      </c>
      <c r="C136" s="89" t="s">
        <v>77</v>
      </c>
      <c r="D136" s="89" t="s">
        <v>110</v>
      </c>
      <c r="E136" s="91" t="s">
        <v>92</v>
      </c>
      <c r="F136" s="90">
        <v>330</v>
      </c>
      <c r="G136" s="190">
        <v>20.84</v>
      </c>
      <c r="H136" s="190">
        <v>11.8505</v>
      </c>
      <c r="I136" s="190">
        <v>14.519500000000001</v>
      </c>
      <c r="J136" s="92">
        <f t="shared" ref="J136" si="38">TRUNC(G136*(1+$H$2),2)</f>
        <v>26.37</v>
      </c>
      <c r="K136" s="92">
        <f t="shared" ref="K136" si="39">TRUNC(F136 * H136, 2)</f>
        <v>3910.66</v>
      </c>
      <c r="L136" s="92">
        <f t="shared" si="30"/>
        <v>4791.4400000000005</v>
      </c>
      <c r="M136" s="92">
        <f t="shared" ref="M136" si="40">TRUNC(F136 * J136, 2)</f>
        <v>8702.1</v>
      </c>
    </row>
    <row r="137" spans="1:13" ht="26.1" customHeight="1">
      <c r="A137" s="89" t="s">
        <v>264</v>
      </c>
      <c r="B137" s="90" t="s">
        <v>265</v>
      </c>
      <c r="C137" s="89" t="s">
        <v>66</v>
      </c>
      <c r="D137" s="89" t="s">
        <v>266</v>
      </c>
      <c r="E137" s="91" t="s">
        <v>107</v>
      </c>
      <c r="F137" s="90">
        <v>990</v>
      </c>
      <c r="G137" s="190">
        <v>4.34</v>
      </c>
      <c r="H137" s="190">
        <v>1.44</v>
      </c>
      <c r="I137" s="190">
        <v>4.05</v>
      </c>
      <c r="J137" s="92">
        <f t="shared" ref="J137:J143" si="41">TRUNC(G137*(1+$H$2),2)</f>
        <v>5.49</v>
      </c>
      <c r="K137" s="92">
        <f t="shared" ref="K137:K143" si="42">TRUNC(F137 * H137, 2)</f>
        <v>1425.6</v>
      </c>
      <c r="L137" s="92">
        <f t="shared" si="30"/>
        <v>4009.5000000000005</v>
      </c>
      <c r="M137" s="92">
        <f t="shared" ref="M137:M143" si="43">TRUNC(F137 * J137, 2)</f>
        <v>5435.1</v>
      </c>
    </row>
    <row r="138" spans="1:13" ht="26.1" customHeight="1">
      <c r="A138" s="89" t="s">
        <v>267</v>
      </c>
      <c r="B138" s="90" t="s">
        <v>112</v>
      </c>
      <c r="C138" s="89" t="s">
        <v>45</v>
      </c>
      <c r="D138" s="89" t="s">
        <v>113</v>
      </c>
      <c r="E138" s="91" t="s">
        <v>46</v>
      </c>
      <c r="F138" s="90">
        <v>15</v>
      </c>
      <c r="G138" s="190">
        <v>46.91</v>
      </c>
      <c r="H138" s="190">
        <v>24.81</v>
      </c>
      <c r="I138" s="190">
        <v>34.56</v>
      </c>
      <c r="J138" s="92">
        <f t="shared" si="41"/>
        <v>59.37</v>
      </c>
      <c r="K138" s="92">
        <f t="shared" si="42"/>
        <v>372.15</v>
      </c>
      <c r="L138" s="92">
        <f t="shared" si="30"/>
        <v>518.4</v>
      </c>
      <c r="M138" s="92">
        <f t="shared" si="43"/>
        <v>890.55</v>
      </c>
    </row>
    <row r="139" spans="1:13" ht="26.1" customHeight="1">
      <c r="A139" s="89" t="s">
        <v>268</v>
      </c>
      <c r="B139" s="90" t="s">
        <v>269</v>
      </c>
      <c r="C139" s="89" t="s">
        <v>77</v>
      </c>
      <c r="D139" s="89" t="s">
        <v>270</v>
      </c>
      <c r="E139" s="91" t="s">
        <v>79</v>
      </c>
      <c r="F139" s="90">
        <v>8</v>
      </c>
      <c r="G139" s="190">
        <v>14.01</v>
      </c>
      <c r="H139" s="190">
        <v>6.5835999999999997</v>
      </c>
      <c r="I139" s="190">
        <v>11.1464</v>
      </c>
      <c r="J139" s="92">
        <f t="shared" si="41"/>
        <v>17.73</v>
      </c>
      <c r="K139" s="92">
        <f t="shared" si="42"/>
        <v>52.66</v>
      </c>
      <c r="L139" s="92">
        <f t="shared" si="30"/>
        <v>89.18</v>
      </c>
      <c r="M139" s="92">
        <f t="shared" si="43"/>
        <v>141.84</v>
      </c>
    </row>
    <row r="140" spans="1:13" ht="26.1" customHeight="1">
      <c r="A140" s="89" t="s">
        <v>271</v>
      </c>
      <c r="B140" s="90" t="s">
        <v>272</v>
      </c>
      <c r="C140" s="89" t="s">
        <v>66</v>
      </c>
      <c r="D140" s="89" t="s">
        <v>273</v>
      </c>
      <c r="E140" s="91" t="s">
        <v>103</v>
      </c>
      <c r="F140" s="90">
        <v>4</v>
      </c>
      <c r="G140" s="190">
        <v>15.09</v>
      </c>
      <c r="H140" s="190">
        <v>2.36</v>
      </c>
      <c r="I140" s="190">
        <v>16.73</v>
      </c>
      <c r="J140" s="92">
        <f t="shared" si="41"/>
        <v>19.09</v>
      </c>
      <c r="K140" s="92">
        <f t="shared" si="42"/>
        <v>9.44</v>
      </c>
      <c r="L140" s="92">
        <f t="shared" si="30"/>
        <v>66.92</v>
      </c>
      <c r="M140" s="92">
        <f t="shared" si="43"/>
        <v>76.36</v>
      </c>
    </row>
    <row r="141" spans="1:13" ht="26.1" customHeight="1">
      <c r="A141" s="89" t="s">
        <v>274</v>
      </c>
      <c r="B141" s="90" t="s">
        <v>211</v>
      </c>
      <c r="C141" s="89" t="s">
        <v>45</v>
      </c>
      <c r="D141" s="89" t="s">
        <v>212</v>
      </c>
      <c r="E141" s="91" t="s">
        <v>46</v>
      </c>
      <c r="F141" s="90">
        <v>8</v>
      </c>
      <c r="G141" s="190">
        <v>214.17</v>
      </c>
      <c r="H141" s="190">
        <v>7.83</v>
      </c>
      <c r="I141" s="190">
        <v>263.24</v>
      </c>
      <c r="J141" s="92">
        <f t="shared" si="41"/>
        <v>271.07</v>
      </c>
      <c r="K141" s="92">
        <f t="shared" si="42"/>
        <v>62.64</v>
      </c>
      <c r="L141" s="92">
        <f t="shared" si="30"/>
        <v>2105.92</v>
      </c>
      <c r="M141" s="92">
        <f t="shared" si="43"/>
        <v>2168.56</v>
      </c>
    </row>
    <row r="142" spans="1:13" ht="26.1" customHeight="1">
      <c r="A142" s="89" t="s">
        <v>275</v>
      </c>
      <c r="B142" s="90" t="s">
        <v>101</v>
      </c>
      <c r="C142" s="89" t="s">
        <v>66</v>
      </c>
      <c r="D142" s="89" t="s">
        <v>276</v>
      </c>
      <c r="E142" s="91" t="s">
        <v>103</v>
      </c>
      <c r="F142" s="90">
        <v>10</v>
      </c>
      <c r="G142" s="190">
        <v>20.12</v>
      </c>
      <c r="H142" s="190">
        <v>6.18</v>
      </c>
      <c r="I142" s="190">
        <v>19.28</v>
      </c>
      <c r="J142" s="92">
        <f t="shared" si="41"/>
        <v>25.46</v>
      </c>
      <c r="K142" s="92">
        <f t="shared" si="42"/>
        <v>61.8</v>
      </c>
      <c r="L142" s="92">
        <f t="shared" si="30"/>
        <v>192.8</v>
      </c>
      <c r="M142" s="92">
        <f t="shared" si="43"/>
        <v>254.6</v>
      </c>
    </row>
    <row r="143" spans="1:13" ht="26.1" customHeight="1">
      <c r="A143" s="89" t="s">
        <v>277</v>
      </c>
      <c r="B143" s="90" t="s">
        <v>278</v>
      </c>
      <c r="C143" s="89" t="s">
        <v>45</v>
      </c>
      <c r="D143" s="89" t="s">
        <v>279</v>
      </c>
      <c r="E143" s="91" t="s">
        <v>103</v>
      </c>
      <c r="F143" s="90">
        <v>1</v>
      </c>
      <c r="G143" s="190">
        <v>421.68</v>
      </c>
      <c r="H143" s="190">
        <v>399.76</v>
      </c>
      <c r="I143" s="190">
        <v>133.96</v>
      </c>
      <c r="J143" s="92">
        <f t="shared" si="41"/>
        <v>533.72</v>
      </c>
      <c r="K143" s="92">
        <f t="shared" si="42"/>
        <v>399.76</v>
      </c>
      <c r="L143" s="92">
        <f t="shared" si="30"/>
        <v>133.96000000000004</v>
      </c>
      <c r="M143" s="92">
        <f t="shared" si="43"/>
        <v>533.72</v>
      </c>
    </row>
    <row r="144" spans="1:13" ht="26.1" customHeight="1">
      <c r="A144" s="86" t="s">
        <v>280</v>
      </c>
      <c r="B144" s="86"/>
      <c r="C144" s="86"/>
      <c r="D144" s="86" t="s">
        <v>281</v>
      </c>
      <c r="E144" s="86"/>
      <c r="F144" s="87"/>
      <c r="G144" s="87"/>
      <c r="H144" s="86"/>
      <c r="I144" s="86"/>
      <c r="J144" s="86"/>
      <c r="K144" s="86"/>
      <c r="L144" s="86"/>
      <c r="M144" s="88">
        <f>SUBTOTAL(9,M145:M149)</f>
        <v>39372.74</v>
      </c>
    </row>
    <row r="145" spans="1:13" ht="26.1" customHeight="1">
      <c r="A145" s="89" t="s">
        <v>282</v>
      </c>
      <c r="B145" s="90" t="s">
        <v>283</v>
      </c>
      <c r="C145" s="89" t="s">
        <v>77</v>
      </c>
      <c r="D145" s="89" t="s">
        <v>284</v>
      </c>
      <c r="E145" s="91" t="s">
        <v>79</v>
      </c>
      <c r="F145" s="90">
        <v>80</v>
      </c>
      <c r="G145" s="190">
        <v>149.52000000000001</v>
      </c>
      <c r="H145" s="190">
        <v>11.587199999999999</v>
      </c>
      <c r="I145" s="190">
        <v>177.65280000000001</v>
      </c>
      <c r="J145" s="92">
        <f t="shared" ref="J145" si="44">TRUNC(G145*(1+$H$2),2)</f>
        <v>189.24</v>
      </c>
      <c r="K145" s="92">
        <f t="shared" ref="K145" si="45">TRUNC(F145 * H145, 2)</f>
        <v>926.97</v>
      </c>
      <c r="L145" s="92">
        <f t="shared" si="30"/>
        <v>14212.230000000001</v>
      </c>
      <c r="M145" s="92">
        <f t="shared" ref="M145" si="46">TRUNC(F145 * J145, 2)</f>
        <v>15139.2</v>
      </c>
    </row>
    <row r="146" spans="1:13" ht="26.1" customHeight="1">
      <c r="A146" s="89" t="s">
        <v>285</v>
      </c>
      <c r="B146" s="90" t="s">
        <v>109</v>
      </c>
      <c r="C146" s="89" t="s">
        <v>77</v>
      </c>
      <c r="D146" s="89" t="s">
        <v>110</v>
      </c>
      <c r="E146" s="91" t="s">
        <v>92</v>
      </c>
      <c r="F146" s="90">
        <v>600</v>
      </c>
      <c r="G146" s="190">
        <v>20.84</v>
      </c>
      <c r="H146" s="190">
        <v>11.8505</v>
      </c>
      <c r="I146" s="190">
        <v>14.519500000000001</v>
      </c>
      <c r="J146" s="92">
        <f t="shared" ref="J146:J149" si="47">TRUNC(G146*(1+$H$2),2)</f>
        <v>26.37</v>
      </c>
      <c r="K146" s="92">
        <f t="shared" ref="K146:K149" si="48">TRUNC(F146 * H146, 2)</f>
        <v>7110.3</v>
      </c>
      <c r="L146" s="92">
        <f t="shared" si="30"/>
        <v>8711.7000000000007</v>
      </c>
      <c r="M146" s="92">
        <f t="shared" ref="M146:M149" si="49">TRUNC(F146 * J146, 2)</f>
        <v>15822</v>
      </c>
    </row>
    <row r="147" spans="1:13" ht="26.1" customHeight="1">
      <c r="A147" s="89" t="s">
        <v>286</v>
      </c>
      <c r="B147" s="90" t="s">
        <v>265</v>
      </c>
      <c r="C147" s="89" t="s">
        <v>66</v>
      </c>
      <c r="D147" s="89" t="s">
        <v>266</v>
      </c>
      <c r="E147" s="91" t="s">
        <v>107</v>
      </c>
      <c r="F147" s="90">
        <v>600</v>
      </c>
      <c r="G147" s="190">
        <v>4.34</v>
      </c>
      <c r="H147" s="190">
        <v>1.44</v>
      </c>
      <c r="I147" s="190">
        <v>4.05</v>
      </c>
      <c r="J147" s="92">
        <f t="shared" si="47"/>
        <v>5.49</v>
      </c>
      <c r="K147" s="92">
        <f t="shared" si="48"/>
        <v>864</v>
      </c>
      <c r="L147" s="92">
        <f t="shared" si="30"/>
        <v>2430</v>
      </c>
      <c r="M147" s="92">
        <f t="shared" si="49"/>
        <v>3294</v>
      </c>
    </row>
    <row r="148" spans="1:13" ht="26.1" customHeight="1">
      <c r="A148" s="89" t="s">
        <v>287</v>
      </c>
      <c r="B148" s="90" t="s">
        <v>112</v>
      </c>
      <c r="C148" s="89" t="s">
        <v>45</v>
      </c>
      <c r="D148" s="89" t="s">
        <v>113</v>
      </c>
      <c r="E148" s="91" t="s">
        <v>46</v>
      </c>
      <c r="F148" s="90">
        <v>50</v>
      </c>
      <c r="G148" s="190">
        <v>46.91</v>
      </c>
      <c r="H148" s="190">
        <v>24.81</v>
      </c>
      <c r="I148" s="190">
        <v>34.56</v>
      </c>
      <c r="J148" s="92">
        <f t="shared" si="47"/>
        <v>59.37</v>
      </c>
      <c r="K148" s="92">
        <f t="shared" si="48"/>
        <v>1240.5</v>
      </c>
      <c r="L148" s="92">
        <f t="shared" si="30"/>
        <v>1728</v>
      </c>
      <c r="M148" s="92">
        <f t="shared" si="49"/>
        <v>2968.5</v>
      </c>
    </row>
    <row r="149" spans="1:13" ht="26.1" customHeight="1">
      <c r="A149" s="89" t="s">
        <v>288</v>
      </c>
      <c r="B149" s="90" t="s">
        <v>289</v>
      </c>
      <c r="C149" s="89" t="s">
        <v>45</v>
      </c>
      <c r="D149" s="89" t="s">
        <v>290</v>
      </c>
      <c r="E149" s="91" t="s">
        <v>46</v>
      </c>
      <c r="F149" s="90">
        <v>1</v>
      </c>
      <c r="G149" s="190">
        <v>1697.91</v>
      </c>
      <c r="H149" s="190">
        <v>149.91</v>
      </c>
      <c r="I149" s="190">
        <v>1999.13</v>
      </c>
      <c r="J149" s="92">
        <f t="shared" si="47"/>
        <v>2149.04</v>
      </c>
      <c r="K149" s="92">
        <f t="shared" si="48"/>
        <v>149.91</v>
      </c>
      <c r="L149" s="92">
        <f t="shared" si="30"/>
        <v>1999.1299999999999</v>
      </c>
      <c r="M149" s="92">
        <f t="shared" si="49"/>
        <v>2149.04</v>
      </c>
    </row>
    <row r="150" spans="1:13" ht="26.1" customHeight="1">
      <c r="A150" s="86" t="s">
        <v>291</v>
      </c>
      <c r="B150" s="86"/>
      <c r="C150" s="86"/>
      <c r="D150" s="86" t="s">
        <v>292</v>
      </c>
      <c r="E150" s="86"/>
      <c r="F150" s="87"/>
      <c r="G150" s="87"/>
      <c r="H150" s="86"/>
      <c r="I150" s="86"/>
      <c r="J150" s="86"/>
      <c r="K150" s="86"/>
      <c r="L150" s="86"/>
      <c r="M150" s="88">
        <f>SUBTOTAL(9,M151:M171)</f>
        <v>22741.890000000003</v>
      </c>
    </row>
    <row r="151" spans="1:13" ht="26.1" customHeight="1">
      <c r="A151" s="89" t="s">
        <v>293</v>
      </c>
      <c r="B151" s="90" t="s">
        <v>294</v>
      </c>
      <c r="C151" s="89" t="s">
        <v>66</v>
      </c>
      <c r="D151" s="89" t="s">
        <v>295</v>
      </c>
      <c r="E151" s="91" t="s">
        <v>68</v>
      </c>
      <c r="F151" s="90">
        <v>39.200000000000003</v>
      </c>
      <c r="G151" s="190">
        <v>123.73</v>
      </c>
      <c r="H151" s="190">
        <v>43.17</v>
      </c>
      <c r="I151" s="190">
        <v>113.43</v>
      </c>
      <c r="J151" s="92">
        <f t="shared" ref="J151" si="50">TRUNC(G151*(1+$H$2),2)</f>
        <v>156.6</v>
      </c>
      <c r="K151" s="92">
        <f t="shared" ref="K151" si="51">TRUNC(F151 * H151, 2)</f>
        <v>1692.26</v>
      </c>
      <c r="L151" s="92">
        <f t="shared" si="30"/>
        <v>4446.46</v>
      </c>
      <c r="M151" s="92">
        <f t="shared" ref="M151" si="52">TRUNC(F151 * J151, 2)</f>
        <v>6138.72</v>
      </c>
    </row>
    <row r="152" spans="1:13" ht="26.1" customHeight="1">
      <c r="A152" s="89" t="s">
        <v>296</v>
      </c>
      <c r="B152" s="90" t="s">
        <v>297</v>
      </c>
      <c r="C152" s="89" t="s">
        <v>66</v>
      </c>
      <c r="D152" s="89" t="s">
        <v>298</v>
      </c>
      <c r="E152" s="91" t="s">
        <v>107</v>
      </c>
      <c r="F152" s="90">
        <v>1.5</v>
      </c>
      <c r="G152" s="190">
        <v>57.22</v>
      </c>
      <c r="H152" s="190">
        <v>19.95</v>
      </c>
      <c r="I152" s="190">
        <v>52.47</v>
      </c>
      <c r="J152" s="92">
        <f t="shared" ref="J152:J171" si="53">TRUNC(G152*(1+$H$2),2)</f>
        <v>72.42</v>
      </c>
      <c r="K152" s="92">
        <f t="shared" ref="K152:K171" si="54">TRUNC(F152 * H152, 2)</f>
        <v>29.92</v>
      </c>
      <c r="L152" s="92">
        <f t="shared" si="30"/>
        <v>78.709999999999994</v>
      </c>
      <c r="M152" s="92">
        <f t="shared" ref="M152:M171" si="55">TRUNC(F152 * J152, 2)</f>
        <v>108.63</v>
      </c>
    </row>
    <row r="153" spans="1:13" ht="26.1" customHeight="1">
      <c r="A153" s="89" t="s">
        <v>299</v>
      </c>
      <c r="B153" s="90" t="s">
        <v>300</v>
      </c>
      <c r="C153" s="89" t="s">
        <v>66</v>
      </c>
      <c r="D153" s="89" t="s">
        <v>301</v>
      </c>
      <c r="E153" s="91" t="s">
        <v>107</v>
      </c>
      <c r="F153" s="90">
        <v>3</v>
      </c>
      <c r="G153" s="190">
        <v>44.74</v>
      </c>
      <c r="H153" s="190">
        <v>12.75</v>
      </c>
      <c r="I153" s="190">
        <v>43.87</v>
      </c>
      <c r="J153" s="92">
        <f t="shared" si="53"/>
        <v>56.62</v>
      </c>
      <c r="K153" s="92">
        <f t="shared" si="54"/>
        <v>38.25</v>
      </c>
      <c r="L153" s="92">
        <f t="shared" si="30"/>
        <v>131.61000000000001</v>
      </c>
      <c r="M153" s="92">
        <f t="shared" si="55"/>
        <v>169.86</v>
      </c>
    </row>
    <row r="154" spans="1:13" ht="26.1" customHeight="1">
      <c r="A154" s="89" t="s">
        <v>302</v>
      </c>
      <c r="B154" s="90" t="s">
        <v>303</v>
      </c>
      <c r="C154" s="89" t="s">
        <v>66</v>
      </c>
      <c r="D154" s="89" t="s">
        <v>304</v>
      </c>
      <c r="E154" s="91" t="s">
        <v>68</v>
      </c>
      <c r="F154" s="90">
        <v>12.25</v>
      </c>
      <c r="G154" s="190">
        <v>204.61</v>
      </c>
      <c r="H154" s="190">
        <v>34.96</v>
      </c>
      <c r="I154" s="190">
        <v>224.01</v>
      </c>
      <c r="J154" s="92">
        <f t="shared" si="53"/>
        <v>258.97000000000003</v>
      </c>
      <c r="K154" s="92">
        <f t="shared" si="54"/>
        <v>428.26</v>
      </c>
      <c r="L154" s="92">
        <f t="shared" si="30"/>
        <v>2744.12</v>
      </c>
      <c r="M154" s="92">
        <f t="shared" si="55"/>
        <v>3172.38</v>
      </c>
    </row>
    <row r="155" spans="1:13" ht="26.1" customHeight="1">
      <c r="A155" s="89" t="s">
        <v>305</v>
      </c>
      <c r="B155" s="90" t="s">
        <v>306</v>
      </c>
      <c r="C155" s="89" t="s">
        <v>77</v>
      </c>
      <c r="D155" s="89" t="s">
        <v>307</v>
      </c>
      <c r="E155" s="91" t="s">
        <v>308</v>
      </c>
      <c r="F155" s="90">
        <v>88.3</v>
      </c>
      <c r="G155" s="190">
        <v>13.59</v>
      </c>
      <c r="H155" s="190">
        <v>2.7608999999999999</v>
      </c>
      <c r="I155" s="190">
        <v>14.4391</v>
      </c>
      <c r="J155" s="92">
        <f t="shared" si="53"/>
        <v>17.2</v>
      </c>
      <c r="K155" s="92">
        <f t="shared" si="54"/>
        <v>243.78</v>
      </c>
      <c r="L155" s="92">
        <f t="shared" si="30"/>
        <v>1274.98</v>
      </c>
      <c r="M155" s="92">
        <f t="shared" si="55"/>
        <v>1518.76</v>
      </c>
    </row>
    <row r="156" spans="1:13" ht="26.1" customHeight="1">
      <c r="A156" s="89" t="s">
        <v>309</v>
      </c>
      <c r="B156" s="90" t="s">
        <v>310</v>
      </c>
      <c r="C156" s="89" t="s">
        <v>77</v>
      </c>
      <c r="D156" s="89" t="s">
        <v>311</v>
      </c>
      <c r="E156" s="91" t="s">
        <v>68</v>
      </c>
      <c r="F156" s="90">
        <v>16.8</v>
      </c>
      <c r="G156" s="190">
        <v>64.37</v>
      </c>
      <c r="H156" s="190">
        <v>23.9345</v>
      </c>
      <c r="I156" s="190">
        <v>57.535499999999999</v>
      </c>
      <c r="J156" s="92">
        <f t="shared" si="53"/>
        <v>81.47</v>
      </c>
      <c r="K156" s="92">
        <f t="shared" si="54"/>
        <v>402.09</v>
      </c>
      <c r="L156" s="92">
        <f t="shared" si="30"/>
        <v>966.60000000000014</v>
      </c>
      <c r="M156" s="92">
        <f t="shared" si="55"/>
        <v>1368.69</v>
      </c>
    </row>
    <row r="157" spans="1:13" ht="26.1" customHeight="1">
      <c r="A157" s="89" t="s">
        <v>312</v>
      </c>
      <c r="B157" s="90" t="s">
        <v>313</v>
      </c>
      <c r="C157" s="89" t="s">
        <v>66</v>
      </c>
      <c r="D157" s="89" t="s">
        <v>314</v>
      </c>
      <c r="E157" s="91" t="s">
        <v>315</v>
      </c>
      <c r="F157" s="90">
        <v>1.5</v>
      </c>
      <c r="G157" s="190">
        <v>538.32000000000005</v>
      </c>
      <c r="H157" s="190">
        <v>86.22</v>
      </c>
      <c r="I157" s="190">
        <v>595.13</v>
      </c>
      <c r="J157" s="92">
        <f t="shared" si="53"/>
        <v>681.35</v>
      </c>
      <c r="K157" s="92">
        <f t="shared" si="54"/>
        <v>129.33000000000001</v>
      </c>
      <c r="L157" s="92">
        <f t="shared" si="30"/>
        <v>892.68999999999994</v>
      </c>
      <c r="M157" s="92">
        <f t="shared" si="55"/>
        <v>1022.02</v>
      </c>
    </row>
    <row r="158" spans="1:13" ht="26.1" customHeight="1">
      <c r="A158" s="89" t="s">
        <v>316</v>
      </c>
      <c r="B158" s="90" t="s">
        <v>317</v>
      </c>
      <c r="C158" s="89" t="s">
        <v>66</v>
      </c>
      <c r="D158" s="89" t="s">
        <v>318</v>
      </c>
      <c r="E158" s="91" t="s">
        <v>68</v>
      </c>
      <c r="F158" s="90">
        <v>78.400000000000006</v>
      </c>
      <c r="G158" s="190">
        <v>5.08</v>
      </c>
      <c r="H158" s="190">
        <v>3.08</v>
      </c>
      <c r="I158" s="190">
        <v>3.34</v>
      </c>
      <c r="J158" s="92">
        <f t="shared" si="53"/>
        <v>6.42</v>
      </c>
      <c r="K158" s="92">
        <f t="shared" si="54"/>
        <v>241.47</v>
      </c>
      <c r="L158" s="92">
        <f t="shared" si="30"/>
        <v>261.85000000000002</v>
      </c>
      <c r="M158" s="92">
        <f t="shared" si="55"/>
        <v>503.32</v>
      </c>
    </row>
    <row r="159" spans="1:13" ht="26.1" customHeight="1">
      <c r="A159" s="89" t="s">
        <v>319</v>
      </c>
      <c r="B159" s="90" t="s">
        <v>320</v>
      </c>
      <c r="C159" s="89" t="s">
        <v>66</v>
      </c>
      <c r="D159" s="89" t="s">
        <v>321</v>
      </c>
      <c r="E159" s="91" t="s">
        <v>68</v>
      </c>
      <c r="F159" s="90">
        <v>78.400000000000006</v>
      </c>
      <c r="G159" s="190">
        <v>28.45</v>
      </c>
      <c r="H159" s="190">
        <v>16.79</v>
      </c>
      <c r="I159" s="190">
        <v>19.21</v>
      </c>
      <c r="J159" s="92">
        <f t="shared" si="53"/>
        <v>36</v>
      </c>
      <c r="K159" s="92">
        <f t="shared" si="54"/>
        <v>1316.33</v>
      </c>
      <c r="L159" s="92">
        <f t="shared" si="30"/>
        <v>1506.0700000000002</v>
      </c>
      <c r="M159" s="92">
        <f t="shared" si="55"/>
        <v>2822.4</v>
      </c>
    </row>
    <row r="160" spans="1:13" ht="26.1" customHeight="1">
      <c r="A160" s="89" t="s">
        <v>322</v>
      </c>
      <c r="B160" s="90" t="s">
        <v>323</v>
      </c>
      <c r="C160" s="89" t="s">
        <v>66</v>
      </c>
      <c r="D160" s="89" t="s">
        <v>324</v>
      </c>
      <c r="E160" s="91" t="s">
        <v>68</v>
      </c>
      <c r="F160" s="90">
        <v>78.400000000000006</v>
      </c>
      <c r="G160" s="190">
        <v>4.47</v>
      </c>
      <c r="H160" s="190">
        <v>2.2400000000000002</v>
      </c>
      <c r="I160" s="190">
        <v>3.41</v>
      </c>
      <c r="J160" s="92">
        <f t="shared" si="53"/>
        <v>5.65</v>
      </c>
      <c r="K160" s="92">
        <f t="shared" si="54"/>
        <v>175.61</v>
      </c>
      <c r="L160" s="92">
        <f t="shared" si="30"/>
        <v>267.34999999999997</v>
      </c>
      <c r="M160" s="92">
        <f t="shared" si="55"/>
        <v>442.96</v>
      </c>
    </row>
    <row r="161" spans="1:13" ht="26.1" customHeight="1">
      <c r="A161" s="89" t="s">
        <v>325</v>
      </c>
      <c r="B161" s="90" t="s">
        <v>326</v>
      </c>
      <c r="C161" s="89" t="s">
        <v>66</v>
      </c>
      <c r="D161" s="89" t="s">
        <v>327</v>
      </c>
      <c r="E161" s="91" t="s">
        <v>68</v>
      </c>
      <c r="F161" s="90">
        <v>78.400000000000006</v>
      </c>
      <c r="G161" s="190">
        <v>13.05</v>
      </c>
      <c r="H161" s="190">
        <v>5.49</v>
      </c>
      <c r="I161" s="190">
        <v>11.02</v>
      </c>
      <c r="J161" s="92">
        <f t="shared" si="53"/>
        <v>16.510000000000002</v>
      </c>
      <c r="K161" s="92">
        <f t="shared" si="54"/>
        <v>430.41</v>
      </c>
      <c r="L161" s="92">
        <f t="shared" si="30"/>
        <v>863.97</v>
      </c>
      <c r="M161" s="92">
        <f t="shared" si="55"/>
        <v>1294.3800000000001</v>
      </c>
    </row>
    <row r="162" spans="1:13" ht="26.1" customHeight="1">
      <c r="A162" s="89" t="s">
        <v>328</v>
      </c>
      <c r="B162" s="90" t="s">
        <v>329</v>
      </c>
      <c r="C162" s="89" t="s">
        <v>77</v>
      </c>
      <c r="D162" s="89" t="s">
        <v>330</v>
      </c>
      <c r="E162" s="91" t="s">
        <v>79</v>
      </c>
      <c r="F162" s="90">
        <v>1</v>
      </c>
      <c r="G162" s="190">
        <v>1679.04</v>
      </c>
      <c r="H162" s="190">
        <v>146.38</v>
      </c>
      <c r="I162" s="190">
        <v>1978.78</v>
      </c>
      <c r="J162" s="92">
        <f t="shared" si="53"/>
        <v>2125.16</v>
      </c>
      <c r="K162" s="92">
        <f t="shared" si="54"/>
        <v>146.38</v>
      </c>
      <c r="L162" s="92">
        <f t="shared" si="30"/>
        <v>1978.7799999999997</v>
      </c>
      <c r="M162" s="92">
        <f t="shared" si="55"/>
        <v>2125.16</v>
      </c>
    </row>
    <row r="163" spans="1:13" ht="26.1" customHeight="1">
      <c r="A163" s="89" t="s">
        <v>331</v>
      </c>
      <c r="B163" s="90" t="s">
        <v>332</v>
      </c>
      <c r="C163" s="89" t="s">
        <v>77</v>
      </c>
      <c r="D163" s="89" t="s">
        <v>333</v>
      </c>
      <c r="E163" s="91" t="s">
        <v>68</v>
      </c>
      <c r="F163" s="90">
        <v>0.96</v>
      </c>
      <c r="G163" s="190">
        <v>642.91</v>
      </c>
      <c r="H163" s="190">
        <v>60.508000000000003</v>
      </c>
      <c r="I163" s="190">
        <v>753.22199999999998</v>
      </c>
      <c r="J163" s="92">
        <f t="shared" si="53"/>
        <v>813.73</v>
      </c>
      <c r="K163" s="92">
        <f t="shared" si="54"/>
        <v>58.08</v>
      </c>
      <c r="L163" s="92">
        <f t="shared" si="30"/>
        <v>723.09999999999991</v>
      </c>
      <c r="M163" s="92">
        <f t="shared" si="55"/>
        <v>781.18</v>
      </c>
    </row>
    <row r="164" spans="1:13" ht="26.1" customHeight="1">
      <c r="A164" s="89" t="s">
        <v>334</v>
      </c>
      <c r="B164" s="90" t="s">
        <v>335</v>
      </c>
      <c r="C164" s="89" t="s">
        <v>66</v>
      </c>
      <c r="D164" s="89" t="s">
        <v>336</v>
      </c>
      <c r="E164" s="91" t="s">
        <v>68</v>
      </c>
      <c r="F164" s="90">
        <v>5.7</v>
      </c>
      <c r="G164" s="190">
        <v>56.1</v>
      </c>
      <c r="H164" s="190">
        <v>29.21</v>
      </c>
      <c r="I164" s="190">
        <v>41.79</v>
      </c>
      <c r="J164" s="92">
        <f t="shared" si="53"/>
        <v>71</v>
      </c>
      <c r="K164" s="92">
        <f t="shared" si="54"/>
        <v>166.49</v>
      </c>
      <c r="L164" s="92">
        <f t="shared" si="30"/>
        <v>238.20999999999998</v>
      </c>
      <c r="M164" s="92">
        <f t="shared" si="55"/>
        <v>404.7</v>
      </c>
    </row>
    <row r="165" spans="1:13" ht="26.1" customHeight="1">
      <c r="A165" s="89" t="s">
        <v>337</v>
      </c>
      <c r="B165" s="90" t="s">
        <v>112</v>
      </c>
      <c r="C165" s="89" t="s">
        <v>45</v>
      </c>
      <c r="D165" s="89" t="s">
        <v>113</v>
      </c>
      <c r="E165" s="91" t="s">
        <v>46</v>
      </c>
      <c r="F165" s="90">
        <v>2</v>
      </c>
      <c r="G165" s="190">
        <v>46.91</v>
      </c>
      <c r="H165" s="190">
        <v>24.81</v>
      </c>
      <c r="I165" s="190">
        <v>34.56</v>
      </c>
      <c r="J165" s="92">
        <f t="shared" si="53"/>
        <v>59.37</v>
      </c>
      <c r="K165" s="92">
        <f t="shared" si="54"/>
        <v>49.62</v>
      </c>
      <c r="L165" s="92">
        <f t="shared" si="30"/>
        <v>69.12</v>
      </c>
      <c r="M165" s="92">
        <f t="shared" si="55"/>
        <v>118.74</v>
      </c>
    </row>
    <row r="166" spans="1:13" ht="26.1" customHeight="1">
      <c r="A166" s="89" t="s">
        <v>338</v>
      </c>
      <c r="B166" s="90" t="s">
        <v>109</v>
      </c>
      <c r="C166" s="89" t="s">
        <v>77</v>
      </c>
      <c r="D166" s="89" t="s">
        <v>110</v>
      </c>
      <c r="E166" s="91" t="s">
        <v>92</v>
      </c>
      <c r="F166" s="90">
        <v>12</v>
      </c>
      <c r="G166" s="190">
        <v>20.84</v>
      </c>
      <c r="H166" s="190">
        <v>11.8505</v>
      </c>
      <c r="I166" s="190">
        <v>14.519500000000001</v>
      </c>
      <c r="J166" s="92">
        <f t="shared" si="53"/>
        <v>26.37</v>
      </c>
      <c r="K166" s="92">
        <f t="shared" si="54"/>
        <v>142.19999999999999</v>
      </c>
      <c r="L166" s="92">
        <f t="shared" si="30"/>
        <v>174.24</v>
      </c>
      <c r="M166" s="92">
        <f t="shared" si="55"/>
        <v>316.44</v>
      </c>
    </row>
    <row r="167" spans="1:13" ht="26.1" customHeight="1">
      <c r="A167" s="89" t="s">
        <v>339</v>
      </c>
      <c r="B167" s="90" t="s">
        <v>265</v>
      </c>
      <c r="C167" s="89" t="s">
        <v>66</v>
      </c>
      <c r="D167" s="89" t="s">
        <v>266</v>
      </c>
      <c r="E167" s="91" t="s">
        <v>107</v>
      </c>
      <c r="F167" s="90">
        <v>50</v>
      </c>
      <c r="G167" s="190">
        <v>4.34</v>
      </c>
      <c r="H167" s="190">
        <v>1.44</v>
      </c>
      <c r="I167" s="190">
        <v>4.05</v>
      </c>
      <c r="J167" s="92">
        <f t="shared" si="53"/>
        <v>5.49</v>
      </c>
      <c r="K167" s="92">
        <f t="shared" si="54"/>
        <v>72</v>
      </c>
      <c r="L167" s="92">
        <f t="shared" si="30"/>
        <v>202.5</v>
      </c>
      <c r="M167" s="92">
        <f t="shared" si="55"/>
        <v>274.5</v>
      </c>
    </row>
    <row r="168" spans="1:13" ht="26.1" customHeight="1">
      <c r="A168" s="89" t="s">
        <v>340</v>
      </c>
      <c r="B168" s="90" t="s">
        <v>269</v>
      </c>
      <c r="C168" s="89" t="s">
        <v>77</v>
      </c>
      <c r="D168" s="89" t="s">
        <v>270</v>
      </c>
      <c r="E168" s="91" t="s">
        <v>79</v>
      </c>
      <c r="F168" s="90">
        <v>1</v>
      </c>
      <c r="G168" s="190">
        <v>14.01</v>
      </c>
      <c r="H168" s="190">
        <v>6.5835999999999997</v>
      </c>
      <c r="I168" s="190">
        <v>11.1464</v>
      </c>
      <c r="J168" s="92">
        <f t="shared" si="53"/>
        <v>17.73</v>
      </c>
      <c r="K168" s="92">
        <f t="shared" si="54"/>
        <v>6.58</v>
      </c>
      <c r="L168" s="92">
        <f t="shared" si="30"/>
        <v>11.15</v>
      </c>
      <c r="M168" s="92">
        <f t="shared" si="55"/>
        <v>17.73</v>
      </c>
    </row>
    <row r="169" spans="1:13" ht="26.1" customHeight="1">
      <c r="A169" s="89" t="s">
        <v>341</v>
      </c>
      <c r="B169" s="90" t="s">
        <v>342</v>
      </c>
      <c r="C169" s="89" t="s">
        <v>66</v>
      </c>
      <c r="D169" s="89" t="s">
        <v>343</v>
      </c>
      <c r="E169" s="91" t="s">
        <v>103</v>
      </c>
      <c r="F169" s="90">
        <v>1</v>
      </c>
      <c r="G169" s="190">
        <v>51</v>
      </c>
      <c r="H169" s="190">
        <v>30.65</v>
      </c>
      <c r="I169" s="190">
        <v>33.9</v>
      </c>
      <c r="J169" s="92">
        <f t="shared" si="53"/>
        <v>64.55</v>
      </c>
      <c r="K169" s="92">
        <f t="shared" si="54"/>
        <v>30.65</v>
      </c>
      <c r="L169" s="92">
        <f t="shared" si="30"/>
        <v>33.9</v>
      </c>
      <c r="M169" s="92">
        <f t="shared" si="55"/>
        <v>64.55</v>
      </c>
    </row>
    <row r="170" spans="1:13" ht="26.1" customHeight="1">
      <c r="A170" s="89" t="s">
        <v>344</v>
      </c>
      <c r="B170" s="90" t="s">
        <v>101</v>
      </c>
      <c r="C170" s="89" t="s">
        <v>66</v>
      </c>
      <c r="D170" s="89" t="s">
        <v>276</v>
      </c>
      <c r="E170" s="91" t="s">
        <v>103</v>
      </c>
      <c r="F170" s="90">
        <v>1</v>
      </c>
      <c r="G170" s="190">
        <v>20.12</v>
      </c>
      <c r="H170" s="190">
        <v>6.18</v>
      </c>
      <c r="I170" s="190">
        <v>19.28</v>
      </c>
      <c r="J170" s="92">
        <f t="shared" si="53"/>
        <v>25.46</v>
      </c>
      <c r="K170" s="92">
        <f t="shared" si="54"/>
        <v>6.18</v>
      </c>
      <c r="L170" s="92">
        <f t="shared" si="30"/>
        <v>19.28</v>
      </c>
      <c r="M170" s="92">
        <f t="shared" si="55"/>
        <v>25.46</v>
      </c>
    </row>
    <row r="171" spans="1:13" ht="26.1" customHeight="1">
      <c r="A171" s="89" t="s">
        <v>345</v>
      </c>
      <c r="B171" s="90" t="s">
        <v>346</v>
      </c>
      <c r="C171" s="89" t="s">
        <v>66</v>
      </c>
      <c r="D171" s="89" t="s">
        <v>347</v>
      </c>
      <c r="E171" s="91" t="s">
        <v>103</v>
      </c>
      <c r="F171" s="90">
        <v>1</v>
      </c>
      <c r="G171" s="190">
        <v>40.54</v>
      </c>
      <c r="H171" s="190">
        <v>18.93</v>
      </c>
      <c r="I171" s="190">
        <v>32.380000000000003</v>
      </c>
      <c r="J171" s="92">
        <f t="shared" si="53"/>
        <v>51.31</v>
      </c>
      <c r="K171" s="92">
        <f t="shared" si="54"/>
        <v>18.93</v>
      </c>
      <c r="L171" s="92">
        <f t="shared" si="30"/>
        <v>32.380000000000003</v>
      </c>
      <c r="M171" s="92">
        <f t="shared" si="55"/>
        <v>51.31</v>
      </c>
    </row>
    <row r="172" spans="1:13" ht="26.1" customHeight="1">
      <c r="A172" s="86" t="s">
        <v>348</v>
      </c>
      <c r="B172" s="86"/>
      <c r="C172" s="86"/>
      <c r="D172" s="86" t="s">
        <v>142</v>
      </c>
      <c r="E172" s="86"/>
      <c r="F172" s="87"/>
      <c r="G172" s="87"/>
      <c r="H172" s="86"/>
      <c r="I172" s="86"/>
      <c r="J172" s="86"/>
      <c r="K172" s="86"/>
      <c r="L172" s="86"/>
      <c r="M172" s="88">
        <f>SUBTOTAL(9,M173:M174)</f>
        <v>4389.6900000000005</v>
      </c>
    </row>
    <row r="173" spans="1:13" ht="26.1" customHeight="1">
      <c r="A173" s="89" t="s">
        <v>349</v>
      </c>
      <c r="B173" s="90" t="s">
        <v>144</v>
      </c>
      <c r="C173" s="89" t="s">
        <v>45</v>
      </c>
      <c r="D173" s="89" t="s">
        <v>145</v>
      </c>
      <c r="E173" s="91" t="s">
        <v>74</v>
      </c>
      <c r="F173" s="90">
        <v>1</v>
      </c>
      <c r="G173" s="190">
        <v>2203.16</v>
      </c>
      <c r="H173" s="190">
        <v>800.96</v>
      </c>
      <c r="I173" s="190">
        <v>1987.57</v>
      </c>
      <c r="J173" s="92">
        <f t="shared" ref="J173:J174" si="56">TRUNC(G173*(1+$H$2),2)</f>
        <v>2788.53</v>
      </c>
      <c r="K173" s="92">
        <f t="shared" ref="K173:K174" si="57">TRUNC(F173 * H173, 2)</f>
        <v>800.96</v>
      </c>
      <c r="L173" s="92">
        <f t="shared" si="30"/>
        <v>1987.5700000000002</v>
      </c>
      <c r="M173" s="92">
        <f t="shared" ref="M173:M174" si="58">TRUNC(F173 * J173, 2)</f>
        <v>2788.53</v>
      </c>
    </row>
    <row r="174" spans="1:13" ht="26.1" customHeight="1">
      <c r="A174" s="89" t="s">
        <v>350</v>
      </c>
      <c r="B174" s="90" t="s">
        <v>147</v>
      </c>
      <c r="C174" s="89" t="s">
        <v>45</v>
      </c>
      <c r="D174" s="89" t="s">
        <v>148</v>
      </c>
      <c r="E174" s="91" t="s">
        <v>74</v>
      </c>
      <c r="F174" s="90">
        <v>1</v>
      </c>
      <c r="G174" s="190">
        <v>1265.04</v>
      </c>
      <c r="H174" s="190">
        <v>1199.28</v>
      </c>
      <c r="I174" s="190">
        <v>401.88</v>
      </c>
      <c r="J174" s="92">
        <f t="shared" si="56"/>
        <v>1601.16</v>
      </c>
      <c r="K174" s="92">
        <f t="shared" si="57"/>
        <v>1199.28</v>
      </c>
      <c r="L174" s="92">
        <f t="shared" si="30"/>
        <v>401.88000000000011</v>
      </c>
      <c r="M174" s="92">
        <f t="shared" si="58"/>
        <v>1601.16</v>
      </c>
    </row>
    <row r="175" spans="1:13" ht="26.1" customHeight="1">
      <c r="A175" s="86" t="s">
        <v>351</v>
      </c>
      <c r="B175" s="86"/>
      <c r="C175" s="86"/>
      <c r="D175" s="86" t="s">
        <v>150</v>
      </c>
      <c r="E175" s="86"/>
      <c r="F175" s="87"/>
      <c r="G175" s="87"/>
      <c r="H175" s="86"/>
      <c r="I175" s="86"/>
      <c r="J175" s="86"/>
      <c r="K175" s="86"/>
      <c r="L175" s="86"/>
      <c r="M175" s="88">
        <f>SUBTOTAL(9,M176)</f>
        <v>2598.41</v>
      </c>
    </row>
    <row r="176" spans="1:13" ht="26.1" customHeight="1">
      <c r="A176" s="89" t="s">
        <v>352</v>
      </c>
      <c r="B176" s="90" t="s">
        <v>152</v>
      </c>
      <c r="C176" s="89" t="s">
        <v>45</v>
      </c>
      <c r="D176" s="89" t="s">
        <v>353</v>
      </c>
      <c r="E176" s="91" t="s">
        <v>74</v>
      </c>
      <c r="F176" s="90">
        <v>1</v>
      </c>
      <c r="G176" s="190">
        <v>2052.9499999999998</v>
      </c>
      <c r="H176" s="190">
        <v>2421.6</v>
      </c>
      <c r="I176" s="190">
        <v>176.81</v>
      </c>
      <c r="J176" s="92">
        <f t="shared" ref="J176" si="59">TRUNC(G176*(1+$H$2),2)</f>
        <v>2598.41</v>
      </c>
      <c r="K176" s="92">
        <f t="shared" ref="K176" si="60">TRUNC(F176 * H176, 2)</f>
        <v>2421.6</v>
      </c>
      <c r="L176" s="92">
        <f t="shared" si="30"/>
        <v>176.80999999999995</v>
      </c>
      <c r="M176" s="92">
        <f t="shared" ref="M176" si="61">TRUNC(F176 * J176, 2)</f>
        <v>2598.41</v>
      </c>
    </row>
    <row r="177" spans="1:16" ht="24" customHeight="1">
      <c r="A177" s="100">
        <v>7</v>
      </c>
      <c r="B177" s="100"/>
      <c r="C177" s="100"/>
      <c r="D177" s="100" t="s">
        <v>354</v>
      </c>
      <c r="E177" s="100"/>
      <c r="F177" s="101"/>
      <c r="G177" s="101"/>
      <c r="H177" s="100"/>
      <c r="I177" s="100"/>
      <c r="J177" s="100"/>
      <c r="K177" s="100"/>
      <c r="L177" s="100"/>
      <c r="M177" s="102">
        <f>SUBTOTAL(9,M178)</f>
        <v>3333.6</v>
      </c>
    </row>
    <row r="178" spans="1:16" ht="24" customHeight="1">
      <c r="A178" s="89" t="s">
        <v>355</v>
      </c>
      <c r="B178" s="90" t="s">
        <v>44</v>
      </c>
      <c r="C178" s="89" t="s">
        <v>45</v>
      </c>
      <c r="D178" s="89" t="s">
        <v>548</v>
      </c>
      <c r="E178" s="91" t="s">
        <v>46</v>
      </c>
      <c r="F178" s="90">
        <v>1</v>
      </c>
      <c r="G178" s="190">
        <f>1580.28+1053.52</f>
        <v>2633.8</v>
      </c>
      <c r="H178" s="190">
        <f>463.08+308.72</f>
        <v>771.8</v>
      </c>
      <c r="I178" s="190">
        <f>1537.08+1024.72</f>
        <v>2561.8000000000002</v>
      </c>
      <c r="J178" s="92">
        <f t="shared" ref="J178" si="62">TRUNC(G178*(1+$H$2),2)</f>
        <v>3333.6</v>
      </c>
      <c r="K178" s="92">
        <f t="shared" ref="K178" si="63">TRUNC(F178 * H178, 2)</f>
        <v>771.8</v>
      </c>
      <c r="L178" s="92">
        <f t="shared" si="30"/>
        <v>2561.8000000000002</v>
      </c>
      <c r="M178" s="92">
        <f t="shared" ref="M178" si="64">TRUNC(F178 * J178, 2)</f>
        <v>3333.6</v>
      </c>
    </row>
    <row r="179" spans="1:16" ht="15">
      <c r="A179" s="93"/>
      <c r="B179" s="93"/>
      <c r="C179" s="93"/>
      <c r="D179" s="93"/>
      <c r="E179" s="93"/>
      <c r="F179" s="93"/>
      <c r="G179" s="93"/>
      <c r="H179" s="93"/>
      <c r="I179" s="93"/>
      <c r="J179" s="93" t="s">
        <v>357</v>
      </c>
      <c r="K179" s="96">
        <f>SUM(K6:K178)</f>
        <v>160026.76999999999</v>
      </c>
      <c r="L179" s="96">
        <f>SUM(L6:L178)</f>
        <v>295542.42000000004</v>
      </c>
      <c r="M179" s="96">
        <f>SUBTOTAL(9,M6:M178)</f>
        <v>455569.18999999989</v>
      </c>
      <c r="N179" s="157">
        <f>M6+M9+M11+M55+M87+M120+M177</f>
        <v>455569.19000000006</v>
      </c>
      <c r="O179" s="104"/>
      <c r="P179" s="104"/>
    </row>
    <row r="180" spans="1:16">
      <c r="A180" s="94"/>
      <c r="B180" s="94"/>
      <c r="C180" s="94"/>
      <c r="D180" s="94"/>
      <c r="E180" s="94"/>
      <c r="F180" s="94"/>
      <c r="G180" s="94"/>
      <c r="H180" s="94"/>
      <c r="I180" s="94"/>
      <c r="J180" s="94"/>
      <c r="K180" s="94"/>
      <c r="L180" s="94"/>
      <c r="M180" s="94"/>
      <c r="N180" s="155"/>
    </row>
    <row r="181" spans="1:16" ht="15">
      <c r="A181" s="209"/>
      <c r="B181" s="209"/>
      <c r="C181" s="209"/>
      <c r="D181" s="95"/>
      <c r="E181" s="93"/>
      <c r="F181" s="93"/>
      <c r="G181" s="93"/>
      <c r="H181" s="93"/>
      <c r="I181" s="210" t="s">
        <v>358</v>
      </c>
      <c r="J181" s="209"/>
      <c r="K181" s="211">
        <f>M179*(1-$H$2)</f>
        <v>334524.45621699991</v>
      </c>
      <c r="L181" s="209"/>
      <c r="M181" s="209"/>
      <c r="N181" s="154">
        <f>M179*(1-$H$2)</f>
        <v>334524.45621699991</v>
      </c>
    </row>
    <row r="182" spans="1:16" ht="15">
      <c r="A182" s="209"/>
      <c r="B182" s="209"/>
      <c r="C182" s="209"/>
      <c r="D182" s="95"/>
      <c r="E182" s="93"/>
      <c r="F182" s="93"/>
      <c r="G182" s="93"/>
      <c r="H182" s="93"/>
      <c r="I182" s="210" t="s">
        <v>359</v>
      </c>
      <c r="J182" s="209"/>
      <c r="K182" s="211">
        <f>M179-K181</f>
        <v>121044.73378299997</v>
      </c>
      <c r="L182" s="209"/>
      <c r="M182" s="209"/>
      <c r="N182" s="154">
        <f>M179-N181</f>
        <v>121044.73378299997</v>
      </c>
    </row>
    <row r="183" spans="1:16">
      <c r="A183" s="209"/>
      <c r="B183" s="209"/>
      <c r="C183" s="209"/>
      <c r="D183" s="95"/>
      <c r="E183" s="93"/>
      <c r="F183" s="93"/>
      <c r="G183" s="93"/>
      <c r="H183" s="93"/>
      <c r="I183" s="210" t="s">
        <v>360</v>
      </c>
      <c r="J183" s="209"/>
      <c r="K183" s="211">
        <f>K181+K182</f>
        <v>455569.18999999989</v>
      </c>
      <c r="L183" s="209"/>
      <c r="M183" s="209"/>
      <c r="N183" s="156">
        <f>N181+N182</f>
        <v>455569.18999999989</v>
      </c>
    </row>
    <row r="184" spans="1:16" ht="60" customHeight="1">
      <c r="A184" s="155"/>
      <c r="B184" s="155"/>
      <c r="C184" s="155"/>
      <c r="D184" s="155"/>
      <c r="E184" s="155"/>
      <c r="F184" s="155"/>
      <c r="G184" s="155"/>
      <c r="H184" s="155"/>
      <c r="I184" s="155"/>
      <c r="J184" s="155"/>
      <c r="K184" s="155"/>
      <c r="L184" s="155"/>
      <c r="M184" s="155"/>
      <c r="N184" s="155"/>
    </row>
    <row r="185" spans="1:16" ht="69.95" customHeight="1"/>
  </sheetData>
  <sheetProtection algorithmName="SHA-512" hashValue="sXHyli+MMwizvcc+WSEQVZWcRfJwJs0UqcDi4XUttYTlqREL9gJjGefy0lmuN0zusrKxTS0a2cUwsFqkswT30w==" saltValue="JjPFCLVVLh34teo2VZvXgw==" spinCount="100000" sheet="1" objects="1" scenarios="1"/>
  <protectedRanges>
    <protectedRange sqref="G7:I178" name="Preço Unitário"/>
    <protectedRange sqref="H2" name="BDI"/>
  </protectedRanges>
  <mergeCells count="24">
    <mergeCell ref="E1:G1"/>
    <mergeCell ref="H1:J1"/>
    <mergeCell ref="K1:M1"/>
    <mergeCell ref="E2:G2"/>
    <mergeCell ref="K2:M2"/>
    <mergeCell ref="A3:M3"/>
    <mergeCell ref="A4:A5"/>
    <mergeCell ref="B4:B5"/>
    <mergeCell ref="C4:C5"/>
    <mergeCell ref="D4:D5"/>
    <mergeCell ref="E4:E5"/>
    <mergeCell ref="F4:F5"/>
    <mergeCell ref="G4:G5"/>
    <mergeCell ref="H4:J4"/>
    <mergeCell ref="K4:M4"/>
    <mergeCell ref="A183:C183"/>
    <mergeCell ref="I183:J183"/>
    <mergeCell ref="K183:M183"/>
    <mergeCell ref="A181:C181"/>
    <mergeCell ref="I181:J181"/>
    <mergeCell ref="K181:M181"/>
    <mergeCell ref="A182:C182"/>
    <mergeCell ref="I182:J182"/>
    <mergeCell ref="K182:M182"/>
  </mergeCells>
  <phoneticPr fontId="48" type="noConversion"/>
  <printOptions horizontalCentered="1" verticalCentered="1"/>
  <pageMargins left="0.51181102362204722" right="0.51181102362204722" top="0.98425196850393704" bottom="0.98425196850393704" header="0.51181102362204722" footer="0.51181102362204722"/>
  <pageSetup paperSize="9" scale="68" fitToHeight="0" orientation="landscape" r:id="rId1"/>
  <headerFooter>
    <oddHeader>&amp;L &amp;C &amp;R</oddHeader>
    <oddFooter>&amp;L &amp;C &amp;R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6FA9-DFC1-4FE0-BD50-BFB3E1B6D121}">
  <sheetPr>
    <pageSetUpPr fitToPage="1"/>
  </sheetPr>
  <dimension ref="A1:Y49"/>
  <sheetViews>
    <sheetView topLeftCell="A5" zoomScaleNormal="100" workbookViewId="0">
      <selection activeCell="K30" sqref="K30"/>
    </sheetView>
  </sheetViews>
  <sheetFormatPr defaultRowHeight="15"/>
  <cols>
    <col min="1" max="1" width="11.42578125" style="124" customWidth="1"/>
    <col min="2" max="2" width="10.140625" style="124" customWidth="1"/>
    <col min="3" max="3" width="17.42578125" style="124" customWidth="1"/>
    <col min="4" max="4" width="12.5703125" style="124" customWidth="1"/>
    <col min="5" max="5" width="12.140625" style="124" customWidth="1"/>
    <col min="6" max="6" width="13.5703125" style="124" customWidth="1"/>
    <col min="7" max="12" width="8.7109375" style="124" customWidth="1"/>
    <col min="13" max="13" width="10.28515625" style="124" customWidth="1"/>
    <col min="14" max="14" width="6.140625" style="124" customWidth="1"/>
    <col min="15" max="15" width="7.28515625" style="124" customWidth="1"/>
    <col min="16" max="16" width="8.7109375" style="124" customWidth="1"/>
    <col min="17" max="20" width="12.7109375" style="125" customWidth="1"/>
    <col min="21" max="22" width="10.7109375" style="125" customWidth="1"/>
    <col min="23" max="256" width="9.140625" style="125"/>
    <col min="257" max="257" width="11.42578125" style="125" customWidth="1"/>
    <col min="258" max="258" width="10.140625" style="125" customWidth="1"/>
    <col min="259" max="259" width="17.42578125" style="125" customWidth="1"/>
    <col min="260" max="260" width="12.5703125" style="125" customWidth="1"/>
    <col min="261" max="261" width="12.140625" style="125" customWidth="1"/>
    <col min="262" max="262" width="13.5703125" style="125" customWidth="1"/>
    <col min="263" max="268" width="8.7109375" style="125" customWidth="1"/>
    <col min="269" max="269" width="10.28515625" style="125" customWidth="1"/>
    <col min="270" max="270" width="6.140625" style="125" customWidth="1"/>
    <col min="271" max="271" width="7.28515625" style="125" customWidth="1"/>
    <col min="272" max="272" width="8.7109375" style="125" customWidth="1"/>
    <col min="273" max="276" width="12.7109375" style="125" customWidth="1"/>
    <col min="277" max="278" width="10.7109375" style="125" customWidth="1"/>
    <col min="279" max="512" width="9.140625" style="125"/>
    <col min="513" max="513" width="11.42578125" style="125" customWidth="1"/>
    <col min="514" max="514" width="10.140625" style="125" customWidth="1"/>
    <col min="515" max="515" width="17.42578125" style="125" customWidth="1"/>
    <col min="516" max="516" width="12.5703125" style="125" customWidth="1"/>
    <col min="517" max="517" width="12.140625" style="125" customWidth="1"/>
    <col min="518" max="518" width="13.5703125" style="125" customWidth="1"/>
    <col min="519" max="524" width="8.7109375" style="125" customWidth="1"/>
    <col min="525" max="525" width="10.28515625" style="125" customWidth="1"/>
    <col min="526" max="526" width="6.140625" style="125" customWidth="1"/>
    <col min="527" max="527" width="7.28515625" style="125" customWidth="1"/>
    <col min="528" max="528" width="8.7109375" style="125" customWidth="1"/>
    <col min="529" max="532" width="12.7109375" style="125" customWidth="1"/>
    <col min="533" max="534" width="10.7109375" style="125" customWidth="1"/>
    <col min="535" max="768" width="9.140625" style="125"/>
    <col min="769" max="769" width="11.42578125" style="125" customWidth="1"/>
    <col min="770" max="770" width="10.140625" style="125" customWidth="1"/>
    <col min="771" max="771" width="17.42578125" style="125" customWidth="1"/>
    <col min="772" max="772" width="12.5703125" style="125" customWidth="1"/>
    <col min="773" max="773" width="12.140625" style="125" customWidth="1"/>
    <col min="774" max="774" width="13.5703125" style="125" customWidth="1"/>
    <col min="775" max="780" width="8.7109375" style="125" customWidth="1"/>
    <col min="781" max="781" width="10.28515625" style="125" customWidth="1"/>
    <col min="782" max="782" width="6.140625" style="125" customWidth="1"/>
    <col min="783" max="783" width="7.28515625" style="125" customWidth="1"/>
    <col min="784" max="784" width="8.7109375" style="125" customWidth="1"/>
    <col min="785" max="788" width="12.7109375" style="125" customWidth="1"/>
    <col min="789" max="790" width="10.7109375" style="125" customWidth="1"/>
    <col min="791" max="1024" width="9.140625" style="125"/>
    <col min="1025" max="1025" width="11.42578125" style="125" customWidth="1"/>
    <col min="1026" max="1026" width="10.140625" style="125" customWidth="1"/>
    <col min="1027" max="1027" width="17.42578125" style="125" customWidth="1"/>
    <col min="1028" max="1028" width="12.5703125" style="125" customWidth="1"/>
    <col min="1029" max="1029" width="12.140625" style="125" customWidth="1"/>
    <col min="1030" max="1030" width="13.5703125" style="125" customWidth="1"/>
    <col min="1031" max="1036" width="8.7109375" style="125" customWidth="1"/>
    <col min="1037" max="1037" width="10.28515625" style="125" customWidth="1"/>
    <col min="1038" max="1038" width="6.140625" style="125" customWidth="1"/>
    <col min="1039" max="1039" width="7.28515625" style="125" customWidth="1"/>
    <col min="1040" max="1040" width="8.7109375" style="125" customWidth="1"/>
    <col min="1041" max="1044" width="12.7109375" style="125" customWidth="1"/>
    <col min="1045" max="1046" width="10.7109375" style="125" customWidth="1"/>
    <col min="1047" max="1280" width="9.140625" style="125"/>
    <col min="1281" max="1281" width="11.42578125" style="125" customWidth="1"/>
    <col min="1282" max="1282" width="10.140625" style="125" customWidth="1"/>
    <col min="1283" max="1283" width="17.42578125" style="125" customWidth="1"/>
    <col min="1284" max="1284" width="12.5703125" style="125" customWidth="1"/>
    <col min="1285" max="1285" width="12.140625" style="125" customWidth="1"/>
    <col min="1286" max="1286" width="13.5703125" style="125" customWidth="1"/>
    <col min="1287" max="1292" width="8.7109375" style="125" customWidth="1"/>
    <col min="1293" max="1293" width="10.28515625" style="125" customWidth="1"/>
    <col min="1294" max="1294" width="6.140625" style="125" customWidth="1"/>
    <col min="1295" max="1295" width="7.28515625" style="125" customWidth="1"/>
    <col min="1296" max="1296" width="8.7109375" style="125" customWidth="1"/>
    <col min="1297" max="1300" width="12.7109375" style="125" customWidth="1"/>
    <col min="1301" max="1302" width="10.7109375" style="125" customWidth="1"/>
    <col min="1303" max="1536" width="9.140625" style="125"/>
    <col min="1537" max="1537" width="11.42578125" style="125" customWidth="1"/>
    <col min="1538" max="1538" width="10.140625" style="125" customWidth="1"/>
    <col min="1539" max="1539" width="17.42578125" style="125" customWidth="1"/>
    <col min="1540" max="1540" width="12.5703125" style="125" customWidth="1"/>
    <col min="1541" max="1541" width="12.140625" style="125" customWidth="1"/>
    <col min="1542" max="1542" width="13.5703125" style="125" customWidth="1"/>
    <col min="1543" max="1548" width="8.7109375" style="125" customWidth="1"/>
    <col min="1549" max="1549" width="10.28515625" style="125" customWidth="1"/>
    <col min="1550" max="1550" width="6.140625" style="125" customWidth="1"/>
    <col min="1551" max="1551" width="7.28515625" style="125" customWidth="1"/>
    <col min="1552" max="1552" width="8.7109375" style="125" customWidth="1"/>
    <col min="1553" max="1556" width="12.7109375" style="125" customWidth="1"/>
    <col min="1557" max="1558" width="10.7109375" style="125" customWidth="1"/>
    <col min="1559" max="1792" width="9.140625" style="125"/>
    <col min="1793" max="1793" width="11.42578125" style="125" customWidth="1"/>
    <col min="1794" max="1794" width="10.140625" style="125" customWidth="1"/>
    <col min="1795" max="1795" width="17.42578125" style="125" customWidth="1"/>
    <col min="1796" max="1796" width="12.5703125" style="125" customWidth="1"/>
    <col min="1797" max="1797" width="12.140625" style="125" customWidth="1"/>
    <col min="1798" max="1798" width="13.5703125" style="125" customWidth="1"/>
    <col min="1799" max="1804" width="8.7109375" style="125" customWidth="1"/>
    <col min="1805" max="1805" width="10.28515625" style="125" customWidth="1"/>
    <col min="1806" max="1806" width="6.140625" style="125" customWidth="1"/>
    <col min="1807" max="1807" width="7.28515625" style="125" customWidth="1"/>
    <col min="1808" max="1808" width="8.7109375" style="125" customWidth="1"/>
    <col min="1809" max="1812" width="12.7109375" style="125" customWidth="1"/>
    <col min="1813" max="1814" width="10.7109375" style="125" customWidth="1"/>
    <col min="1815" max="2048" width="9.140625" style="125"/>
    <col min="2049" max="2049" width="11.42578125" style="125" customWidth="1"/>
    <col min="2050" max="2050" width="10.140625" style="125" customWidth="1"/>
    <col min="2051" max="2051" width="17.42578125" style="125" customWidth="1"/>
    <col min="2052" max="2052" width="12.5703125" style="125" customWidth="1"/>
    <col min="2053" max="2053" width="12.140625" style="125" customWidth="1"/>
    <col min="2054" max="2054" width="13.5703125" style="125" customWidth="1"/>
    <col min="2055" max="2060" width="8.7109375" style="125" customWidth="1"/>
    <col min="2061" max="2061" width="10.28515625" style="125" customWidth="1"/>
    <col min="2062" max="2062" width="6.140625" style="125" customWidth="1"/>
    <col min="2063" max="2063" width="7.28515625" style="125" customWidth="1"/>
    <col min="2064" max="2064" width="8.7109375" style="125" customWidth="1"/>
    <col min="2065" max="2068" width="12.7109375" style="125" customWidth="1"/>
    <col min="2069" max="2070" width="10.7109375" style="125" customWidth="1"/>
    <col min="2071" max="2304" width="9.140625" style="125"/>
    <col min="2305" max="2305" width="11.42578125" style="125" customWidth="1"/>
    <col min="2306" max="2306" width="10.140625" style="125" customWidth="1"/>
    <col min="2307" max="2307" width="17.42578125" style="125" customWidth="1"/>
    <col min="2308" max="2308" width="12.5703125" style="125" customWidth="1"/>
    <col min="2309" max="2309" width="12.140625" style="125" customWidth="1"/>
    <col min="2310" max="2310" width="13.5703125" style="125" customWidth="1"/>
    <col min="2311" max="2316" width="8.7109375" style="125" customWidth="1"/>
    <col min="2317" max="2317" width="10.28515625" style="125" customWidth="1"/>
    <col min="2318" max="2318" width="6.140625" style="125" customWidth="1"/>
    <col min="2319" max="2319" width="7.28515625" style="125" customWidth="1"/>
    <col min="2320" max="2320" width="8.7109375" style="125" customWidth="1"/>
    <col min="2321" max="2324" width="12.7109375" style="125" customWidth="1"/>
    <col min="2325" max="2326" width="10.7109375" style="125" customWidth="1"/>
    <col min="2327" max="2560" width="9.140625" style="125"/>
    <col min="2561" max="2561" width="11.42578125" style="125" customWidth="1"/>
    <col min="2562" max="2562" width="10.140625" style="125" customWidth="1"/>
    <col min="2563" max="2563" width="17.42578125" style="125" customWidth="1"/>
    <col min="2564" max="2564" width="12.5703125" style="125" customWidth="1"/>
    <col min="2565" max="2565" width="12.140625" style="125" customWidth="1"/>
    <col min="2566" max="2566" width="13.5703125" style="125" customWidth="1"/>
    <col min="2567" max="2572" width="8.7109375" style="125" customWidth="1"/>
    <col min="2573" max="2573" width="10.28515625" style="125" customWidth="1"/>
    <col min="2574" max="2574" width="6.140625" style="125" customWidth="1"/>
    <col min="2575" max="2575" width="7.28515625" style="125" customWidth="1"/>
    <col min="2576" max="2576" width="8.7109375" style="125" customWidth="1"/>
    <col min="2577" max="2580" width="12.7109375" style="125" customWidth="1"/>
    <col min="2581" max="2582" width="10.7109375" style="125" customWidth="1"/>
    <col min="2583" max="2816" width="9.140625" style="125"/>
    <col min="2817" max="2817" width="11.42578125" style="125" customWidth="1"/>
    <col min="2818" max="2818" width="10.140625" style="125" customWidth="1"/>
    <col min="2819" max="2819" width="17.42578125" style="125" customWidth="1"/>
    <col min="2820" max="2820" width="12.5703125" style="125" customWidth="1"/>
    <col min="2821" max="2821" width="12.140625" style="125" customWidth="1"/>
    <col min="2822" max="2822" width="13.5703125" style="125" customWidth="1"/>
    <col min="2823" max="2828" width="8.7109375" style="125" customWidth="1"/>
    <col min="2829" max="2829" width="10.28515625" style="125" customWidth="1"/>
    <col min="2830" max="2830" width="6.140625" style="125" customWidth="1"/>
    <col min="2831" max="2831" width="7.28515625" style="125" customWidth="1"/>
    <col min="2832" max="2832" width="8.7109375" style="125" customWidth="1"/>
    <col min="2833" max="2836" width="12.7109375" style="125" customWidth="1"/>
    <col min="2837" max="2838" width="10.7109375" style="125" customWidth="1"/>
    <col min="2839" max="3072" width="9.140625" style="125"/>
    <col min="3073" max="3073" width="11.42578125" style="125" customWidth="1"/>
    <col min="3074" max="3074" width="10.140625" style="125" customWidth="1"/>
    <col min="3075" max="3075" width="17.42578125" style="125" customWidth="1"/>
    <col min="3076" max="3076" width="12.5703125" style="125" customWidth="1"/>
    <col min="3077" max="3077" width="12.140625" style="125" customWidth="1"/>
    <col min="3078" max="3078" width="13.5703125" style="125" customWidth="1"/>
    <col min="3079" max="3084" width="8.7109375" style="125" customWidth="1"/>
    <col min="3085" max="3085" width="10.28515625" style="125" customWidth="1"/>
    <col min="3086" max="3086" width="6.140625" style="125" customWidth="1"/>
    <col min="3087" max="3087" width="7.28515625" style="125" customWidth="1"/>
    <col min="3088" max="3088" width="8.7109375" style="125" customWidth="1"/>
    <col min="3089" max="3092" width="12.7109375" style="125" customWidth="1"/>
    <col min="3093" max="3094" width="10.7109375" style="125" customWidth="1"/>
    <col min="3095" max="3328" width="9.140625" style="125"/>
    <col min="3329" max="3329" width="11.42578125" style="125" customWidth="1"/>
    <col min="3330" max="3330" width="10.140625" style="125" customWidth="1"/>
    <col min="3331" max="3331" width="17.42578125" style="125" customWidth="1"/>
    <col min="3332" max="3332" width="12.5703125" style="125" customWidth="1"/>
    <col min="3333" max="3333" width="12.140625" style="125" customWidth="1"/>
    <col min="3334" max="3334" width="13.5703125" style="125" customWidth="1"/>
    <col min="3335" max="3340" width="8.7109375" style="125" customWidth="1"/>
    <col min="3341" max="3341" width="10.28515625" style="125" customWidth="1"/>
    <col min="3342" max="3342" width="6.140625" style="125" customWidth="1"/>
    <col min="3343" max="3343" width="7.28515625" style="125" customWidth="1"/>
    <col min="3344" max="3344" width="8.7109375" style="125" customWidth="1"/>
    <col min="3345" max="3348" width="12.7109375" style="125" customWidth="1"/>
    <col min="3349" max="3350" width="10.7109375" style="125" customWidth="1"/>
    <col min="3351" max="3584" width="9.140625" style="125"/>
    <col min="3585" max="3585" width="11.42578125" style="125" customWidth="1"/>
    <col min="3586" max="3586" width="10.140625" style="125" customWidth="1"/>
    <col min="3587" max="3587" width="17.42578125" style="125" customWidth="1"/>
    <col min="3588" max="3588" width="12.5703125" style="125" customWidth="1"/>
    <col min="3589" max="3589" width="12.140625" style="125" customWidth="1"/>
    <col min="3590" max="3590" width="13.5703125" style="125" customWidth="1"/>
    <col min="3591" max="3596" width="8.7109375" style="125" customWidth="1"/>
    <col min="3597" max="3597" width="10.28515625" style="125" customWidth="1"/>
    <col min="3598" max="3598" width="6.140625" style="125" customWidth="1"/>
    <col min="3599" max="3599" width="7.28515625" style="125" customWidth="1"/>
    <col min="3600" max="3600" width="8.7109375" style="125" customWidth="1"/>
    <col min="3601" max="3604" width="12.7109375" style="125" customWidth="1"/>
    <col min="3605" max="3606" width="10.7109375" style="125" customWidth="1"/>
    <col min="3607" max="3840" width="9.140625" style="125"/>
    <col min="3841" max="3841" width="11.42578125" style="125" customWidth="1"/>
    <col min="3842" max="3842" width="10.140625" style="125" customWidth="1"/>
    <col min="3843" max="3843" width="17.42578125" style="125" customWidth="1"/>
    <col min="3844" max="3844" width="12.5703125" style="125" customWidth="1"/>
    <col min="3845" max="3845" width="12.140625" style="125" customWidth="1"/>
    <col min="3846" max="3846" width="13.5703125" style="125" customWidth="1"/>
    <col min="3847" max="3852" width="8.7109375" style="125" customWidth="1"/>
    <col min="3853" max="3853" width="10.28515625" style="125" customWidth="1"/>
    <col min="3854" max="3854" width="6.140625" style="125" customWidth="1"/>
    <col min="3855" max="3855" width="7.28515625" style="125" customWidth="1"/>
    <col min="3856" max="3856" width="8.7109375" style="125" customWidth="1"/>
    <col min="3857" max="3860" width="12.7109375" style="125" customWidth="1"/>
    <col min="3861" max="3862" width="10.7109375" style="125" customWidth="1"/>
    <col min="3863" max="4096" width="9.140625" style="125"/>
    <col min="4097" max="4097" width="11.42578125" style="125" customWidth="1"/>
    <col min="4098" max="4098" width="10.140625" style="125" customWidth="1"/>
    <col min="4099" max="4099" width="17.42578125" style="125" customWidth="1"/>
    <col min="4100" max="4100" width="12.5703125" style="125" customWidth="1"/>
    <col min="4101" max="4101" width="12.140625" style="125" customWidth="1"/>
    <col min="4102" max="4102" width="13.5703125" style="125" customWidth="1"/>
    <col min="4103" max="4108" width="8.7109375" style="125" customWidth="1"/>
    <col min="4109" max="4109" width="10.28515625" style="125" customWidth="1"/>
    <col min="4110" max="4110" width="6.140625" style="125" customWidth="1"/>
    <col min="4111" max="4111" width="7.28515625" style="125" customWidth="1"/>
    <col min="4112" max="4112" width="8.7109375" style="125" customWidth="1"/>
    <col min="4113" max="4116" width="12.7109375" style="125" customWidth="1"/>
    <col min="4117" max="4118" width="10.7109375" style="125" customWidth="1"/>
    <col min="4119" max="4352" width="9.140625" style="125"/>
    <col min="4353" max="4353" width="11.42578125" style="125" customWidth="1"/>
    <col min="4354" max="4354" width="10.140625" style="125" customWidth="1"/>
    <col min="4355" max="4355" width="17.42578125" style="125" customWidth="1"/>
    <col min="4356" max="4356" width="12.5703125" style="125" customWidth="1"/>
    <col min="4357" max="4357" width="12.140625" style="125" customWidth="1"/>
    <col min="4358" max="4358" width="13.5703125" style="125" customWidth="1"/>
    <col min="4359" max="4364" width="8.7109375" style="125" customWidth="1"/>
    <col min="4365" max="4365" width="10.28515625" style="125" customWidth="1"/>
    <col min="4366" max="4366" width="6.140625" style="125" customWidth="1"/>
    <col min="4367" max="4367" width="7.28515625" style="125" customWidth="1"/>
    <col min="4368" max="4368" width="8.7109375" style="125" customWidth="1"/>
    <col min="4369" max="4372" width="12.7109375" style="125" customWidth="1"/>
    <col min="4373" max="4374" width="10.7109375" style="125" customWidth="1"/>
    <col min="4375" max="4608" width="9.140625" style="125"/>
    <col min="4609" max="4609" width="11.42578125" style="125" customWidth="1"/>
    <col min="4610" max="4610" width="10.140625" style="125" customWidth="1"/>
    <col min="4611" max="4611" width="17.42578125" style="125" customWidth="1"/>
    <col min="4612" max="4612" width="12.5703125" style="125" customWidth="1"/>
    <col min="4613" max="4613" width="12.140625" style="125" customWidth="1"/>
    <col min="4614" max="4614" width="13.5703125" style="125" customWidth="1"/>
    <col min="4615" max="4620" width="8.7109375" style="125" customWidth="1"/>
    <col min="4621" max="4621" width="10.28515625" style="125" customWidth="1"/>
    <col min="4622" max="4622" width="6.140625" style="125" customWidth="1"/>
    <col min="4623" max="4623" width="7.28515625" style="125" customWidth="1"/>
    <col min="4624" max="4624" width="8.7109375" style="125" customWidth="1"/>
    <col min="4625" max="4628" width="12.7109375" style="125" customWidth="1"/>
    <col min="4629" max="4630" width="10.7109375" style="125" customWidth="1"/>
    <col min="4631" max="4864" width="9.140625" style="125"/>
    <col min="4865" max="4865" width="11.42578125" style="125" customWidth="1"/>
    <col min="4866" max="4866" width="10.140625" style="125" customWidth="1"/>
    <col min="4867" max="4867" width="17.42578125" style="125" customWidth="1"/>
    <col min="4868" max="4868" width="12.5703125" style="125" customWidth="1"/>
    <col min="4869" max="4869" width="12.140625" style="125" customWidth="1"/>
    <col min="4870" max="4870" width="13.5703125" style="125" customWidth="1"/>
    <col min="4871" max="4876" width="8.7109375" style="125" customWidth="1"/>
    <col min="4877" max="4877" width="10.28515625" style="125" customWidth="1"/>
    <col min="4878" max="4878" width="6.140625" style="125" customWidth="1"/>
    <col min="4879" max="4879" width="7.28515625" style="125" customWidth="1"/>
    <col min="4880" max="4880" width="8.7109375" style="125" customWidth="1"/>
    <col min="4881" max="4884" width="12.7109375" style="125" customWidth="1"/>
    <col min="4885" max="4886" width="10.7109375" style="125" customWidth="1"/>
    <col min="4887" max="5120" width="9.140625" style="125"/>
    <col min="5121" max="5121" width="11.42578125" style="125" customWidth="1"/>
    <col min="5122" max="5122" width="10.140625" style="125" customWidth="1"/>
    <col min="5123" max="5123" width="17.42578125" style="125" customWidth="1"/>
    <col min="5124" max="5124" width="12.5703125" style="125" customWidth="1"/>
    <col min="5125" max="5125" width="12.140625" style="125" customWidth="1"/>
    <col min="5126" max="5126" width="13.5703125" style="125" customWidth="1"/>
    <col min="5127" max="5132" width="8.7109375" style="125" customWidth="1"/>
    <col min="5133" max="5133" width="10.28515625" style="125" customWidth="1"/>
    <col min="5134" max="5134" width="6.140625" style="125" customWidth="1"/>
    <col min="5135" max="5135" width="7.28515625" style="125" customWidth="1"/>
    <col min="5136" max="5136" width="8.7109375" style="125" customWidth="1"/>
    <col min="5137" max="5140" width="12.7109375" style="125" customWidth="1"/>
    <col min="5141" max="5142" width="10.7109375" style="125" customWidth="1"/>
    <col min="5143" max="5376" width="9.140625" style="125"/>
    <col min="5377" max="5377" width="11.42578125" style="125" customWidth="1"/>
    <col min="5378" max="5378" width="10.140625" style="125" customWidth="1"/>
    <col min="5379" max="5379" width="17.42578125" style="125" customWidth="1"/>
    <col min="5380" max="5380" width="12.5703125" style="125" customWidth="1"/>
    <col min="5381" max="5381" width="12.140625" style="125" customWidth="1"/>
    <col min="5382" max="5382" width="13.5703125" style="125" customWidth="1"/>
    <col min="5383" max="5388" width="8.7109375" style="125" customWidth="1"/>
    <col min="5389" max="5389" width="10.28515625" style="125" customWidth="1"/>
    <col min="5390" max="5390" width="6.140625" style="125" customWidth="1"/>
    <col min="5391" max="5391" width="7.28515625" style="125" customWidth="1"/>
    <col min="5392" max="5392" width="8.7109375" style="125" customWidth="1"/>
    <col min="5393" max="5396" width="12.7109375" style="125" customWidth="1"/>
    <col min="5397" max="5398" width="10.7109375" style="125" customWidth="1"/>
    <col min="5399" max="5632" width="9.140625" style="125"/>
    <col min="5633" max="5633" width="11.42578125" style="125" customWidth="1"/>
    <col min="5634" max="5634" width="10.140625" style="125" customWidth="1"/>
    <col min="5635" max="5635" width="17.42578125" style="125" customWidth="1"/>
    <col min="5636" max="5636" width="12.5703125" style="125" customWidth="1"/>
    <col min="5637" max="5637" width="12.140625" style="125" customWidth="1"/>
    <col min="5638" max="5638" width="13.5703125" style="125" customWidth="1"/>
    <col min="5639" max="5644" width="8.7109375" style="125" customWidth="1"/>
    <col min="5645" max="5645" width="10.28515625" style="125" customWidth="1"/>
    <col min="5646" max="5646" width="6.140625" style="125" customWidth="1"/>
    <col min="5647" max="5647" width="7.28515625" style="125" customWidth="1"/>
    <col min="5648" max="5648" width="8.7109375" style="125" customWidth="1"/>
    <col min="5649" max="5652" width="12.7109375" style="125" customWidth="1"/>
    <col min="5653" max="5654" width="10.7109375" style="125" customWidth="1"/>
    <col min="5655" max="5888" width="9.140625" style="125"/>
    <col min="5889" max="5889" width="11.42578125" style="125" customWidth="1"/>
    <col min="5890" max="5890" width="10.140625" style="125" customWidth="1"/>
    <col min="5891" max="5891" width="17.42578125" style="125" customWidth="1"/>
    <col min="5892" max="5892" width="12.5703125" style="125" customWidth="1"/>
    <col min="5893" max="5893" width="12.140625" style="125" customWidth="1"/>
    <col min="5894" max="5894" width="13.5703125" style="125" customWidth="1"/>
    <col min="5895" max="5900" width="8.7109375" style="125" customWidth="1"/>
    <col min="5901" max="5901" width="10.28515625" style="125" customWidth="1"/>
    <col min="5902" max="5902" width="6.140625" style="125" customWidth="1"/>
    <col min="5903" max="5903" width="7.28515625" style="125" customWidth="1"/>
    <col min="5904" max="5904" width="8.7109375" style="125" customWidth="1"/>
    <col min="5905" max="5908" width="12.7109375" style="125" customWidth="1"/>
    <col min="5909" max="5910" width="10.7109375" style="125" customWidth="1"/>
    <col min="5911" max="6144" width="9.140625" style="125"/>
    <col min="6145" max="6145" width="11.42578125" style="125" customWidth="1"/>
    <col min="6146" max="6146" width="10.140625" style="125" customWidth="1"/>
    <col min="6147" max="6147" width="17.42578125" style="125" customWidth="1"/>
    <col min="6148" max="6148" width="12.5703125" style="125" customWidth="1"/>
    <col min="6149" max="6149" width="12.140625" style="125" customWidth="1"/>
    <col min="6150" max="6150" width="13.5703125" style="125" customWidth="1"/>
    <col min="6151" max="6156" width="8.7109375" style="125" customWidth="1"/>
    <col min="6157" max="6157" width="10.28515625" style="125" customWidth="1"/>
    <col min="6158" max="6158" width="6.140625" style="125" customWidth="1"/>
    <col min="6159" max="6159" width="7.28515625" style="125" customWidth="1"/>
    <col min="6160" max="6160" width="8.7109375" style="125" customWidth="1"/>
    <col min="6161" max="6164" width="12.7109375" style="125" customWidth="1"/>
    <col min="6165" max="6166" width="10.7109375" style="125" customWidth="1"/>
    <col min="6167" max="6400" width="9.140625" style="125"/>
    <col min="6401" max="6401" width="11.42578125" style="125" customWidth="1"/>
    <col min="6402" max="6402" width="10.140625" style="125" customWidth="1"/>
    <col min="6403" max="6403" width="17.42578125" style="125" customWidth="1"/>
    <col min="6404" max="6404" width="12.5703125" style="125" customWidth="1"/>
    <col min="6405" max="6405" width="12.140625" style="125" customWidth="1"/>
    <col min="6406" max="6406" width="13.5703125" style="125" customWidth="1"/>
    <col min="6407" max="6412" width="8.7109375" style="125" customWidth="1"/>
    <col min="6413" max="6413" width="10.28515625" style="125" customWidth="1"/>
    <col min="6414" max="6414" width="6.140625" style="125" customWidth="1"/>
    <col min="6415" max="6415" width="7.28515625" style="125" customWidth="1"/>
    <col min="6416" max="6416" width="8.7109375" style="125" customWidth="1"/>
    <col min="6417" max="6420" width="12.7109375" style="125" customWidth="1"/>
    <col min="6421" max="6422" width="10.7109375" style="125" customWidth="1"/>
    <col min="6423" max="6656" width="9.140625" style="125"/>
    <col min="6657" max="6657" width="11.42578125" style="125" customWidth="1"/>
    <col min="6658" max="6658" width="10.140625" style="125" customWidth="1"/>
    <col min="6659" max="6659" width="17.42578125" style="125" customWidth="1"/>
    <col min="6660" max="6660" width="12.5703125" style="125" customWidth="1"/>
    <col min="6661" max="6661" width="12.140625" style="125" customWidth="1"/>
    <col min="6662" max="6662" width="13.5703125" style="125" customWidth="1"/>
    <col min="6663" max="6668" width="8.7109375" style="125" customWidth="1"/>
    <col min="6669" max="6669" width="10.28515625" style="125" customWidth="1"/>
    <col min="6670" max="6670" width="6.140625" style="125" customWidth="1"/>
    <col min="6671" max="6671" width="7.28515625" style="125" customWidth="1"/>
    <col min="6672" max="6672" width="8.7109375" style="125" customWidth="1"/>
    <col min="6673" max="6676" width="12.7109375" style="125" customWidth="1"/>
    <col min="6677" max="6678" width="10.7109375" style="125" customWidth="1"/>
    <col min="6679" max="6912" width="9.140625" style="125"/>
    <col min="6913" max="6913" width="11.42578125" style="125" customWidth="1"/>
    <col min="6914" max="6914" width="10.140625" style="125" customWidth="1"/>
    <col min="6915" max="6915" width="17.42578125" style="125" customWidth="1"/>
    <col min="6916" max="6916" width="12.5703125" style="125" customWidth="1"/>
    <col min="6917" max="6917" width="12.140625" style="125" customWidth="1"/>
    <col min="6918" max="6918" width="13.5703125" style="125" customWidth="1"/>
    <col min="6919" max="6924" width="8.7109375" style="125" customWidth="1"/>
    <col min="6925" max="6925" width="10.28515625" style="125" customWidth="1"/>
    <col min="6926" max="6926" width="6.140625" style="125" customWidth="1"/>
    <col min="6927" max="6927" width="7.28515625" style="125" customWidth="1"/>
    <col min="6928" max="6928" width="8.7109375" style="125" customWidth="1"/>
    <col min="6929" max="6932" width="12.7109375" style="125" customWidth="1"/>
    <col min="6933" max="6934" width="10.7109375" style="125" customWidth="1"/>
    <col min="6935" max="7168" width="9.140625" style="125"/>
    <col min="7169" max="7169" width="11.42578125" style="125" customWidth="1"/>
    <col min="7170" max="7170" width="10.140625" style="125" customWidth="1"/>
    <col min="7171" max="7171" width="17.42578125" style="125" customWidth="1"/>
    <col min="7172" max="7172" width="12.5703125" style="125" customWidth="1"/>
    <col min="7173" max="7173" width="12.140625" style="125" customWidth="1"/>
    <col min="7174" max="7174" width="13.5703125" style="125" customWidth="1"/>
    <col min="7175" max="7180" width="8.7109375" style="125" customWidth="1"/>
    <col min="7181" max="7181" width="10.28515625" style="125" customWidth="1"/>
    <col min="7182" max="7182" width="6.140625" style="125" customWidth="1"/>
    <col min="7183" max="7183" width="7.28515625" style="125" customWidth="1"/>
    <col min="7184" max="7184" width="8.7109375" style="125" customWidth="1"/>
    <col min="7185" max="7188" width="12.7109375" style="125" customWidth="1"/>
    <col min="7189" max="7190" width="10.7109375" style="125" customWidth="1"/>
    <col min="7191" max="7424" width="9.140625" style="125"/>
    <col min="7425" max="7425" width="11.42578125" style="125" customWidth="1"/>
    <col min="7426" max="7426" width="10.140625" style="125" customWidth="1"/>
    <col min="7427" max="7427" width="17.42578125" style="125" customWidth="1"/>
    <col min="7428" max="7428" width="12.5703125" style="125" customWidth="1"/>
    <col min="7429" max="7429" width="12.140625" style="125" customWidth="1"/>
    <col min="7430" max="7430" width="13.5703125" style="125" customWidth="1"/>
    <col min="7431" max="7436" width="8.7109375" style="125" customWidth="1"/>
    <col min="7437" max="7437" width="10.28515625" style="125" customWidth="1"/>
    <col min="7438" max="7438" width="6.140625" style="125" customWidth="1"/>
    <col min="7439" max="7439" width="7.28515625" style="125" customWidth="1"/>
    <col min="7440" max="7440" width="8.7109375" style="125" customWidth="1"/>
    <col min="7441" max="7444" width="12.7109375" style="125" customWidth="1"/>
    <col min="7445" max="7446" width="10.7109375" style="125" customWidth="1"/>
    <col min="7447" max="7680" width="9.140625" style="125"/>
    <col min="7681" max="7681" width="11.42578125" style="125" customWidth="1"/>
    <col min="7682" max="7682" width="10.140625" style="125" customWidth="1"/>
    <col min="7683" max="7683" width="17.42578125" style="125" customWidth="1"/>
    <col min="7684" max="7684" width="12.5703125" style="125" customWidth="1"/>
    <col min="7685" max="7685" width="12.140625" style="125" customWidth="1"/>
    <col min="7686" max="7686" width="13.5703125" style="125" customWidth="1"/>
    <col min="7687" max="7692" width="8.7109375" style="125" customWidth="1"/>
    <col min="7693" max="7693" width="10.28515625" style="125" customWidth="1"/>
    <col min="7694" max="7694" width="6.140625" style="125" customWidth="1"/>
    <col min="7695" max="7695" width="7.28515625" style="125" customWidth="1"/>
    <col min="7696" max="7696" width="8.7109375" style="125" customWidth="1"/>
    <col min="7697" max="7700" width="12.7109375" style="125" customWidth="1"/>
    <col min="7701" max="7702" width="10.7109375" style="125" customWidth="1"/>
    <col min="7703" max="7936" width="9.140625" style="125"/>
    <col min="7937" max="7937" width="11.42578125" style="125" customWidth="1"/>
    <col min="7938" max="7938" width="10.140625" style="125" customWidth="1"/>
    <col min="7939" max="7939" width="17.42578125" style="125" customWidth="1"/>
    <col min="7940" max="7940" width="12.5703125" style="125" customWidth="1"/>
    <col min="7941" max="7941" width="12.140625" style="125" customWidth="1"/>
    <col min="7942" max="7942" width="13.5703125" style="125" customWidth="1"/>
    <col min="7943" max="7948" width="8.7109375" style="125" customWidth="1"/>
    <col min="7949" max="7949" width="10.28515625" style="125" customWidth="1"/>
    <col min="7950" max="7950" width="6.140625" style="125" customWidth="1"/>
    <col min="7951" max="7951" width="7.28515625" style="125" customWidth="1"/>
    <col min="7952" max="7952" width="8.7109375" style="125" customWidth="1"/>
    <col min="7953" max="7956" width="12.7109375" style="125" customWidth="1"/>
    <col min="7957" max="7958" width="10.7109375" style="125" customWidth="1"/>
    <col min="7959" max="8192" width="9.140625" style="125"/>
    <col min="8193" max="8193" width="11.42578125" style="125" customWidth="1"/>
    <col min="8194" max="8194" width="10.140625" style="125" customWidth="1"/>
    <col min="8195" max="8195" width="17.42578125" style="125" customWidth="1"/>
    <col min="8196" max="8196" width="12.5703125" style="125" customWidth="1"/>
    <col min="8197" max="8197" width="12.140625" style="125" customWidth="1"/>
    <col min="8198" max="8198" width="13.5703125" style="125" customWidth="1"/>
    <col min="8199" max="8204" width="8.7109375" style="125" customWidth="1"/>
    <col min="8205" max="8205" width="10.28515625" style="125" customWidth="1"/>
    <col min="8206" max="8206" width="6.140625" style="125" customWidth="1"/>
    <col min="8207" max="8207" width="7.28515625" style="125" customWidth="1"/>
    <col min="8208" max="8208" width="8.7109375" style="125" customWidth="1"/>
    <col min="8209" max="8212" width="12.7109375" style="125" customWidth="1"/>
    <col min="8213" max="8214" width="10.7109375" style="125" customWidth="1"/>
    <col min="8215" max="8448" width="9.140625" style="125"/>
    <col min="8449" max="8449" width="11.42578125" style="125" customWidth="1"/>
    <col min="8450" max="8450" width="10.140625" style="125" customWidth="1"/>
    <col min="8451" max="8451" width="17.42578125" style="125" customWidth="1"/>
    <col min="8452" max="8452" width="12.5703125" style="125" customWidth="1"/>
    <col min="8453" max="8453" width="12.140625" style="125" customWidth="1"/>
    <col min="8454" max="8454" width="13.5703125" style="125" customWidth="1"/>
    <col min="8455" max="8460" width="8.7109375" style="125" customWidth="1"/>
    <col min="8461" max="8461" width="10.28515625" style="125" customWidth="1"/>
    <col min="8462" max="8462" width="6.140625" style="125" customWidth="1"/>
    <col min="8463" max="8463" width="7.28515625" style="125" customWidth="1"/>
    <col min="8464" max="8464" width="8.7109375" style="125" customWidth="1"/>
    <col min="8465" max="8468" width="12.7109375" style="125" customWidth="1"/>
    <col min="8469" max="8470" width="10.7109375" style="125" customWidth="1"/>
    <col min="8471" max="8704" width="9.140625" style="125"/>
    <col min="8705" max="8705" width="11.42578125" style="125" customWidth="1"/>
    <col min="8706" max="8706" width="10.140625" style="125" customWidth="1"/>
    <col min="8707" max="8707" width="17.42578125" style="125" customWidth="1"/>
    <col min="8708" max="8708" width="12.5703125" style="125" customWidth="1"/>
    <col min="8709" max="8709" width="12.140625" style="125" customWidth="1"/>
    <col min="8710" max="8710" width="13.5703125" style="125" customWidth="1"/>
    <col min="8711" max="8716" width="8.7109375" style="125" customWidth="1"/>
    <col min="8717" max="8717" width="10.28515625" style="125" customWidth="1"/>
    <col min="8718" max="8718" width="6.140625" style="125" customWidth="1"/>
    <col min="8719" max="8719" width="7.28515625" style="125" customWidth="1"/>
    <col min="8720" max="8720" width="8.7109375" style="125" customWidth="1"/>
    <col min="8721" max="8724" width="12.7109375" style="125" customWidth="1"/>
    <col min="8725" max="8726" width="10.7109375" style="125" customWidth="1"/>
    <col min="8727" max="8960" width="9.140625" style="125"/>
    <col min="8961" max="8961" width="11.42578125" style="125" customWidth="1"/>
    <col min="8962" max="8962" width="10.140625" style="125" customWidth="1"/>
    <col min="8963" max="8963" width="17.42578125" style="125" customWidth="1"/>
    <col min="8964" max="8964" width="12.5703125" style="125" customWidth="1"/>
    <col min="8965" max="8965" width="12.140625" style="125" customWidth="1"/>
    <col min="8966" max="8966" width="13.5703125" style="125" customWidth="1"/>
    <col min="8967" max="8972" width="8.7109375" style="125" customWidth="1"/>
    <col min="8973" max="8973" width="10.28515625" style="125" customWidth="1"/>
    <col min="8974" max="8974" width="6.140625" style="125" customWidth="1"/>
    <col min="8975" max="8975" width="7.28515625" style="125" customWidth="1"/>
    <col min="8976" max="8976" width="8.7109375" style="125" customWidth="1"/>
    <col min="8977" max="8980" width="12.7109375" style="125" customWidth="1"/>
    <col min="8981" max="8982" width="10.7109375" style="125" customWidth="1"/>
    <col min="8983" max="9216" width="9.140625" style="125"/>
    <col min="9217" max="9217" width="11.42578125" style="125" customWidth="1"/>
    <col min="9218" max="9218" width="10.140625" style="125" customWidth="1"/>
    <col min="9219" max="9219" width="17.42578125" style="125" customWidth="1"/>
    <col min="9220" max="9220" width="12.5703125" style="125" customWidth="1"/>
    <col min="9221" max="9221" width="12.140625" style="125" customWidth="1"/>
    <col min="9222" max="9222" width="13.5703125" style="125" customWidth="1"/>
    <col min="9223" max="9228" width="8.7109375" style="125" customWidth="1"/>
    <col min="9229" max="9229" width="10.28515625" style="125" customWidth="1"/>
    <col min="9230" max="9230" width="6.140625" style="125" customWidth="1"/>
    <col min="9231" max="9231" width="7.28515625" style="125" customWidth="1"/>
    <col min="9232" max="9232" width="8.7109375" style="125" customWidth="1"/>
    <col min="9233" max="9236" width="12.7109375" style="125" customWidth="1"/>
    <col min="9237" max="9238" width="10.7109375" style="125" customWidth="1"/>
    <col min="9239" max="9472" width="9.140625" style="125"/>
    <col min="9473" max="9473" width="11.42578125" style="125" customWidth="1"/>
    <col min="9474" max="9474" width="10.140625" style="125" customWidth="1"/>
    <col min="9475" max="9475" width="17.42578125" style="125" customWidth="1"/>
    <col min="9476" max="9476" width="12.5703125" style="125" customWidth="1"/>
    <col min="9477" max="9477" width="12.140625" style="125" customWidth="1"/>
    <col min="9478" max="9478" width="13.5703125" style="125" customWidth="1"/>
    <col min="9479" max="9484" width="8.7109375" style="125" customWidth="1"/>
    <col min="9485" max="9485" width="10.28515625" style="125" customWidth="1"/>
    <col min="9486" max="9486" width="6.140625" style="125" customWidth="1"/>
    <col min="9487" max="9487" width="7.28515625" style="125" customWidth="1"/>
    <col min="9488" max="9488" width="8.7109375" style="125" customWidth="1"/>
    <col min="9489" max="9492" width="12.7109375" style="125" customWidth="1"/>
    <col min="9493" max="9494" width="10.7109375" style="125" customWidth="1"/>
    <col min="9495" max="9728" width="9.140625" style="125"/>
    <col min="9729" max="9729" width="11.42578125" style="125" customWidth="1"/>
    <col min="9730" max="9730" width="10.140625" style="125" customWidth="1"/>
    <col min="9731" max="9731" width="17.42578125" style="125" customWidth="1"/>
    <col min="9732" max="9732" width="12.5703125" style="125" customWidth="1"/>
    <col min="9733" max="9733" width="12.140625" style="125" customWidth="1"/>
    <col min="9734" max="9734" width="13.5703125" style="125" customWidth="1"/>
    <col min="9735" max="9740" width="8.7109375" style="125" customWidth="1"/>
    <col min="9741" max="9741" width="10.28515625" style="125" customWidth="1"/>
    <col min="9742" max="9742" width="6.140625" style="125" customWidth="1"/>
    <col min="9743" max="9743" width="7.28515625" style="125" customWidth="1"/>
    <col min="9744" max="9744" width="8.7109375" style="125" customWidth="1"/>
    <col min="9745" max="9748" width="12.7109375" style="125" customWidth="1"/>
    <col min="9749" max="9750" width="10.7109375" style="125" customWidth="1"/>
    <col min="9751" max="9984" width="9.140625" style="125"/>
    <col min="9985" max="9985" width="11.42578125" style="125" customWidth="1"/>
    <col min="9986" max="9986" width="10.140625" style="125" customWidth="1"/>
    <col min="9987" max="9987" width="17.42578125" style="125" customWidth="1"/>
    <col min="9988" max="9988" width="12.5703125" style="125" customWidth="1"/>
    <col min="9989" max="9989" width="12.140625" style="125" customWidth="1"/>
    <col min="9990" max="9990" width="13.5703125" style="125" customWidth="1"/>
    <col min="9991" max="9996" width="8.7109375" style="125" customWidth="1"/>
    <col min="9997" max="9997" width="10.28515625" style="125" customWidth="1"/>
    <col min="9998" max="9998" width="6.140625" style="125" customWidth="1"/>
    <col min="9999" max="9999" width="7.28515625" style="125" customWidth="1"/>
    <col min="10000" max="10000" width="8.7109375" style="125" customWidth="1"/>
    <col min="10001" max="10004" width="12.7109375" style="125" customWidth="1"/>
    <col min="10005" max="10006" width="10.7109375" style="125" customWidth="1"/>
    <col min="10007" max="10240" width="9.140625" style="125"/>
    <col min="10241" max="10241" width="11.42578125" style="125" customWidth="1"/>
    <col min="10242" max="10242" width="10.140625" style="125" customWidth="1"/>
    <col min="10243" max="10243" width="17.42578125" style="125" customWidth="1"/>
    <col min="10244" max="10244" width="12.5703125" style="125" customWidth="1"/>
    <col min="10245" max="10245" width="12.140625" style="125" customWidth="1"/>
    <col min="10246" max="10246" width="13.5703125" style="125" customWidth="1"/>
    <col min="10247" max="10252" width="8.7109375" style="125" customWidth="1"/>
    <col min="10253" max="10253" width="10.28515625" style="125" customWidth="1"/>
    <col min="10254" max="10254" width="6.140625" style="125" customWidth="1"/>
    <col min="10255" max="10255" width="7.28515625" style="125" customWidth="1"/>
    <col min="10256" max="10256" width="8.7109375" style="125" customWidth="1"/>
    <col min="10257" max="10260" width="12.7109375" style="125" customWidth="1"/>
    <col min="10261" max="10262" width="10.7109375" style="125" customWidth="1"/>
    <col min="10263" max="10496" width="9.140625" style="125"/>
    <col min="10497" max="10497" width="11.42578125" style="125" customWidth="1"/>
    <col min="10498" max="10498" width="10.140625" style="125" customWidth="1"/>
    <col min="10499" max="10499" width="17.42578125" style="125" customWidth="1"/>
    <col min="10500" max="10500" width="12.5703125" style="125" customWidth="1"/>
    <col min="10501" max="10501" width="12.140625" style="125" customWidth="1"/>
    <col min="10502" max="10502" width="13.5703125" style="125" customWidth="1"/>
    <col min="10503" max="10508" width="8.7109375" style="125" customWidth="1"/>
    <col min="10509" max="10509" width="10.28515625" style="125" customWidth="1"/>
    <col min="10510" max="10510" width="6.140625" style="125" customWidth="1"/>
    <col min="10511" max="10511" width="7.28515625" style="125" customWidth="1"/>
    <col min="10512" max="10512" width="8.7109375" style="125" customWidth="1"/>
    <col min="10513" max="10516" width="12.7109375" style="125" customWidth="1"/>
    <col min="10517" max="10518" width="10.7109375" style="125" customWidth="1"/>
    <col min="10519" max="10752" width="9.140625" style="125"/>
    <col min="10753" max="10753" width="11.42578125" style="125" customWidth="1"/>
    <col min="10754" max="10754" width="10.140625" style="125" customWidth="1"/>
    <col min="10755" max="10755" width="17.42578125" style="125" customWidth="1"/>
    <col min="10756" max="10756" width="12.5703125" style="125" customWidth="1"/>
    <col min="10757" max="10757" width="12.140625" style="125" customWidth="1"/>
    <col min="10758" max="10758" width="13.5703125" style="125" customWidth="1"/>
    <col min="10759" max="10764" width="8.7109375" style="125" customWidth="1"/>
    <col min="10765" max="10765" width="10.28515625" style="125" customWidth="1"/>
    <col min="10766" max="10766" width="6.140625" style="125" customWidth="1"/>
    <col min="10767" max="10767" width="7.28515625" style="125" customWidth="1"/>
    <col min="10768" max="10768" width="8.7109375" style="125" customWidth="1"/>
    <col min="10769" max="10772" width="12.7109375" style="125" customWidth="1"/>
    <col min="10773" max="10774" width="10.7109375" style="125" customWidth="1"/>
    <col min="10775" max="11008" width="9.140625" style="125"/>
    <col min="11009" max="11009" width="11.42578125" style="125" customWidth="1"/>
    <col min="11010" max="11010" width="10.140625" style="125" customWidth="1"/>
    <col min="11011" max="11011" width="17.42578125" style="125" customWidth="1"/>
    <col min="11012" max="11012" width="12.5703125" style="125" customWidth="1"/>
    <col min="11013" max="11013" width="12.140625" style="125" customWidth="1"/>
    <col min="11014" max="11014" width="13.5703125" style="125" customWidth="1"/>
    <col min="11015" max="11020" width="8.7109375" style="125" customWidth="1"/>
    <col min="11021" max="11021" width="10.28515625" style="125" customWidth="1"/>
    <col min="11022" max="11022" width="6.140625" style="125" customWidth="1"/>
    <col min="11023" max="11023" width="7.28515625" style="125" customWidth="1"/>
    <col min="11024" max="11024" width="8.7109375" style="125" customWidth="1"/>
    <col min="11025" max="11028" width="12.7109375" style="125" customWidth="1"/>
    <col min="11029" max="11030" width="10.7109375" style="125" customWidth="1"/>
    <col min="11031" max="11264" width="9.140625" style="125"/>
    <col min="11265" max="11265" width="11.42578125" style="125" customWidth="1"/>
    <col min="11266" max="11266" width="10.140625" style="125" customWidth="1"/>
    <col min="11267" max="11267" width="17.42578125" style="125" customWidth="1"/>
    <col min="11268" max="11268" width="12.5703125" style="125" customWidth="1"/>
    <col min="11269" max="11269" width="12.140625" style="125" customWidth="1"/>
    <col min="11270" max="11270" width="13.5703125" style="125" customWidth="1"/>
    <col min="11271" max="11276" width="8.7109375" style="125" customWidth="1"/>
    <col min="11277" max="11277" width="10.28515625" style="125" customWidth="1"/>
    <col min="11278" max="11278" width="6.140625" style="125" customWidth="1"/>
    <col min="11279" max="11279" width="7.28515625" style="125" customWidth="1"/>
    <col min="11280" max="11280" width="8.7109375" style="125" customWidth="1"/>
    <col min="11281" max="11284" width="12.7109375" style="125" customWidth="1"/>
    <col min="11285" max="11286" width="10.7109375" style="125" customWidth="1"/>
    <col min="11287" max="11520" width="9.140625" style="125"/>
    <col min="11521" max="11521" width="11.42578125" style="125" customWidth="1"/>
    <col min="11522" max="11522" width="10.140625" style="125" customWidth="1"/>
    <col min="11523" max="11523" width="17.42578125" style="125" customWidth="1"/>
    <col min="11524" max="11524" width="12.5703125" style="125" customWidth="1"/>
    <col min="11525" max="11525" width="12.140625" style="125" customWidth="1"/>
    <col min="11526" max="11526" width="13.5703125" style="125" customWidth="1"/>
    <col min="11527" max="11532" width="8.7109375" style="125" customWidth="1"/>
    <col min="11533" max="11533" width="10.28515625" style="125" customWidth="1"/>
    <col min="11534" max="11534" width="6.140625" style="125" customWidth="1"/>
    <col min="11535" max="11535" width="7.28515625" style="125" customWidth="1"/>
    <col min="11536" max="11536" width="8.7109375" style="125" customWidth="1"/>
    <col min="11537" max="11540" width="12.7109375" style="125" customWidth="1"/>
    <col min="11541" max="11542" width="10.7109375" style="125" customWidth="1"/>
    <col min="11543" max="11776" width="9.140625" style="125"/>
    <col min="11777" max="11777" width="11.42578125" style="125" customWidth="1"/>
    <col min="11778" max="11778" width="10.140625" style="125" customWidth="1"/>
    <col min="11779" max="11779" width="17.42578125" style="125" customWidth="1"/>
    <col min="11780" max="11780" width="12.5703125" style="125" customWidth="1"/>
    <col min="11781" max="11781" width="12.140625" style="125" customWidth="1"/>
    <col min="11782" max="11782" width="13.5703125" style="125" customWidth="1"/>
    <col min="11783" max="11788" width="8.7109375" style="125" customWidth="1"/>
    <col min="11789" max="11789" width="10.28515625" style="125" customWidth="1"/>
    <col min="11790" max="11790" width="6.140625" style="125" customWidth="1"/>
    <col min="11791" max="11791" width="7.28515625" style="125" customWidth="1"/>
    <col min="11792" max="11792" width="8.7109375" style="125" customWidth="1"/>
    <col min="11793" max="11796" width="12.7109375" style="125" customWidth="1"/>
    <col min="11797" max="11798" width="10.7109375" style="125" customWidth="1"/>
    <col min="11799" max="12032" width="9.140625" style="125"/>
    <col min="12033" max="12033" width="11.42578125" style="125" customWidth="1"/>
    <col min="12034" max="12034" width="10.140625" style="125" customWidth="1"/>
    <col min="12035" max="12035" width="17.42578125" style="125" customWidth="1"/>
    <col min="12036" max="12036" width="12.5703125" style="125" customWidth="1"/>
    <col min="12037" max="12037" width="12.140625" style="125" customWidth="1"/>
    <col min="12038" max="12038" width="13.5703125" style="125" customWidth="1"/>
    <col min="12039" max="12044" width="8.7109375" style="125" customWidth="1"/>
    <col min="12045" max="12045" width="10.28515625" style="125" customWidth="1"/>
    <col min="12046" max="12046" width="6.140625" style="125" customWidth="1"/>
    <col min="12047" max="12047" width="7.28515625" style="125" customWidth="1"/>
    <col min="12048" max="12048" width="8.7109375" style="125" customWidth="1"/>
    <col min="12049" max="12052" width="12.7109375" style="125" customWidth="1"/>
    <col min="12053" max="12054" width="10.7109375" style="125" customWidth="1"/>
    <col min="12055" max="12288" width="9.140625" style="125"/>
    <col min="12289" max="12289" width="11.42578125" style="125" customWidth="1"/>
    <col min="12290" max="12290" width="10.140625" style="125" customWidth="1"/>
    <col min="12291" max="12291" width="17.42578125" style="125" customWidth="1"/>
    <col min="12292" max="12292" width="12.5703125" style="125" customWidth="1"/>
    <col min="12293" max="12293" width="12.140625" style="125" customWidth="1"/>
    <col min="12294" max="12294" width="13.5703125" style="125" customWidth="1"/>
    <col min="12295" max="12300" width="8.7109375" style="125" customWidth="1"/>
    <col min="12301" max="12301" width="10.28515625" style="125" customWidth="1"/>
    <col min="12302" max="12302" width="6.140625" style="125" customWidth="1"/>
    <col min="12303" max="12303" width="7.28515625" style="125" customWidth="1"/>
    <col min="12304" max="12304" width="8.7109375" style="125" customWidth="1"/>
    <col min="12305" max="12308" width="12.7109375" style="125" customWidth="1"/>
    <col min="12309" max="12310" width="10.7109375" style="125" customWidth="1"/>
    <col min="12311" max="12544" width="9.140625" style="125"/>
    <col min="12545" max="12545" width="11.42578125" style="125" customWidth="1"/>
    <col min="12546" max="12546" width="10.140625" style="125" customWidth="1"/>
    <col min="12547" max="12547" width="17.42578125" style="125" customWidth="1"/>
    <col min="12548" max="12548" width="12.5703125" style="125" customWidth="1"/>
    <col min="12549" max="12549" width="12.140625" style="125" customWidth="1"/>
    <col min="12550" max="12550" width="13.5703125" style="125" customWidth="1"/>
    <col min="12551" max="12556" width="8.7109375" style="125" customWidth="1"/>
    <col min="12557" max="12557" width="10.28515625" style="125" customWidth="1"/>
    <col min="12558" max="12558" width="6.140625" style="125" customWidth="1"/>
    <col min="12559" max="12559" width="7.28515625" style="125" customWidth="1"/>
    <col min="12560" max="12560" width="8.7109375" style="125" customWidth="1"/>
    <col min="12561" max="12564" width="12.7109375" style="125" customWidth="1"/>
    <col min="12565" max="12566" width="10.7109375" style="125" customWidth="1"/>
    <col min="12567" max="12800" width="9.140625" style="125"/>
    <col min="12801" max="12801" width="11.42578125" style="125" customWidth="1"/>
    <col min="12802" max="12802" width="10.140625" style="125" customWidth="1"/>
    <col min="12803" max="12803" width="17.42578125" style="125" customWidth="1"/>
    <col min="12804" max="12804" width="12.5703125" style="125" customWidth="1"/>
    <col min="12805" max="12805" width="12.140625" style="125" customWidth="1"/>
    <col min="12806" max="12806" width="13.5703125" style="125" customWidth="1"/>
    <col min="12807" max="12812" width="8.7109375" style="125" customWidth="1"/>
    <col min="12813" max="12813" width="10.28515625" style="125" customWidth="1"/>
    <col min="12814" max="12814" width="6.140625" style="125" customWidth="1"/>
    <col min="12815" max="12815" width="7.28515625" style="125" customWidth="1"/>
    <col min="12816" max="12816" width="8.7109375" style="125" customWidth="1"/>
    <col min="12817" max="12820" width="12.7109375" style="125" customWidth="1"/>
    <col min="12821" max="12822" width="10.7109375" style="125" customWidth="1"/>
    <col min="12823" max="13056" width="9.140625" style="125"/>
    <col min="13057" max="13057" width="11.42578125" style="125" customWidth="1"/>
    <col min="13058" max="13058" width="10.140625" style="125" customWidth="1"/>
    <col min="13059" max="13059" width="17.42578125" style="125" customWidth="1"/>
    <col min="13060" max="13060" width="12.5703125" style="125" customWidth="1"/>
    <col min="13061" max="13061" width="12.140625" style="125" customWidth="1"/>
    <col min="13062" max="13062" width="13.5703125" style="125" customWidth="1"/>
    <col min="13063" max="13068" width="8.7109375" style="125" customWidth="1"/>
    <col min="13069" max="13069" width="10.28515625" style="125" customWidth="1"/>
    <col min="13070" max="13070" width="6.140625" style="125" customWidth="1"/>
    <col min="13071" max="13071" width="7.28515625" style="125" customWidth="1"/>
    <col min="13072" max="13072" width="8.7109375" style="125" customWidth="1"/>
    <col min="13073" max="13076" width="12.7109375" style="125" customWidth="1"/>
    <col min="13077" max="13078" width="10.7109375" style="125" customWidth="1"/>
    <col min="13079" max="13312" width="9.140625" style="125"/>
    <col min="13313" max="13313" width="11.42578125" style="125" customWidth="1"/>
    <col min="13314" max="13314" width="10.140625" style="125" customWidth="1"/>
    <col min="13315" max="13315" width="17.42578125" style="125" customWidth="1"/>
    <col min="13316" max="13316" width="12.5703125" style="125" customWidth="1"/>
    <col min="13317" max="13317" width="12.140625" style="125" customWidth="1"/>
    <col min="13318" max="13318" width="13.5703125" style="125" customWidth="1"/>
    <col min="13319" max="13324" width="8.7109375" style="125" customWidth="1"/>
    <col min="13325" max="13325" width="10.28515625" style="125" customWidth="1"/>
    <col min="13326" max="13326" width="6.140625" style="125" customWidth="1"/>
    <col min="13327" max="13327" width="7.28515625" style="125" customWidth="1"/>
    <col min="13328" max="13328" width="8.7109375" style="125" customWidth="1"/>
    <col min="13329" max="13332" width="12.7109375" style="125" customWidth="1"/>
    <col min="13333" max="13334" width="10.7109375" style="125" customWidth="1"/>
    <col min="13335" max="13568" width="9.140625" style="125"/>
    <col min="13569" max="13569" width="11.42578125" style="125" customWidth="1"/>
    <col min="13570" max="13570" width="10.140625" style="125" customWidth="1"/>
    <col min="13571" max="13571" width="17.42578125" style="125" customWidth="1"/>
    <col min="13572" max="13572" width="12.5703125" style="125" customWidth="1"/>
    <col min="13573" max="13573" width="12.140625" style="125" customWidth="1"/>
    <col min="13574" max="13574" width="13.5703125" style="125" customWidth="1"/>
    <col min="13575" max="13580" width="8.7109375" style="125" customWidth="1"/>
    <col min="13581" max="13581" width="10.28515625" style="125" customWidth="1"/>
    <col min="13582" max="13582" width="6.140625" style="125" customWidth="1"/>
    <col min="13583" max="13583" width="7.28515625" style="125" customWidth="1"/>
    <col min="13584" max="13584" width="8.7109375" style="125" customWidth="1"/>
    <col min="13585" max="13588" width="12.7109375" style="125" customWidth="1"/>
    <col min="13589" max="13590" width="10.7109375" style="125" customWidth="1"/>
    <col min="13591" max="13824" width="9.140625" style="125"/>
    <col min="13825" max="13825" width="11.42578125" style="125" customWidth="1"/>
    <col min="13826" max="13826" width="10.140625" style="125" customWidth="1"/>
    <col min="13827" max="13827" width="17.42578125" style="125" customWidth="1"/>
    <col min="13828" max="13828" width="12.5703125" style="125" customWidth="1"/>
    <col min="13829" max="13829" width="12.140625" style="125" customWidth="1"/>
    <col min="13830" max="13830" width="13.5703125" style="125" customWidth="1"/>
    <col min="13831" max="13836" width="8.7109375" style="125" customWidth="1"/>
    <col min="13837" max="13837" width="10.28515625" style="125" customWidth="1"/>
    <col min="13838" max="13838" width="6.140625" style="125" customWidth="1"/>
    <col min="13839" max="13839" width="7.28515625" style="125" customWidth="1"/>
    <col min="13840" max="13840" width="8.7109375" style="125" customWidth="1"/>
    <col min="13841" max="13844" width="12.7109375" style="125" customWidth="1"/>
    <col min="13845" max="13846" width="10.7109375" style="125" customWidth="1"/>
    <col min="13847" max="14080" width="9.140625" style="125"/>
    <col min="14081" max="14081" width="11.42578125" style="125" customWidth="1"/>
    <col min="14082" max="14082" width="10.140625" style="125" customWidth="1"/>
    <col min="14083" max="14083" width="17.42578125" style="125" customWidth="1"/>
    <col min="14084" max="14084" width="12.5703125" style="125" customWidth="1"/>
    <col min="14085" max="14085" width="12.140625" style="125" customWidth="1"/>
    <col min="14086" max="14086" width="13.5703125" style="125" customWidth="1"/>
    <col min="14087" max="14092" width="8.7109375" style="125" customWidth="1"/>
    <col min="14093" max="14093" width="10.28515625" style="125" customWidth="1"/>
    <col min="14094" max="14094" width="6.140625" style="125" customWidth="1"/>
    <col min="14095" max="14095" width="7.28515625" style="125" customWidth="1"/>
    <col min="14096" max="14096" width="8.7109375" style="125" customWidth="1"/>
    <col min="14097" max="14100" width="12.7109375" style="125" customWidth="1"/>
    <col min="14101" max="14102" width="10.7109375" style="125" customWidth="1"/>
    <col min="14103" max="14336" width="9.140625" style="125"/>
    <col min="14337" max="14337" width="11.42578125" style="125" customWidth="1"/>
    <col min="14338" max="14338" width="10.140625" style="125" customWidth="1"/>
    <col min="14339" max="14339" width="17.42578125" style="125" customWidth="1"/>
    <col min="14340" max="14340" width="12.5703125" style="125" customWidth="1"/>
    <col min="14341" max="14341" width="12.140625" style="125" customWidth="1"/>
    <col min="14342" max="14342" width="13.5703125" style="125" customWidth="1"/>
    <col min="14343" max="14348" width="8.7109375" style="125" customWidth="1"/>
    <col min="14349" max="14349" width="10.28515625" style="125" customWidth="1"/>
    <col min="14350" max="14350" width="6.140625" style="125" customWidth="1"/>
    <col min="14351" max="14351" width="7.28515625" style="125" customWidth="1"/>
    <col min="14352" max="14352" width="8.7109375" style="125" customWidth="1"/>
    <col min="14353" max="14356" width="12.7109375" style="125" customWidth="1"/>
    <col min="14357" max="14358" width="10.7109375" style="125" customWidth="1"/>
    <col min="14359" max="14592" width="9.140625" style="125"/>
    <col min="14593" max="14593" width="11.42578125" style="125" customWidth="1"/>
    <col min="14594" max="14594" width="10.140625" style="125" customWidth="1"/>
    <col min="14595" max="14595" width="17.42578125" style="125" customWidth="1"/>
    <col min="14596" max="14596" width="12.5703125" style="125" customWidth="1"/>
    <col min="14597" max="14597" width="12.140625" style="125" customWidth="1"/>
    <col min="14598" max="14598" width="13.5703125" style="125" customWidth="1"/>
    <col min="14599" max="14604" width="8.7109375" style="125" customWidth="1"/>
    <col min="14605" max="14605" width="10.28515625" style="125" customWidth="1"/>
    <col min="14606" max="14606" width="6.140625" style="125" customWidth="1"/>
    <col min="14607" max="14607" width="7.28515625" style="125" customWidth="1"/>
    <col min="14608" max="14608" width="8.7109375" style="125" customWidth="1"/>
    <col min="14609" max="14612" width="12.7109375" style="125" customWidth="1"/>
    <col min="14613" max="14614" width="10.7109375" style="125" customWidth="1"/>
    <col min="14615" max="14848" width="9.140625" style="125"/>
    <col min="14849" max="14849" width="11.42578125" style="125" customWidth="1"/>
    <col min="14850" max="14850" width="10.140625" style="125" customWidth="1"/>
    <col min="14851" max="14851" width="17.42578125" style="125" customWidth="1"/>
    <col min="14852" max="14852" width="12.5703125" style="125" customWidth="1"/>
    <col min="14853" max="14853" width="12.140625" style="125" customWidth="1"/>
    <col min="14854" max="14854" width="13.5703125" style="125" customWidth="1"/>
    <col min="14855" max="14860" width="8.7109375" style="125" customWidth="1"/>
    <col min="14861" max="14861" width="10.28515625" style="125" customWidth="1"/>
    <col min="14862" max="14862" width="6.140625" style="125" customWidth="1"/>
    <col min="14863" max="14863" width="7.28515625" style="125" customWidth="1"/>
    <col min="14864" max="14864" width="8.7109375" style="125" customWidth="1"/>
    <col min="14865" max="14868" width="12.7109375" style="125" customWidth="1"/>
    <col min="14869" max="14870" width="10.7109375" style="125" customWidth="1"/>
    <col min="14871" max="15104" width="9.140625" style="125"/>
    <col min="15105" max="15105" width="11.42578125" style="125" customWidth="1"/>
    <col min="15106" max="15106" width="10.140625" style="125" customWidth="1"/>
    <col min="15107" max="15107" width="17.42578125" style="125" customWidth="1"/>
    <col min="15108" max="15108" width="12.5703125" style="125" customWidth="1"/>
    <col min="15109" max="15109" width="12.140625" style="125" customWidth="1"/>
    <col min="15110" max="15110" width="13.5703125" style="125" customWidth="1"/>
    <col min="15111" max="15116" width="8.7109375" style="125" customWidth="1"/>
    <col min="15117" max="15117" width="10.28515625" style="125" customWidth="1"/>
    <col min="15118" max="15118" width="6.140625" style="125" customWidth="1"/>
    <col min="15119" max="15119" width="7.28515625" style="125" customWidth="1"/>
    <col min="15120" max="15120" width="8.7109375" style="125" customWidth="1"/>
    <col min="15121" max="15124" width="12.7109375" style="125" customWidth="1"/>
    <col min="15125" max="15126" width="10.7109375" style="125" customWidth="1"/>
    <col min="15127" max="15360" width="9.140625" style="125"/>
    <col min="15361" max="15361" width="11.42578125" style="125" customWidth="1"/>
    <col min="15362" max="15362" width="10.140625" style="125" customWidth="1"/>
    <col min="15363" max="15363" width="17.42578125" style="125" customWidth="1"/>
    <col min="15364" max="15364" width="12.5703125" style="125" customWidth="1"/>
    <col min="15365" max="15365" width="12.140625" style="125" customWidth="1"/>
    <col min="15366" max="15366" width="13.5703125" style="125" customWidth="1"/>
    <col min="15367" max="15372" width="8.7109375" style="125" customWidth="1"/>
    <col min="15373" max="15373" width="10.28515625" style="125" customWidth="1"/>
    <col min="15374" max="15374" width="6.140625" style="125" customWidth="1"/>
    <col min="15375" max="15375" width="7.28515625" style="125" customWidth="1"/>
    <col min="15376" max="15376" width="8.7109375" style="125" customWidth="1"/>
    <col min="15377" max="15380" width="12.7109375" style="125" customWidth="1"/>
    <col min="15381" max="15382" width="10.7109375" style="125" customWidth="1"/>
    <col min="15383" max="15616" width="9.140625" style="125"/>
    <col min="15617" max="15617" width="11.42578125" style="125" customWidth="1"/>
    <col min="15618" max="15618" width="10.140625" style="125" customWidth="1"/>
    <col min="15619" max="15619" width="17.42578125" style="125" customWidth="1"/>
    <col min="15620" max="15620" width="12.5703125" style="125" customWidth="1"/>
    <col min="15621" max="15621" width="12.140625" style="125" customWidth="1"/>
    <col min="15622" max="15622" width="13.5703125" style="125" customWidth="1"/>
    <col min="15623" max="15628" width="8.7109375" style="125" customWidth="1"/>
    <col min="15629" max="15629" width="10.28515625" style="125" customWidth="1"/>
    <col min="15630" max="15630" width="6.140625" style="125" customWidth="1"/>
    <col min="15631" max="15631" width="7.28515625" style="125" customWidth="1"/>
    <col min="15632" max="15632" width="8.7109375" style="125" customWidth="1"/>
    <col min="15633" max="15636" width="12.7109375" style="125" customWidth="1"/>
    <col min="15637" max="15638" width="10.7109375" style="125" customWidth="1"/>
    <col min="15639" max="15872" width="9.140625" style="125"/>
    <col min="15873" max="15873" width="11.42578125" style="125" customWidth="1"/>
    <col min="15874" max="15874" width="10.140625" style="125" customWidth="1"/>
    <col min="15875" max="15875" width="17.42578125" style="125" customWidth="1"/>
    <col min="15876" max="15876" width="12.5703125" style="125" customWidth="1"/>
    <col min="15877" max="15877" width="12.140625" style="125" customWidth="1"/>
    <col min="15878" max="15878" width="13.5703125" style="125" customWidth="1"/>
    <col min="15879" max="15884" width="8.7109375" style="125" customWidth="1"/>
    <col min="15885" max="15885" width="10.28515625" style="125" customWidth="1"/>
    <col min="15886" max="15886" width="6.140625" style="125" customWidth="1"/>
    <col min="15887" max="15887" width="7.28515625" style="125" customWidth="1"/>
    <col min="15888" max="15888" width="8.7109375" style="125" customWidth="1"/>
    <col min="15889" max="15892" width="12.7109375" style="125" customWidth="1"/>
    <col min="15893" max="15894" width="10.7109375" style="125" customWidth="1"/>
    <col min="15895" max="16128" width="9.140625" style="125"/>
    <col min="16129" max="16129" width="11.42578125" style="125" customWidth="1"/>
    <col min="16130" max="16130" width="10.140625" style="125" customWidth="1"/>
    <col min="16131" max="16131" width="17.42578125" style="125" customWidth="1"/>
    <col min="16132" max="16132" width="12.5703125" style="125" customWidth="1"/>
    <col min="16133" max="16133" width="12.140625" style="125" customWidth="1"/>
    <col min="16134" max="16134" width="13.5703125" style="125" customWidth="1"/>
    <col min="16135" max="16140" width="8.7109375" style="125" customWidth="1"/>
    <col min="16141" max="16141" width="10.28515625" style="125" customWidth="1"/>
    <col min="16142" max="16142" width="6.140625" style="125" customWidth="1"/>
    <col min="16143" max="16143" width="7.28515625" style="125" customWidth="1"/>
    <col min="16144" max="16144" width="8.7109375" style="125" customWidth="1"/>
    <col min="16145" max="16148" width="12.7109375" style="125" customWidth="1"/>
    <col min="16149" max="16150" width="10.7109375" style="125" customWidth="1"/>
    <col min="16151" max="16384" width="9.140625" style="125"/>
  </cols>
  <sheetData>
    <row r="1" spans="1:25" s="112" customFormat="1" ht="90" customHeight="1">
      <c r="A1" s="250" t="s">
        <v>361</v>
      </c>
      <c r="B1" s="251"/>
      <c r="C1" s="251"/>
      <c r="D1" s="251"/>
      <c r="E1" s="251"/>
      <c r="F1" s="251"/>
      <c r="G1" s="251"/>
      <c r="H1" s="251"/>
      <c r="I1" s="251"/>
      <c r="J1" s="251"/>
      <c r="K1" s="251"/>
      <c r="L1" s="251"/>
      <c r="M1" s="251"/>
      <c r="N1" s="252"/>
    </row>
    <row r="2" spans="1:25" s="117" customFormat="1" ht="15" customHeight="1">
      <c r="A2" s="113" t="s">
        <v>362</v>
      </c>
      <c r="B2" s="114"/>
      <c r="C2" s="114"/>
      <c r="D2" s="114"/>
      <c r="E2" s="114"/>
      <c r="F2" s="114"/>
      <c r="G2" s="114"/>
      <c r="H2" s="114"/>
      <c r="I2" s="114"/>
      <c r="J2" s="114"/>
      <c r="K2" s="114"/>
      <c r="L2" s="115"/>
      <c r="M2" s="115"/>
      <c r="N2" s="116"/>
    </row>
    <row r="3" spans="1:25" s="121" customFormat="1" ht="15" customHeight="1">
      <c r="A3" s="113" t="s">
        <v>363</v>
      </c>
      <c r="B3" s="114"/>
      <c r="C3" s="114"/>
      <c r="D3" s="114"/>
      <c r="E3" s="114"/>
      <c r="F3" s="114"/>
      <c r="G3" s="114"/>
      <c r="H3" s="114"/>
      <c r="I3" s="118"/>
      <c r="J3" s="114"/>
      <c r="K3" s="114"/>
      <c r="L3" s="114"/>
      <c r="M3" s="114"/>
      <c r="N3" s="119"/>
      <c r="O3" s="117"/>
      <c r="P3" s="120"/>
      <c r="Q3" s="120"/>
      <c r="R3" s="120"/>
      <c r="S3" s="120"/>
      <c r="T3" s="120"/>
      <c r="U3" s="120"/>
      <c r="V3" s="120"/>
      <c r="W3" s="120"/>
      <c r="X3" s="120"/>
      <c r="Y3" s="120"/>
    </row>
    <row r="4" spans="1:25" s="121" customFormat="1" ht="15" customHeight="1">
      <c r="A4" s="122" t="s">
        <v>364</v>
      </c>
      <c r="B4" s="123"/>
      <c r="C4" s="123"/>
      <c r="D4" s="123"/>
      <c r="E4" s="123"/>
      <c r="F4" s="123"/>
      <c r="G4" s="123"/>
      <c r="H4" s="123"/>
      <c r="I4" s="118"/>
      <c r="J4" s="118"/>
      <c r="K4" s="118"/>
      <c r="L4" s="114"/>
      <c r="M4" s="114"/>
      <c r="N4" s="119"/>
      <c r="O4" s="117"/>
      <c r="P4" s="120"/>
      <c r="Q4" s="120"/>
      <c r="R4" s="120"/>
      <c r="S4" s="120"/>
      <c r="T4" s="120"/>
      <c r="U4" s="120"/>
      <c r="V4" s="120"/>
      <c r="W4" s="120"/>
      <c r="X4" s="120"/>
      <c r="Y4" s="120"/>
    </row>
    <row r="5" spans="1:25" ht="15.75">
      <c r="A5" s="253" t="s">
        <v>365</v>
      </c>
      <c r="B5" s="254"/>
      <c r="C5" s="254"/>
      <c r="D5" s="254"/>
      <c r="E5" s="254"/>
      <c r="F5" s="254"/>
      <c r="G5" s="254"/>
      <c r="H5" s="254"/>
      <c r="I5" s="254"/>
      <c r="J5" s="254"/>
      <c r="K5" s="254"/>
      <c r="L5" s="254"/>
      <c r="M5" s="254"/>
      <c r="N5" s="255"/>
    </row>
    <row r="6" spans="1:25" ht="15.75">
      <c r="A6" s="126"/>
      <c r="N6" s="127"/>
    </row>
    <row r="7" spans="1:25" s="132" customFormat="1" ht="15.75">
      <c r="A7" s="245" t="s">
        <v>366</v>
      </c>
      <c r="B7" s="246"/>
      <c r="C7" s="246"/>
      <c r="D7" s="246"/>
      <c r="E7" s="246"/>
      <c r="F7" s="246"/>
      <c r="G7" s="246"/>
      <c r="H7" s="246"/>
      <c r="I7" s="246"/>
      <c r="J7" s="246"/>
      <c r="K7" s="246"/>
      <c r="L7" s="246"/>
      <c r="M7" s="246"/>
      <c r="N7" s="130"/>
      <c r="O7" s="131"/>
      <c r="P7" s="131"/>
    </row>
    <row r="8" spans="1:25" s="132" customFormat="1" ht="15.75">
      <c r="A8" s="128"/>
      <c r="B8" s="129"/>
      <c r="C8" s="129"/>
      <c r="D8" s="129"/>
      <c r="E8" s="129"/>
      <c r="F8" s="129"/>
      <c r="G8" s="129"/>
      <c r="H8" s="129"/>
      <c r="I8" s="129"/>
      <c r="J8" s="129"/>
      <c r="K8" s="129"/>
      <c r="L8" s="129"/>
      <c r="M8" s="129"/>
      <c r="N8" s="130"/>
      <c r="O8" s="131"/>
      <c r="P8" s="131"/>
    </row>
    <row r="9" spans="1:25" s="132" customFormat="1">
      <c r="A9" s="133"/>
      <c r="B9" s="131"/>
      <c r="C9" s="131"/>
      <c r="D9" s="131"/>
      <c r="E9" s="131"/>
      <c r="F9" s="131"/>
      <c r="G9" s="131"/>
      <c r="H9" s="131"/>
      <c r="I9" s="131"/>
      <c r="J9" s="131"/>
      <c r="K9" s="131"/>
      <c r="L9" s="131"/>
      <c r="M9" s="131"/>
      <c r="N9" s="130"/>
      <c r="O9" s="131"/>
      <c r="P9" s="131"/>
    </row>
    <row r="10" spans="1:25" s="132" customFormat="1" ht="14.25">
      <c r="A10" s="134"/>
      <c r="B10" s="131"/>
      <c r="C10" s="131"/>
      <c r="D10" s="131"/>
      <c r="E10" s="131"/>
      <c r="F10" s="131"/>
      <c r="G10" s="131"/>
      <c r="H10" s="131"/>
      <c r="I10" s="131"/>
      <c r="J10" s="131"/>
      <c r="K10" s="131"/>
      <c r="L10" s="131"/>
      <c r="M10" s="131"/>
      <c r="N10" s="130"/>
      <c r="O10" s="131"/>
      <c r="P10" s="131"/>
    </row>
    <row r="11" spans="1:25" s="132" customFormat="1" ht="15.75" customHeight="1">
      <c r="A11" s="245" t="s">
        <v>367</v>
      </c>
      <c r="B11" s="246"/>
      <c r="C11" s="246"/>
      <c r="D11" s="246"/>
      <c r="E11" s="246"/>
      <c r="F11" s="246"/>
      <c r="G11" s="246"/>
      <c r="H11" s="246"/>
      <c r="I11" s="246"/>
      <c r="J11" s="246"/>
      <c r="K11" s="246"/>
      <c r="L11" s="246"/>
      <c r="M11" s="246"/>
      <c r="N11" s="247"/>
      <c r="O11" s="131"/>
      <c r="P11" s="131"/>
    </row>
    <row r="12" spans="1:25" s="132" customFormat="1" ht="16.5" customHeight="1">
      <c r="A12" s="245" t="s">
        <v>368</v>
      </c>
      <c r="B12" s="246"/>
      <c r="C12" s="246"/>
      <c r="D12" s="246"/>
      <c r="E12" s="246"/>
      <c r="F12" s="246"/>
      <c r="G12" s="246"/>
      <c r="H12" s="246"/>
      <c r="I12" s="246"/>
      <c r="J12" s="246"/>
      <c r="K12" s="246"/>
      <c r="L12" s="246"/>
      <c r="M12" s="246"/>
      <c r="N12" s="247"/>
      <c r="O12" s="131"/>
      <c r="P12" s="131"/>
    </row>
    <row r="13" spans="1:25" s="132" customFormat="1" ht="14.25">
      <c r="A13" s="256" t="s">
        <v>369</v>
      </c>
      <c r="B13" s="257"/>
      <c r="C13" s="257"/>
      <c r="D13" s="257"/>
      <c r="E13" s="257"/>
      <c r="F13" s="257"/>
      <c r="G13" s="257"/>
      <c r="H13" s="257"/>
      <c r="I13" s="257"/>
      <c r="J13" s="257"/>
      <c r="K13" s="257"/>
      <c r="L13" s="257"/>
      <c r="M13" s="257"/>
      <c r="N13" s="258"/>
      <c r="O13" s="131"/>
      <c r="P13" s="131"/>
    </row>
    <row r="14" spans="1:25" s="132" customFormat="1">
      <c r="A14" s="259" t="s">
        <v>370</v>
      </c>
      <c r="B14" s="260"/>
      <c r="C14" s="260"/>
      <c r="D14" s="260"/>
      <c r="E14" s="260"/>
      <c r="F14" s="260"/>
      <c r="G14" s="260"/>
      <c r="H14" s="260"/>
      <c r="I14" s="260"/>
      <c r="J14" s="260"/>
      <c r="K14" s="260"/>
      <c r="L14" s="260"/>
      <c r="M14" s="260"/>
      <c r="N14" s="261"/>
      <c r="O14" s="131"/>
      <c r="P14" s="131"/>
    </row>
    <row r="15" spans="1:25" s="132" customFormat="1" ht="15.75">
      <c r="A15" s="245" t="s">
        <v>371</v>
      </c>
      <c r="B15" s="246"/>
      <c r="C15" s="246"/>
      <c r="D15" s="246"/>
      <c r="E15" s="246"/>
      <c r="F15" s="246"/>
      <c r="G15" s="246"/>
      <c r="H15" s="246"/>
      <c r="I15" s="246"/>
      <c r="J15" s="246"/>
      <c r="K15" s="246"/>
      <c r="L15" s="246"/>
      <c r="M15" s="246"/>
      <c r="N15" s="247"/>
      <c r="O15" s="131"/>
      <c r="P15" s="131"/>
    </row>
    <row r="16" spans="1:25" s="132" customFormat="1" ht="15.75">
      <c r="A16" s="245" t="s">
        <v>372</v>
      </c>
      <c r="B16" s="246"/>
      <c r="C16" s="246"/>
      <c r="D16" s="246"/>
      <c r="E16" s="246"/>
      <c r="F16" s="246"/>
      <c r="G16" s="246"/>
      <c r="H16" s="246"/>
      <c r="I16" s="246"/>
      <c r="J16" s="246"/>
      <c r="K16" s="246"/>
      <c r="L16" s="246"/>
      <c r="M16" s="246"/>
      <c r="N16" s="247"/>
      <c r="O16" s="131"/>
      <c r="P16" s="131"/>
    </row>
    <row r="17" spans="1:20" s="132" customFormat="1" ht="15.75">
      <c r="A17" s="245" t="s">
        <v>373</v>
      </c>
      <c r="B17" s="246"/>
      <c r="C17" s="246"/>
      <c r="D17" s="246"/>
      <c r="E17" s="246"/>
      <c r="F17" s="246"/>
      <c r="G17" s="246"/>
      <c r="H17" s="246"/>
      <c r="I17" s="246"/>
      <c r="J17" s="246"/>
      <c r="K17" s="246"/>
      <c r="L17" s="246"/>
      <c r="M17" s="246"/>
      <c r="N17" s="247"/>
      <c r="O17" s="131"/>
      <c r="P17" s="131"/>
    </row>
    <row r="18" spans="1:20" s="132" customFormat="1" ht="15.75">
      <c r="A18" s="245" t="s">
        <v>374</v>
      </c>
      <c r="B18" s="246"/>
      <c r="C18" s="246"/>
      <c r="D18" s="246"/>
      <c r="E18" s="246"/>
      <c r="F18" s="246"/>
      <c r="G18" s="246"/>
      <c r="H18" s="246"/>
      <c r="I18" s="246"/>
      <c r="J18" s="246"/>
      <c r="K18" s="246"/>
      <c r="L18" s="246"/>
      <c r="M18" s="246"/>
      <c r="N18" s="247"/>
      <c r="O18" s="131"/>
      <c r="P18" s="131"/>
      <c r="T18" s="112"/>
    </row>
    <row r="19" spans="1:20" s="132" customFormat="1" ht="15.75">
      <c r="A19" s="245" t="s">
        <v>375</v>
      </c>
      <c r="B19" s="246"/>
      <c r="C19" s="246"/>
      <c r="D19" s="246"/>
      <c r="E19" s="246"/>
      <c r="F19" s="246"/>
      <c r="G19" s="246"/>
      <c r="H19" s="246"/>
      <c r="I19" s="246"/>
      <c r="J19" s="246"/>
      <c r="K19" s="246"/>
      <c r="L19" s="246"/>
      <c r="M19" s="246"/>
      <c r="N19" s="247"/>
      <c r="O19" s="131"/>
      <c r="P19" s="131"/>
    </row>
    <row r="20" spans="1:20" s="132" customFormat="1" ht="15.75">
      <c r="A20" s="245" t="s">
        <v>376</v>
      </c>
      <c r="B20" s="246"/>
      <c r="C20" s="246"/>
      <c r="D20" s="246"/>
      <c r="E20" s="246"/>
      <c r="F20" s="246"/>
      <c r="G20" s="246"/>
      <c r="H20" s="246"/>
      <c r="I20" s="246"/>
      <c r="J20" s="246"/>
      <c r="K20" s="246"/>
      <c r="L20" s="246"/>
      <c r="M20" s="246"/>
      <c r="N20" s="247"/>
      <c r="O20" s="131"/>
      <c r="P20" s="131"/>
    </row>
    <row r="21" spans="1:20" s="132" customFormat="1" ht="15.75">
      <c r="A21" s="245" t="s">
        <v>377</v>
      </c>
      <c r="B21" s="246"/>
      <c r="C21" s="246"/>
      <c r="D21" s="246"/>
      <c r="E21" s="246"/>
      <c r="F21" s="246"/>
      <c r="G21" s="246"/>
      <c r="H21" s="246"/>
      <c r="I21" s="246"/>
      <c r="J21" s="246"/>
      <c r="K21" s="246"/>
      <c r="L21" s="246"/>
      <c r="M21" s="246"/>
      <c r="N21" s="247"/>
      <c r="O21" s="131"/>
      <c r="P21" s="131"/>
      <c r="Q21" s="135"/>
    </row>
    <row r="22" spans="1:20" s="132" customFormat="1">
      <c r="A22" s="133"/>
      <c r="B22" s="131"/>
      <c r="C22" s="131"/>
      <c r="D22" s="131"/>
      <c r="E22" s="131"/>
      <c r="F22" s="131"/>
      <c r="G22" s="131"/>
      <c r="H22" s="131"/>
      <c r="I22" s="131"/>
      <c r="J22" s="131"/>
      <c r="K22" s="131"/>
      <c r="L22" s="131"/>
      <c r="M22" s="131"/>
      <c r="N22" s="130"/>
      <c r="O22" s="131"/>
      <c r="P22" s="131"/>
      <c r="Q22" s="135"/>
    </row>
    <row r="23" spans="1:20" s="132" customFormat="1">
      <c r="A23" s="133"/>
      <c r="B23" s="136"/>
      <c r="C23" s="136"/>
      <c r="D23" s="248" t="s">
        <v>378</v>
      </c>
      <c r="E23" s="248"/>
      <c r="F23" s="248"/>
      <c r="G23" s="249" t="s">
        <v>379</v>
      </c>
      <c r="H23" s="249"/>
      <c r="I23" s="131"/>
      <c r="J23" s="131"/>
      <c r="K23" s="131"/>
      <c r="L23" s="131"/>
      <c r="M23" s="131"/>
      <c r="N23" s="130"/>
      <c r="O23" s="131"/>
      <c r="P23" s="131"/>
      <c r="Q23" s="135"/>
    </row>
    <row r="24" spans="1:20" s="132" customFormat="1">
      <c r="A24" s="133"/>
      <c r="B24" s="136"/>
      <c r="C24" s="136"/>
      <c r="D24" s="137" t="s">
        <v>380</v>
      </c>
      <c r="E24" s="137" t="s">
        <v>381</v>
      </c>
      <c r="F24" s="137" t="s">
        <v>382</v>
      </c>
      <c r="G24" s="249"/>
      <c r="H24" s="249"/>
      <c r="I24" s="131"/>
      <c r="J24" s="131"/>
      <c r="K24" s="131"/>
      <c r="L24" s="131"/>
      <c r="M24" s="131"/>
      <c r="N24" s="130"/>
      <c r="O24" s="131"/>
      <c r="P24" s="131"/>
      <c r="Q24" s="135"/>
    </row>
    <row r="25" spans="1:20" s="132" customFormat="1">
      <c r="A25" s="221" t="s">
        <v>383</v>
      </c>
      <c r="B25" s="221"/>
      <c r="C25" s="222"/>
      <c r="D25" s="138">
        <v>0.03</v>
      </c>
      <c r="E25" s="138">
        <v>0.04</v>
      </c>
      <c r="F25" s="138">
        <v>5.5E-2</v>
      </c>
      <c r="G25" s="223">
        <v>0.03</v>
      </c>
      <c r="H25" s="224"/>
      <c r="I25" s="131"/>
      <c r="J25" s="131"/>
      <c r="K25" s="131"/>
      <c r="L25" s="131"/>
      <c r="M25" s="131"/>
      <c r="N25" s="130"/>
      <c r="O25" s="131"/>
      <c r="P25" s="131"/>
    </row>
    <row r="26" spans="1:20" s="132" customFormat="1">
      <c r="A26" s="221" t="s">
        <v>384</v>
      </c>
      <c r="B26" s="221"/>
      <c r="C26" s="222"/>
      <c r="D26" s="138">
        <v>8.0000000000000002E-3</v>
      </c>
      <c r="E26" s="138">
        <v>8.0000000000000002E-3</v>
      </c>
      <c r="F26" s="138">
        <v>0.01</v>
      </c>
      <c r="G26" s="223">
        <v>8.0000000000000002E-3</v>
      </c>
      <c r="H26" s="224"/>
      <c r="I26" s="131"/>
      <c r="J26" s="131"/>
      <c r="K26" s="131"/>
      <c r="L26" s="131"/>
      <c r="M26" s="131"/>
      <c r="N26" s="130"/>
      <c r="O26" s="131"/>
      <c r="P26" s="131"/>
    </row>
    <row r="27" spans="1:20" s="132" customFormat="1">
      <c r="A27" s="221" t="s">
        <v>385</v>
      </c>
      <c r="B27" s="221"/>
      <c r="C27" s="222"/>
      <c r="D27" s="138">
        <v>9.7000000000000003E-3</v>
      </c>
      <c r="E27" s="138">
        <v>1.2699999999999999E-2</v>
      </c>
      <c r="F27" s="138">
        <v>1.2699999999999999E-2</v>
      </c>
      <c r="G27" s="223">
        <v>1.2699999999999999E-2</v>
      </c>
      <c r="H27" s="224"/>
      <c r="I27" s="131"/>
      <c r="J27" s="131"/>
      <c r="K27" s="131"/>
      <c r="L27" s="131"/>
      <c r="M27" s="131"/>
      <c r="N27" s="130"/>
      <c r="O27" s="131"/>
      <c r="P27" s="131"/>
    </row>
    <row r="28" spans="1:20" s="132" customFormat="1">
      <c r="A28" s="221" t="s">
        <v>386</v>
      </c>
      <c r="B28" s="221"/>
      <c r="C28" s="222"/>
      <c r="D28" s="138">
        <v>5.8999999999999999E-3</v>
      </c>
      <c r="E28" s="138">
        <v>1.23E-2</v>
      </c>
      <c r="F28" s="138">
        <v>1.3899999999999999E-2</v>
      </c>
      <c r="G28" s="223">
        <v>1.23E-2</v>
      </c>
      <c r="H28" s="224"/>
      <c r="I28" s="131"/>
      <c r="J28" s="131"/>
      <c r="K28" s="131"/>
      <c r="L28" s="131"/>
      <c r="M28" s="131"/>
      <c r="N28" s="130"/>
      <c r="O28" s="131"/>
      <c r="P28" s="131"/>
    </row>
    <row r="29" spans="1:20" s="132" customFormat="1">
      <c r="A29" s="221" t="s">
        <v>387</v>
      </c>
      <c r="B29" s="221"/>
      <c r="C29" s="222"/>
      <c r="D29" s="138">
        <v>6.1600000000000002E-2</v>
      </c>
      <c r="E29" s="138">
        <v>7.3999999999999996E-2</v>
      </c>
      <c r="F29" s="138">
        <v>8.9599999999999999E-2</v>
      </c>
      <c r="G29" s="223">
        <v>7.3999999999999996E-2</v>
      </c>
      <c r="H29" s="224"/>
      <c r="I29" s="131"/>
      <c r="J29" s="131"/>
      <c r="K29" s="131"/>
      <c r="L29" s="131"/>
      <c r="M29" s="131"/>
      <c r="N29" s="130"/>
      <c r="O29" s="131"/>
      <c r="P29" s="131"/>
    </row>
    <row r="30" spans="1:20" s="132" customFormat="1">
      <c r="A30" s="133"/>
      <c r="B30" s="131"/>
      <c r="C30" s="131"/>
      <c r="D30" s="131"/>
      <c r="E30" s="131"/>
      <c r="F30" s="131"/>
      <c r="G30" s="131"/>
      <c r="H30" s="131"/>
      <c r="I30" s="131"/>
      <c r="J30" s="131"/>
      <c r="K30" s="131"/>
      <c r="L30" s="131"/>
      <c r="M30" s="131"/>
      <c r="N30" s="130"/>
      <c r="O30" s="131"/>
      <c r="P30" s="131"/>
    </row>
    <row r="31" spans="1:20" s="132" customFormat="1">
      <c r="A31" s="133"/>
      <c r="B31" s="131"/>
      <c r="C31" s="131"/>
      <c r="D31" s="225" t="s">
        <v>388</v>
      </c>
      <c r="E31" s="226"/>
      <c r="F31" s="227"/>
      <c r="G31" s="131"/>
      <c r="H31" s="131"/>
      <c r="I31" s="131"/>
      <c r="J31" s="131"/>
      <c r="K31" s="131"/>
      <c r="L31" s="131"/>
      <c r="M31" s="131"/>
      <c r="N31" s="130"/>
      <c r="O31" s="131"/>
      <c r="P31" s="131"/>
    </row>
    <row r="32" spans="1:20" s="132" customFormat="1">
      <c r="A32" s="221" t="s">
        <v>389</v>
      </c>
      <c r="B32" s="221"/>
      <c r="C32" s="228" t="s">
        <v>390</v>
      </c>
      <c r="D32" s="138" t="s">
        <v>391</v>
      </c>
      <c r="E32" s="192">
        <v>0.05</v>
      </c>
      <c r="F32" s="231">
        <f>E32/2+SUM(E33:E35)</f>
        <v>9.7500000000000003E-2</v>
      </c>
      <c r="G32" s="139"/>
      <c r="H32" s="139"/>
      <c r="I32" s="131"/>
      <c r="J32" s="131"/>
      <c r="K32" s="131"/>
      <c r="L32" s="131"/>
      <c r="M32" s="131"/>
      <c r="N32" s="130"/>
      <c r="O32" s="131"/>
      <c r="P32" s="131"/>
    </row>
    <row r="33" spans="1:16" s="132" customFormat="1">
      <c r="A33" s="221"/>
      <c r="B33" s="221"/>
      <c r="C33" s="229"/>
      <c r="D33" s="138" t="s">
        <v>392</v>
      </c>
      <c r="E33" s="192">
        <f>0.0065</f>
        <v>6.4999999999999997E-3</v>
      </c>
      <c r="F33" s="232"/>
      <c r="G33" s="139"/>
      <c r="H33" s="139"/>
      <c r="I33" s="131"/>
      <c r="J33" s="131"/>
      <c r="K33" s="131"/>
      <c r="L33" s="131"/>
      <c r="M33" s="131"/>
      <c r="N33" s="130"/>
      <c r="O33" s="131"/>
      <c r="P33" s="131"/>
    </row>
    <row r="34" spans="1:16" s="132" customFormat="1">
      <c r="A34" s="221"/>
      <c r="B34" s="221"/>
      <c r="C34" s="229"/>
      <c r="D34" s="138" t="s">
        <v>393</v>
      </c>
      <c r="E34" s="192">
        <f>0.03</f>
        <v>0.03</v>
      </c>
      <c r="F34" s="232"/>
      <c r="G34" s="139"/>
      <c r="H34" s="139"/>
      <c r="I34" s="131"/>
      <c r="J34" s="131"/>
      <c r="K34" s="131"/>
      <c r="L34" s="131"/>
      <c r="M34" s="131"/>
      <c r="N34" s="130"/>
      <c r="O34" s="131"/>
      <c r="P34" s="131"/>
    </row>
    <row r="35" spans="1:16" s="132" customFormat="1">
      <c r="A35" s="221"/>
      <c r="B35" s="221"/>
      <c r="C35" s="230"/>
      <c r="D35" s="138" t="s">
        <v>394</v>
      </c>
      <c r="E35" s="192">
        <f>0.045*0.8</f>
        <v>3.5999999999999997E-2</v>
      </c>
      <c r="F35" s="233"/>
      <c r="G35" s="139"/>
      <c r="H35" s="139"/>
      <c r="I35" s="131"/>
      <c r="J35" s="131"/>
      <c r="K35" s="131"/>
      <c r="L35" s="131"/>
      <c r="M35" s="131"/>
      <c r="N35" s="130"/>
      <c r="O35" s="131"/>
      <c r="P35" s="131"/>
    </row>
    <row r="36" spans="1:16" s="132" customFormat="1">
      <c r="A36" s="133"/>
      <c r="B36" s="131"/>
      <c r="C36" s="131"/>
      <c r="D36" s="131"/>
      <c r="E36" s="131"/>
      <c r="F36" s="131"/>
      <c r="G36" s="131"/>
      <c r="H36" s="131"/>
      <c r="I36" s="131"/>
      <c r="J36" s="131"/>
      <c r="K36" s="131"/>
      <c r="L36" s="131"/>
      <c r="M36" s="131"/>
      <c r="N36" s="130"/>
      <c r="O36" s="131"/>
      <c r="P36" s="131"/>
    </row>
    <row r="37" spans="1:16" s="132" customFormat="1" ht="15.75">
      <c r="A37" s="234" t="s">
        <v>395</v>
      </c>
      <c r="B37" s="235"/>
      <c r="C37" s="140">
        <f>((1+G25+G26+G27)*(1+G28)*(1+G29)/(1-F32)-1)</f>
        <v>0.2657415591578951</v>
      </c>
      <c r="D37" s="131"/>
      <c r="E37" s="131"/>
      <c r="F37" s="131"/>
      <c r="G37" s="131"/>
      <c r="H37" s="131"/>
      <c r="I37" s="131"/>
      <c r="J37" s="131"/>
      <c r="K37" s="131"/>
      <c r="L37" s="131"/>
      <c r="M37" s="131"/>
      <c r="N37" s="130"/>
      <c r="O37" s="131"/>
      <c r="P37" s="131"/>
    </row>
    <row r="38" spans="1:16" s="132" customFormat="1">
      <c r="A38" s="133"/>
      <c r="B38" s="131"/>
      <c r="C38" s="131"/>
      <c r="D38" s="131"/>
      <c r="E38" s="131"/>
      <c r="F38" s="131"/>
      <c r="G38" s="131"/>
      <c r="H38" s="131"/>
      <c r="I38" s="131"/>
      <c r="J38" s="131"/>
      <c r="K38" s="131"/>
      <c r="L38" s="131"/>
      <c r="M38" s="131"/>
      <c r="N38" s="130"/>
      <c r="O38" s="131"/>
      <c r="P38" s="131"/>
    </row>
    <row r="39" spans="1:16" s="132" customFormat="1" ht="14.25">
      <c r="A39" s="141" t="s">
        <v>396</v>
      </c>
      <c r="B39" s="131"/>
      <c r="C39" s="131"/>
      <c r="D39" s="131"/>
      <c r="E39" s="131"/>
      <c r="F39" s="131"/>
      <c r="G39" s="131"/>
      <c r="H39" s="131"/>
      <c r="I39" s="131"/>
      <c r="J39" s="131"/>
      <c r="K39" s="131"/>
      <c r="L39" s="131"/>
      <c r="M39" s="131"/>
      <c r="N39" s="130"/>
      <c r="O39" s="131"/>
      <c r="P39" s="131"/>
    </row>
    <row r="40" spans="1:16" s="132" customFormat="1" ht="14.25">
      <c r="A40" s="141"/>
      <c r="B40" s="131"/>
      <c r="C40" s="131"/>
      <c r="D40" s="131"/>
      <c r="E40" s="131"/>
      <c r="F40" s="131"/>
      <c r="G40" s="131"/>
      <c r="H40" s="131"/>
      <c r="I40" s="131"/>
      <c r="J40" s="131"/>
      <c r="K40" s="131"/>
      <c r="L40" s="131"/>
      <c r="M40" s="131"/>
      <c r="N40" s="130"/>
      <c r="O40" s="131"/>
      <c r="P40" s="131"/>
    </row>
    <row r="41" spans="1:16" s="132" customFormat="1" ht="32.25" customHeight="1">
      <c r="A41" s="236" t="s">
        <v>397</v>
      </c>
      <c r="B41" s="237"/>
      <c r="C41" s="237"/>
      <c r="D41" s="237"/>
      <c r="E41" s="237"/>
      <c r="F41" s="237"/>
      <c r="G41" s="237"/>
      <c r="H41" s="237"/>
      <c r="I41" s="237"/>
      <c r="J41" s="237"/>
      <c r="K41" s="237"/>
      <c r="L41" s="237"/>
      <c r="M41" s="237"/>
      <c r="N41" s="238"/>
      <c r="O41" s="131"/>
      <c r="P41" s="131"/>
    </row>
    <row r="42" spans="1:16" s="132" customFormat="1" ht="14.25">
      <c r="A42" s="142"/>
      <c r="B42" s="143"/>
      <c r="C42" s="143"/>
      <c r="D42" s="143"/>
      <c r="E42" s="143"/>
      <c r="F42" s="143"/>
      <c r="G42" s="143"/>
      <c r="H42" s="143"/>
      <c r="I42" s="143"/>
      <c r="J42" s="143"/>
      <c r="K42" s="143"/>
      <c r="L42" s="143"/>
      <c r="M42" s="143"/>
      <c r="N42" s="144"/>
      <c r="O42" s="131"/>
      <c r="P42" s="131"/>
    </row>
    <row r="43" spans="1:16" s="132" customFormat="1" ht="25.5" customHeight="1">
      <c r="A43" s="236" t="s">
        <v>398</v>
      </c>
      <c r="B43" s="237"/>
      <c r="C43" s="237"/>
      <c r="D43" s="237"/>
      <c r="E43" s="237"/>
      <c r="F43" s="237"/>
      <c r="G43" s="237"/>
      <c r="H43" s="237"/>
      <c r="I43" s="237"/>
      <c r="J43" s="237"/>
      <c r="K43" s="237"/>
      <c r="L43" s="237"/>
      <c r="M43" s="237"/>
      <c r="N43" s="238"/>
      <c r="O43" s="131"/>
      <c r="P43" s="131"/>
    </row>
    <row r="44" spans="1:16" s="132" customFormat="1" ht="14.25">
      <c r="A44" s="142"/>
      <c r="B44" s="143"/>
      <c r="C44" s="143"/>
      <c r="D44" s="143"/>
      <c r="E44" s="143"/>
      <c r="F44" s="143"/>
      <c r="G44" s="143"/>
      <c r="H44" s="143"/>
      <c r="I44" s="143"/>
      <c r="J44" s="143"/>
      <c r="K44" s="143"/>
      <c r="L44" s="143"/>
      <c r="M44" s="143"/>
      <c r="N44" s="144"/>
      <c r="O44" s="131"/>
      <c r="P44" s="131"/>
    </row>
    <row r="45" spans="1:16" s="132" customFormat="1" ht="14.25">
      <c r="A45" s="239" t="s">
        <v>399</v>
      </c>
      <c r="B45" s="240"/>
      <c r="C45" s="240"/>
      <c r="D45" s="240"/>
      <c r="E45" s="240"/>
      <c r="F45" s="240"/>
      <c r="G45" s="240"/>
      <c r="H45" s="240"/>
      <c r="I45" s="240"/>
      <c r="J45" s="240"/>
      <c r="K45" s="240"/>
      <c r="L45" s="240"/>
      <c r="M45" s="240"/>
      <c r="N45" s="241"/>
      <c r="O45" s="131"/>
      <c r="P45" s="131"/>
    </row>
    <row r="46" spans="1:16" s="148" customFormat="1">
      <c r="A46" s="145"/>
      <c r="B46" s="146"/>
      <c r="C46" s="146"/>
      <c r="D46" s="146"/>
      <c r="E46" s="146"/>
      <c r="F46" s="146"/>
      <c r="G46" s="146"/>
      <c r="H46" s="146"/>
      <c r="I46" s="146"/>
      <c r="J46" s="146"/>
      <c r="K46" s="146"/>
      <c r="L46" s="146"/>
      <c r="M46" s="146"/>
      <c r="N46" s="147"/>
      <c r="O46" s="146"/>
      <c r="P46" s="146"/>
    </row>
    <row r="47" spans="1:16" s="153" customFormat="1" ht="51.75" customHeight="1">
      <c r="A47" s="242" t="s">
        <v>400</v>
      </c>
      <c r="B47" s="243"/>
      <c r="C47" s="243"/>
      <c r="D47" s="243"/>
      <c r="E47" s="243"/>
      <c r="F47" s="243"/>
      <c r="G47" s="243"/>
      <c r="H47" s="243"/>
      <c r="I47" s="243"/>
      <c r="J47" s="243"/>
      <c r="K47" s="243"/>
      <c r="L47" s="243"/>
      <c r="M47" s="243"/>
      <c r="N47" s="244"/>
      <c r="O47" s="152"/>
      <c r="P47" s="152"/>
    </row>
    <row r="48" spans="1:16" s="153" customFormat="1" ht="15" customHeight="1">
      <c r="A48" s="149"/>
      <c r="B48" s="150"/>
      <c r="C48" s="150"/>
      <c r="D48" s="150"/>
      <c r="E48" s="150"/>
      <c r="F48" s="150"/>
      <c r="G48" s="150"/>
      <c r="H48" s="150"/>
      <c r="I48" s="150"/>
      <c r="J48" s="150"/>
      <c r="K48" s="150"/>
      <c r="L48" s="150"/>
      <c r="M48" s="150"/>
      <c r="N48" s="151"/>
      <c r="O48" s="152"/>
      <c r="P48" s="152"/>
    </row>
    <row r="49" spans="1:16" s="153" customFormat="1" ht="51.75" customHeight="1">
      <c r="A49" s="218" t="s">
        <v>401</v>
      </c>
      <c r="B49" s="219"/>
      <c r="C49" s="219"/>
      <c r="D49" s="219"/>
      <c r="E49" s="219"/>
      <c r="F49" s="219"/>
      <c r="G49" s="219"/>
      <c r="H49" s="219"/>
      <c r="I49" s="219"/>
      <c r="J49" s="219"/>
      <c r="K49" s="219"/>
      <c r="L49" s="219"/>
      <c r="M49" s="219"/>
      <c r="N49" s="220"/>
      <c r="O49" s="152"/>
      <c r="P49" s="152"/>
    </row>
  </sheetData>
  <sheetProtection algorithmName="SHA-512" hashValue="H4DKQrEB2lUeG83PcmN4uKFgUPEYXYSjcshbK1KWZ9exx61SHd7nLArVlyds6wJLr/ccdlEQtIMdMazvBWuc7g==" saltValue="JYdTmokOm4iS+WBx4ze/Qg==" spinCount="100000" sheet="1" objects="1" scenarios="1"/>
  <protectedRanges>
    <protectedRange sqref="G25:H29" name="Valores"/>
    <protectedRange sqref="E32:E35" name="Impostos"/>
  </protectedRanges>
  <mergeCells count="36">
    <mergeCell ref="A19:N19"/>
    <mergeCell ref="A1:N1"/>
    <mergeCell ref="A5:N5"/>
    <mergeCell ref="A7:M7"/>
    <mergeCell ref="A11:N11"/>
    <mergeCell ref="A12:N12"/>
    <mergeCell ref="A13:N13"/>
    <mergeCell ref="A14:N14"/>
    <mergeCell ref="A15:N15"/>
    <mergeCell ref="A16:N16"/>
    <mergeCell ref="A17:N17"/>
    <mergeCell ref="A18:N18"/>
    <mergeCell ref="A20:N20"/>
    <mergeCell ref="A21:N21"/>
    <mergeCell ref="D23:F23"/>
    <mergeCell ref="G23:H24"/>
    <mergeCell ref="A25:C25"/>
    <mergeCell ref="G25:H25"/>
    <mergeCell ref="A26:C26"/>
    <mergeCell ref="G26:H26"/>
    <mergeCell ref="A27:C27"/>
    <mergeCell ref="G27:H27"/>
    <mergeCell ref="A28:C28"/>
    <mergeCell ref="G28:H28"/>
    <mergeCell ref="A49:N49"/>
    <mergeCell ref="A29:C29"/>
    <mergeCell ref="G29:H29"/>
    <mergeCell ref="D31:F31"/>
    <mergeCell ref="A32:B35"/>
    <mergeCell ref="C32:C35"/>
    <mergeCell ref="F32:F35"/>
    <mergeCell ref="A37:B37"/>
    <mergeCell ref="A41:N41"/>
    <mergeCell ref="A43:N43"/>
    <mergeCell ref="A45:N45"/>
    <mergeCell ref="A47:N47"/>
  </mergeCells>
  <printOptions horizontalCentered="1" verticalCentered="1"/>
  <pageMargins left="0.51181102362204722" right="0.51181102362204722" top="0" bottom="0.39370078740157483" header="0.31496062992125984" footer="0.31496062992125984"/>
  <pageSetup paperSize="9" scale="63" orientation="portrait" horizontalDpi="4294967293" r:id="rId1"/>
  <colBreaks count="1" manualBreakCount="1">
    <brk id="1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27">
    <pageSetUpPr fitToPage="1"/>
  </sheetPr>
  <dimension ref="A1:AMJ50"/>
  <sheetViews>
    <sheetView view="pageBreakPreview" zoomScaleNormal="100" workbookViewId="0">
      <selection activeCell="G43" sqref="G43"/>
    </sheetView>
  </sheetViews>
  <sheetFormatPr defaultColWidth="8.85546875" defaultRowHeight="15"/>
  <cols>
    <col min="1" max="1" width="10.7109375" style="48" customWidth="1"/>
    <col min="2" max="2" width="65.7109375" style="48" customWidth="1"/>
    <col min="3" max="4" width="16.7109375" style="48" customWidth="1"/>
    <col min="5" max="5" width="12" style="48" customWidth="1"/>
    <col min="6" max="6" width="13.140625" style="48" customWidth="1"/>
    <col min="7" max="7" width="11" style="48" customWidth="1"/>
    <col min="8" max="9" width="10.140625" style="48" customWidth="1"/>
    <col min="10" max="1024" width="8.85546875" style="48"/>
  </cols>
  <sheetData>
    <row r="1" spans="1:8" ht="21" customHeight="1">
      <c r="A1" s="49"/>
      <c r="B1" s="267" t="str">
        <f>'1.RESUMO'!$A$4</f>
        <v>TRIBUNAL REGIONAL FEDERAL DA SEXTA REGIÃO</v>
      </c>
      <c r="C1" s="267"/>
      <c r="D1" s="267"/>
    </row>
    <row r="2" spans="1:8" ht="21" customHeight="1">
      <c r="A2" s="50"/>
      <c r="B2" s="267"/>
      <c r="C2" s="267"/>
      <c r="D2" s="267"/>
    </row>
    <row r="3" spans="1:8" ht="21" customHeight="1">
      <c r="A3" s="50"/>
      <c r="B3" s="267"/>
      <c r="C3" s="267"/>
      <c r="D3" s="267"/>
    </row>
    <row r="4" spans="1:8">
      <c r="A4" s="51" t="s">
        <v>402</v>
      </c>
      <c r="B4" s="268" t="str">
        <f>'1.RESUMO'!$B$7</f>
        <v>INSTALAÇÕES DE INCÊNDIO - SEDES TRF6 E GALPÃO - JUSTIÇA FEDERAL DE PRIMEIRO GRAU DE MINAS GERAIS</v>
      </c>
      <c r="C4" s="268"/>
      <c r="D4" s="268"/>
    </row>
    <row r="5" spans="1:8">
      <c r="A5" s="52" t="s">
        <v>403</v>
      </c>
      <c r="B5" s="269" t="str">
        <f>'1.RESUMO'!$A$4</f>
        <v>TRIBUNAL REGIONAL FEDERAL DA SEXTA REGIÃO</v>
      </c>
      <c r="C5" s="269"/>
      <c r="D5" s="269"/>
    </row>
    <row r="6" spans="1:8" ht="12.75" customHeight="1">
      <c r="A6" s="52" t="s">
        <v>404</v>
      </c>
      <c r="B6" s="269" t="str">
        <f>'1.RESUMO'!$B$8</f>
        <v>AV. ÁLVARES CABRAL, 1741 – BAIRRO SANTO AGOSTINHO - BELO HORIZONTE - MG</v>
      </c>
      <c r="C6" s="269"/>
      <c r="D6" s="269"/>
    </row>
    <row r="7" spans="1:8">
      <c r="A7" s="52" t="s">
        <v>405</v>
      </c>
      <c r="B7" s="269" t="s">
        <v>406</v>
      </c>
      <c r="C7" s="269"/>
      <c r="D7" s="269"/>
    </row>
    <row r="8" spans="1:8" ht="15.75">
      <c r="A8" s="264" t="s">
        <v>407</v>
      </c>
      <c r="B8" s="264"/>
      <c r="C8" s="264"/>
      <c r="D8" s="264"/>
    </row>
    <row r="9" spans="1:8" ht="19.5" customHeight="1">
      <c r="A9" s="265" t="s">
        <v>408</v>
      </c>
      <c r="B9" s="265" t="s">
        <v>409</v>
      </c>
      <c r="C9" s="265" t="s">
        <v>410</v>
      </c>
      <c r="D9" s="265"/>
      <c r="F9" s="54"/>
    </row>
    <row r="10" spans="1:8" ht="18.75" customHeight="1">
      <c r="A10" s="265"/>
      <c r="B10" s="265"/>
      <c r="C10" s="53" t="s">
        <v>411</v>
      </c>
      <c r="D10" s="53" t="s">
        <v>412</v>
      </c>
    </row>
    <row r="11" spans="1:8">
      <c r="A11" s="266" t="s">
        <v>413</v>
      </c>
      <c r="B11" s="266"/>
      <c r="C11" s="266"/>
      <c r="D11" s="266"/>
    </row>
    <row r="12" spans="1:8" s="60" customFormat="1" ht="18" customHeight="1">
      <c r="A12" s="55" t="s">
        <v>414</v>
      </c>
      <c r="B12" s="56" t="s">
        <v>415</v>
      </c>
      <c r="C12" s="57">
        <v>0.05</v>
      </c>
      <c r="D12" s="58">
        <v>0.05</v>
      </c>
      <c r="E12" s="59"/>
      <c r="F12" s="59"/>
    </row>
    <row r="13" spans="1:8" s="60" customFormat="1" ht="18" customHeight="1">
      <c r="A13" s="55" t="s">
        <v>416</v>
      </c>
      <c r="B13" s="56" t="s">
        <v>417</v>
      </c>
      <c r="C13" s="57">
        <v>1.4999999999999999E-2</v>
      </c>
      <c r="D13" s="58">
        <v>1.4999999999999999E-2</v>
      </c>
      <c r="E13" s="59"/>
      <c r="F13" s="59"/>
      <c r="H13" s="61"/>
    </row>
    <row r="14" spans="1:8" s="60" customFormat="1" ht="18" customHeight="1">
      <c r="A14" s="55" t="s">
        <v>418</v>
      </c>
      <c r="B14" s="56" t="s">
        <v>419</v>
      </c>
      <c r="C14" s="57">
        <v>0.01</v>
      </c>
      <c r="D14" s="58">
        <v>0.01</v>
      </c>
      <c r="E14" s="59"/>
      <c r="F14" s="59"/>
    </row>
    <row r="15" spans="1:8" s="60" customFormat="1" ht="18" customHeight="1">
      <c r="A15" s="55" t="s">
        <v>420</v>
      </c>
      <c r="B15" s="56" t="s">
        <v>421</v>
      </c>
      <c r="C15" s="57">
        <v>2E-3</v>
      </c>
      <c r="D15" s="58">
        <v>2E-3</v>
      </c>
      <c r="E15" s="59"/>
      <c r="F15" s="61"/>
      <c r="G15" s="61"/>
    </row>
    <row r="16" spans="1:8" s="60" customFormat="1" ht="18" customHeight="1">
      <c r="A16" s="55" t="s">
        <v>422</v>
      </c>
      <c r="B16" s="56" t="s">
        <v>423</v>
      </c>
      <c r="C16" s="57">
        <v>6.0000000000000001E-3</v>
      </c>
      <c r="D16" s="58">
        <v>6.0000000000000001E-3</v>
      </c>
      <c r="E16" s="59"/>
      <c r="F16" s="61"/>
      <c r="G16" s="61"/>
    </row>
    <row r="17" spans="1:9" s="60" customFormat="1" ht="18" customHeight="1">
      <c r="A17" s="55" t="s">
        <v>424</v>
      </c>
      <c r="B17" s="56" t="s">
        <v>425</v>
      </c>
      <c r="C17" s="57">
        <v>2.5000000000000001E-2</v>
      </c>
      <c r="D17" s="58">
        <v>2.5000000000000001E-2</v>
      </c>
      <c r="E17" s="59"/>
      <c r="F17" s="61"/>
      <c r="G17" s="61"/>
    </row>
    <row r="18" spans="1:9" s="60" customFormat="1" ht="18" customHeight="1">
      <c r="A18" s="55" t="s">
        <v>426</v>
      </c>
      <c r="B18" s="56" t="s">
        <v>427</v>
      </c>
      <c r="C18" s="57">
        <v>0.03</v>
      </c>
      <c r="D18" s="58">
        <v>0.03</v>
      </c>
      <c r="E18" s="59"/>
      <c r="F18" s="61"/>
      <c r="G18" s="61"/>
    </row>
    <row r="19" spans="1:9" s="60" customFormat="1" ht="18" customHeight="1">
      <c r="A19" s="55" t="s">
        <v>428</v>
      </c>
      <c r="B19" s="56" t="s">
        <v>429</v>
      </c>
      <c r="C19" s="57">
        <v>0.08</v>
      </c>
      <c r="D19" s="58">
        <v>0.08</v>
      </c>
      <c r="E19" s="59"/>
      <c r="F19" s="61"/>
      <c r="G19" s="61"/>
    </row>
    <row r="20" spans="1:9" s="60" customFormat="1" ht="18" customHeight="1">
      <c r="A20" s="55" t="s">
        <v>430</v>
      </c>
      <c r="B20" s="56" t="s">
        <v>431</v>
      </c>
      <c r="C20" s="57">
        <v>1.2E-2</v>
      </c>
      <c r="D20" s="58">
        <v>1.2E-2</v>
      </c>
      <c r="E20" s="59"/>
      <c r="F20" s="61"/>
      <c r="G20" s="61"/>
    </row>
    <row r="21" spans="1:9" s="68" customFormat="1" ht="12.75">
      <c r="A21" s="62" t="s">
        <v>432</v>
      </c>
      <c r="B21" s="63" t="s">
        <v>433</v>
      </c>
      <c r="C21" s="64">
        <f>SUM(C12:C20)</f>
        <v>0.23000000000000004</v>
      </c>
      <c r="D21" s="65">
        <f>SUM(D12:D20)</f>
        <v>0.23000000000000004</v>
      </c>
      <c r="E21" s="66"/>
      <c r="F21" s="67"/>
      <c r="G21" s="67"/>
    </row>
    <row r="22" spans="1:9">
      <c r="A22" s="262" t="s">
        <v>434</v>
      </c>
      <c r="B22" s="262"/>
      <c r="C22" s="262"/>
      <c r="D22" s="262"/>
      <c r="E22" s="69"/>
      <c r="F22" s="54"/>
      <c r="G22" s="54"/>
    </row>
    <row r="23" spans="1:9" s="60" customFormat="1" ht="18" customHeight="1">
      <c r="A23" s="55" t="s">
        <v>435</v>
      </c>
      <c r="B23" s="70" t="s">
        <v>436</v>
      </c>
      <c r="C23" s="71">
        <v>0.17760000000000001</v>
      </c>
      <c r="D23" s="58">
        <v>0</v>
      </c>
      <c r="E23" s="61"/>
      <c r="F23" s="61"/>
      <c r="G23" s="72"/>
      <c r="H23" s="61"/>
      <c r="I23" s="61"/>
    </row>
    <row r="24" spans="1:9" s="60" customFormat="1" ht="18" customHeight="1">
      <c r="A24" s="55" t="s">
        <v>437</v>
      </c>
      <c r="B24" s="56" t="s">
        <v>438</v>
      </c>
      <c r="C24" s="71">
        <v>3.6799999999999999E-2</v>
      </c>
      <c r="D24" s="58">
        <v>0</v>
      </c>
      <c r="E24" s="61"/>
      <c r="F24" s="61"/>
      <c r="G24" s="72"/>
      <c r="H24" s="61"/>
      <c r="I24" s="61"/>
    </row>
    <row r="25" spans="1:9" s="60" customFormat="1" ht="18" customHeight="1">
      <c r="A25" s="55" t="s">
        <v>439</v>
      </c>
      <c r="B25" s="70" t="s">
        <v>440</v>
      </c>
      <c r="C25" s="71">
        <v>8.6E-3</v>
      </c>
      <c r="D25" s="58">
        <v>6.4999999999999997E-3</v>
      </c>
      <c r="E25" s="61"/>
      <c r="F25" s="73"/>
      <c r="G25" s="72"/>
      <c r="H25" s="61"/>
      <c r="I25" s="61"/>
    </row>
    <row r="26" spans="1:9" s="60" customFormat="1" ht="18" customHeight="1">
      <c r="A26" s="55" t="s">
        <v>441</v>
      </c>
      <c r="B26" s="70" t="s">
        <v>442</v>
      </c>
      <c r="C26" s="71">
        <v>0.1106</v>
      </c>
      <c r="D26" s="58">
        <v>8.3299999999999999E-2</v>
      </c>
      <c r="E26" s="61"/>
      <c r="F26" s="73"/>
      <c r="G26" s="72"/>
      <c r="H26" s="61"/>
      <c r="I26" s="61"/>
    </row>
    <row r="27" spans="1:9" s="60" customFormat="1" ht="18" customHeight="1">
      <c r="A27" s="55" t="s">
        <v>443</v>
      </c>
      <c r="B27" s="70" t="s">
        <v>444</v>
      </c>
      <c r="C27" s="71">
        <v>6.9999999999999999E-4</v>
      </c>
      <c r="D27" s="58">
        <v>5.0000000000000001E-4</v>
      </c>
      <c r="E27" s="61"/>
      <c r="F27" s="73"/>
      <c r="G27" s="72"/>
      <c r="H27" s="61"/>
      <c r="I27" s="61"/>
    </row>
    <row r="28" spans="1:9" s="60" customFormat="1" ht="18" customHeight="1">
      <c r="A28" s="55" t="s">
        <v>445</v>
      </c>
      <c r="B28" s="70" t="s">
        <v>446</v>
      </c>
      <c r="C28" s="71">
        <v>7.4000000000000003E-3</v>
      </c>
      <c r="D28" s="58">
        <v>5.5999999999999999E-3</v>
      </c>
      <c r="E28" s="61"/>
      <c r="F28" s="73"/>
      <c r="G28" s="72"/>
      <c r="H28" s="61"/>
      <c r="I28" s="61"/>
    </row>
    <row r="29" spans="1:9" s="60" customFormat="1" ht="18" customHeight="1">
      <c r="A29" s="55" t="s">
        <v>447</v>
      </c>
      <c r="B29" s="70" t="s">
        <v>448</v>
      </c>
      <c r="C29" s="71">
        <v>1.09E-2</v>
      </c>
      <c r="D29" s="58">
        <v>0</v>
      </c>
      <c r="E29" s="61"/>
      <c r="F29" s="73"/>
      <c r="G29" s="72"/>
      <c r="H29" s="61"/>
      <c r="I29" s="61"/>
    </row>
    <row r="30" spans="1:9" s="60" customFormat="1" ht="18" customHeight="1">
      <c r="A30" s="55" t="s">
        <v>449</v>
      </c>
      <c r="B30" s="70" t="s">
        <v>450</v>
      </c>
      <c r="C30" s="71">
        <v>1E-3</v>
      </c>
      <c r="D30" s="58">
        <v>6.9999999999999999E-4</v>
      </c>
      <c r="E30" s="61"/>
      <c r="F30" s="73"/>
      <c r="G30" s="72"/>
      <c r="H30" s="61"/>
      <c r="I30" s="61"/>
    </row>
    <row r="31" spans="1:9" s="60" customFormat="1" ht="18" customHeight="1">
      <c r="A31" s="55" t="s">
        <v>451</v>
      </c>
      <c r="B31" s="70" t="s">
        <v>452</v>
      </c>
      <c r="C31" s="71">
        <v>0.1384</v>
      </c>
      <c r="D31" s="58">
        <v>0.1042</v>
      </c>
      <c r="E31" s="61"/>
      <c r="F31" s="73"/>
      <c r="G31" s="72"/>
      <c r="H31" s="61"/>
      <c r="I31" s="61"/>
    </row>
    <row r="32" spans="1:9" s="60" customFormat="1" ht="18" customHeight="1">
      <c r="A32" s="55" t="s">
        <v>453</v>
      </c>
      <c r="B32" s="70" t="s">
        <v>454</v>
      </c>
      <c r="C32" s="71">
        <v>2.9999999999999997E-4</v>
      </c>
      <c r="D32" s="58">
        <v>2.9999999999999997E-4</v>
      </c>
      <c r="E32" s="61"/>
      <c r="F32" s="73"/>
      <c r="G32" s="72"/>
      <c r="H32" s="61"/>
      <c r="I32" s="61"/>
    </row>
    <row r="33" spans="1:9" s="68" customFormat="1" ht="12.75">
      <c r="A33" s="62" t="s">
        <v>455</v>
      </c>
      <c r="B33" s="63" t="s">
        <v>456</v>
      </c>
      <c r="C33" s="64">
        <f>SUM(C23:C32)</f>
        <v>0.49230000000000002</v>
      </c>
      <c r="D33" s="65">
        <f>SUM(D23:D32)</f>
        <v>0.2011</v>
      </c>
      <c r="F33" s="74"/>
      <c r="G33" s="67"/>
      <c r="H33" s="67"/>
      <c r="I33" s="67"/>
    </row>
    <row r="34" spans="1:9">
      <c r="A34" s="262" t="s">
        <v>457</v>
      </c>
      <c r="B34" s="262"/>
      <c r="C34" s="262"/>
      <c r="D34" s="262"/>
      <c r="E34" s="69"/>
      <c r="F34" s="54"/>
      <c r="G34" s="54"/>
    </row>
    <row r="35" spans="1:9" s="60" customFormat="1" ht="18" customHeight="1">
      <c r="A35" s="55" t="s">
        <v>458</v>
      </c>
      <c r="B35" s="70" t="s">
        <v>459</v>
      </c>
      <c r="C35" s="71">
        <v>5.9700000000000003E-2</v>
      </c>
      <c r="D35" s="58">
        <v>4.4999999999999998E-2</v>
      </c>
      <c r="E35" s="61"/>
      <c r="F35" s="61"/>
      <c r="G35" s="72"/>
      <c r="H35" s="61"/>
      <c r="I35" s="61"/>
    </row>
    <row r="36" spans="1:9" s="60" customFormat="1" ht="18" customHeight="1">
      <c r="A36" s="55" t="s">
        <v>460</v>
      </c>
      <c r="B36" s="56" t="s">
        <v>461</v>
      </c>
      <c r="C36" s="71">
        <v>1.4E-3</v>
      </c>
      <c r="D36" s="58">
        <v>1.1000000000000001E-3</v>
      </c>
      <c r="E36" s="61"/>
      <c r="F36" s="61"/>
      <c r="G36" s="72"/>
      <c r="H36" s="61"/>
      <c r="I36" s="61"/>
    </row>
    <row r="37" spans="1:9" s="60" customFormat="1" ht="18" customHeight="1">
      <c r="A37" s="55" t="s">
        <v>462</v>
      </c>
      <c r="B37" s="70" t="s">
        <v>463</v>
      </c>
      <c r="C37" s="71">
        <v>9.2999999999999992E-3</v>
      </c>
      <c r="D37" s="58">
        <v>7.0000000000000001E-3</v>
      </c>
      <c r="E37" s="61"/>
      <c r="F37" s="73"/>
      <c r="G37" s="72"/>
      <c r="H37" s="61"/>
      <c r="I37" s="61"/>
    </row>
    <row r="38" spans="1:9" s="60" customFormat="1" ht="18" customHeight="1">
      <c r="A38" s="55" t="s">
        <v>464</v>
      </c>
      <c r="B38" s="70" t="s">
        <v>465</v>
      </c>
      <c r="C38" s="71">
        <v>2.7799999999999998E-2</v>
      </c>
      <c r="D38" s="58">
        <v>2.0899999999999998E-2</v>
      </c>
      <c r="E38" s="61"/>
      <c r="F38" s="73"/>
      <c r="G38" s="72"/>
      <c r="H38" s="61"/>
      <c r="I38" s="61"/>
    </row>
    <row r="39" spans="1:9" s="60" customFormat="1" ht="18" customHeight="1">
      <c r="A39" s="55" t="s">
        <v>466</v>
      </c>
      <c r="B39" s="70" t="s">
        <v>467</v>
      </c>
      <c r="C39" s="71">
        <v>5.0000000000000001E-3</v>
      </c>
      <c r="D39" s="58">
        <v>3.8E-3</v>
      </c>
      <c r="E39" s="61"/>
      <c r="F39" s="73"/>
      <c r="G39" s="72"/>
      <c r="H39" s="61"/>
      <c r="I39" s="61"/>
    </row>
    <row r="40" spans="1:9" s="68" customFormat="1" ht="12.75">
      <c r="A40" s="62" t="s">
        <v>468</v>
      </c>
      <c r="B40" s="63" t="s">
        <v>469</v>
      </c>
      <c r="C40" s="64">
        <f>SUM(C35:C39)</f>
        <v>0.10320000000000001</v>
      </c>
      <c r="D40" s="65">
        <f>SUM(D35:D39)</f>
        <v>7.7799999999999994E-2</v>
      </c>
      <c r="F40" s="74"/>
      <c r="G40" s="67"/>
      <c r="H40" s="67"/>
      <c r="I40" s="67"/>
    </row>
    <row r="41" spans="1:9">
      <c r="A41" s="262" t="s">
        <v>470</v>
      </c>
      <c r="B41" s="262"/>
      <c r="C41" s="262"/>
      <c r="D41" s="262"/>
      <c r="E41" s="69"/>
      <c r="F41" s="54"/>
      <c r="G41" s="54"/>
    </row>
    <row r="42" spans="1:9" s="60" customFormat="1" ht="18" customHeight="1">
      <c r="A42" s="55" t="s">
        <v>471</v>
      </c>
      <c r="B42" s="70" t="s">
        <v>472</v>
      </c>
      <c r="C42" s="71">
        <v>0.1077</v>
      </c>
      <c r="D42" s="58">
        <v>4.2099999999999999E-2</v>
      </c>
      <c r="E42" s="61"/>
      <c r="F42" s="61"/>
      <c r="G42" s="72"/>
      <c r="H42" s="61"/>
      <c r="I42" s="61"/>
    </row>
    <row r="43" spans="1:9" s="60" customFormat="1" ht="25.5">
      <c r="A43" s="55" t="s">
        <v>473</v>
      </c>
      <c r="B43" s="70" t="s">
        <v>474</v>
      </c>
      <c r="C43" s="71">
        <v>5.1000000000000004E-3</v>
      </c>
      <c r="D43" s="58">
        <v>3.8999999999999998E-3</v>
      </c>
      <c r="E43" s="61"/>
      <c r="F43" s="61"/>
      <c r="G43" s="72"/>
      <c r="H43" s="61"/>
      <c r="I43" s="61"/>
    </row>
    <row r="44" spans="1:9" s="68" customFormat="1" ht="12.75">
      <c r="A44" s="62" t="s">
        <v>475</v>
      </c>
      <c r="B44" s="63" t="s">
        <v>476</v>
      </c>
      <c r="C44" s="64">
        <f>SUM(C42:C43)</f>
        <v>0.11280000000000001</v>
      </c>
      <c r="D44" s="65">
        <f>SUM(D42:D43)</f>
        <v>4.5999999999999999E-2</v>
      </c>
      <c r="F44" s="74"/>
      <c r="G44" s="67"/>
      <c r="H44" s="67"/>
      <c r="I44" s="67"/>
    </row>
    <row r="45" spans="1:9">
      <c r="A45" s="263" t="s">
        <v>477</v>
      </c>
      <c r="B45" s="263"/>
      <c r="C45" s="75">
        <f>C44+C40+C33+C21</f>
        <v>0.93830000000000013</v>
      </c>
      <c r="D45" s="75">
        <f>D44+D40+D33+D21</f>
        <v>0.55489999999999995</v>
      </c>
    </row>
    <row r="48" spans="1:9">
      <c r="D48" s="76"/>
    </row>
    <row r="49" spans="4:4">
      <c r="D49" s="77"/>
    </row>
    <row r="50" spans="4:4">
      <c r="D50" s="76"/>
    </row>
  </sheetData>
  <mergeCells count="14">
    <mergeCell ref="B1:D3"/>
    <mergeCell ref="B4:D4"/>
    <mergeCell ref="B5:D5"/>
    <mergeCell ref="B6:D6"/>
    <mergeCell ref="B7:D7"/>
    <mergeCell ref="A22:D22"/>
    <mergeCell ref="A34:D34"/>
    <mergeCell ref="A41:D41"/>
    <mergeCell ref="A45:B45"/>
    <mergeCell ref="A8:D8"/>
    <mergeCell ref="A9:A10"/>
    <mergeCell ref="B9:B10"/>
    <mergeCell ref="C9:D9"/>
    <mergeCell ref="A11:D11"/>
  </mergeCells>
  <printOptions horizontalCentered="1" verticalCentered="1"/>
  <pageMargins left="0.47013888888888899" right="0.4" top="0.359722222222222" bottom="0.67986111111111103" header="0.511811023622047" footer="0.511811023622047"/>
  <pageSetup scale="8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6">
    <pageSetUpPr fitToPage="1"/>
  </sheetPr>
  <dimension ref="A1:N51"/>
  <sheetViews>
    <sheetView showGridLines="0" view="pageBreakPreview" zoomScaleNormal="80" zoomScaleSheetLayoutView="100" zoomScalePageLayoutView="70" workbookViewId="0">
      <pane ySplit="4" topLeftCell="A5" activePane="bottomLeft" state="frozen"/>
      <selection pane="bottomLeft" activeCell="J9" sqref="J9"/>
    </sheetView>
  </sheetViews>
  <sheetFormatPr defaultColWidth="8.7109375" defaultRowHeight="15"/>
  <cols>
    <col min="1" max="1" width="6.7109375" customWidth="1"/>
    <col min="2" max="2" width="63.7109375" style="13" customWidth="1"/>
    <col min="3" max="3" width="19.5703125" customWidth="1"/>
    <col min="4" max="4" width="11.42578125" customWidth="1"/>
    <col min="5" max="5" width="17.140625" customWidth="1"/>
    <col min="6" max="6" width="17.42578125" customWidth="1"/>
    <col min="7" max="7" width="18.5703125" customWidth="1"/>
    <col min="8" max="8" width="19.7109375" customWidth="1"/>
    <col min="9" max="9" width="19.28515625" customWidth="1"/>
    <col min="10" max="10" width="20" customWidth="1"/>
    <col min="11" max="11" width="15.42578125" customWidth="1"/>
    <col min="12" max="12" width="11.28515625" customWidth="1"/>
    <col min="13" max="13" width="13.7109375" customWidth="1"/>
    <col min="14" max="14" width="10.5703125" bestFit="1" customWidth="1"/>
  </cols>
  <sheetData>
    <row r="1" spans="1:14" ht="15" customHeight="1">
      <c r="A1" s="276" t="s">
        <v>478</v>
      </c>
      <c r="B1" s="277"/>
      <c r="C1" s="277"/>
      <c r="D1" s="277"/>
      <c r="E1" s="277"/>
      <c r="F1" s="277"/>
      <c r="G1" s="277"/>
      <c r="H1" s="277"/>
      <c r="I1" s="277"/>
      <c r="J1" s="278"/>
    </row>
    <row r="2" spans="1:14" ht="15.75" customHeight="1">
      <c r="A2" s="279"/>
      <c r="B2" s="280"/>
      <c r="C2" s="280"/>
      <c r="D2" s="280"/>
      <c r="E2" s="280"/>
      <c r="F2" s="280"/>
      <c r="G2" s="280"/>
      <c r="H2" s="280"/>
      <c r="I2" s="280"/>
      <c r="J2" s="281"/>
    </row>
    <row r="3" spans="1:14" s="12" customFormat="1" ht="15" customHeight="1">
      <c r="A3" s="282" t="s">
        <v>6</v>
      </c>
      <c r="B3" s="284" t="s">
        <v>7</v>
      </c>
      <c r="C3" s="284" t="s">
        <v>479</v>
      </c>
      <c r="D3" s="286" t="s">
        <v>9</v>
      </c>
      <c r="E3" s="80" t="s">
        <v>480</v>
      </c>
      <c r="F3" s="80"/>
      <c r="G3" s="80"/>
      <c r="H3" s="80"/>
      <c r="I3" s="80"/>
      <c r="J3" s="80"/>
    </row>
    <row r="4" spans="1:14" s="12" customFormat="1">
      <c r="A4" s="283"/>
      <c r="B4" s="285"/>
      <c r="C4" s="285"/>
      <c r="D4" s="287"/>
      <c r="E4" s="14">
        <v>1</v>
      </c>
      <c r="F4" s="14">
        <v>2</v>
      </c>
      <c r="G4" s="14">
        <f t="shared" ref="G4:I4" si="0">F4+1</f>
        <v>3</v>
      </c>
      <c r="H4" s="14">
        <f t="shared" si="0"/>
        <v>4</v>
      </c>
      <c r="I4" s="14">
        <f t="shared" si="0"/>
        <v>5</v>
      </c>
      <c r="J4" s="15">
        <f>I4+1</f>
        <v>6</v>
      </c>
    </row>
    <row r="5" spans="1:14">
      <c r="A5" s="16"/>
      <c r="B5" s="17"/>
      <c r="C5" s="18"/>
      <c r="D5" s="19"/>
      <c r="E5" s="20"/>
      <c r="F5" s="19"/>
      <c r="G5" s="19"/>
      <c r="H5" s="19"/>
      <c r="I5" s="19"/>
      <c r="J5" s="21"/>
    </row>
    <row r="6" spans="1:14">
      <c r="A6" s="273">
        <v>1</v>
      </c>
      <c r="B6" s="270" t="str">
        <f>VLOOKUP(A6,'1.RESUMO'!A:B,2,FALSE())</f>
        <v>SERVIÇOS PRELIMINARES</v>
      </c>
      <c r="C6" s="22">
        <f>VLOOKUP(A6,'1.RESUMO'!A:C,3,FALSE())</f>
        <v>3962.34</v>
      </c>
      <c r="D6" s="23">
        <f>C6/$C$35</f>
        <v>8.6975592006123138E-3</v>
      </c>
      <c r="E6" s="24">
        <v>0.5</v>
      </c>
      <c r="F6" s="25">
        <v>0</v>
      </c>
      <c r="G6" s="25">
        <v>0</v>
      </c>
      <c r="H6" s="25">
        <v>0</v>
      </c>
      <c r="I6" s="25">
        <v>0.5</v>
      </c>
      <c r="J6" s="25">
        <v>0</v>
      </c>
      <c r="L6" s="26">
        <f>SUM(E6:J6)</f>
        <v>1</v>
      </c>
    </row>
    <row r="7" spans="1:14" hidden="1">
      <c r="A7" s="274"/>
      <c r="B7" s="271"/>
      <c r="C7" s="27"/>
      <c r="D7" s="28"/>
      <c r="E7" s="36">
        <v>0</v>
      </c>
      <c r="F7" s="36">
        <v>0</v>
      </c>
      <c r="G7" s="36">
        <v>0</v>
      </c>
      <c r="H7" s="36">
        <v>0</v>
      </c>
      <c r="I7" s="36">
        <v>0</v>
      </c>
      <c r="J7" s="29"/>
      <c r="L7" s="26"/>
    </row>
    <row r="8" spans="1:14" hidden="1">
      <c r="A8" s="274"/>
      <c r="B8" s="271"/>
      <c r="C8" s="30"/>
      <c r="D8" s="30"/>
      <c r="E8" s="31">
        <f t="shared" ref="E8:J8" si="1">E9*E7</f>
        <v>0</v>
      </c>
      <c r="F8" s="31">
        <f t="shared" si="1"/>
        <v>0</v>
      </c>
      <c r="G8" s="31">
        <f t="shared" si="1"/>
        <v>0</v>
      </c>
      <c r="H8" s="31">
        <f t="shared" si="1"/>
        <v>0</v>
      </c>
      <c r="I8" s="31">
        <f t="shared" ref="I8" si="2">I9*I7</f>
        <v>0</v>
      </c>
      <c r="J8" s="31">
        <f t="shared" si="1"/>
        <v>0</v>
      </c>
    </row>
    <row r="9" spans="1:14">
      <c r="A9" s="275"/>
      <c r="B9" s="272"/>
      <c r="C9" s="32"/>
      <c r="D9" s="33"/>
      <c r="E9" s="34">
        <f t="shared" ref="E9:J9" si="3">E6*$C$6</f>
        <v>1981.17</v>
      </c>
      <c r="F9" s="34">
        <f t="shared" si="3"/>
        <v>0</v>
      </c>
      <c r="G9" s="34">
        <f t="shared" si="3"/>
        <v>0</v>
      </c>
      <c r="H9" s="34">
        <f t="shared" si="3"/>
        <v>0</v>
      </c>
      <c r="I9" s="34">
        <f t="shared" ref="I9" si="4">I6*$C$6</f>
        <v>1981.17</v>
      </c>
      <c r="J9" s="34">
        <f t="shared" si="3"/>
        <v>0</v>
      </c>
      <c r="M9" s="35">
        <f>SUM(E9:J9)</f>
        <v>3962.34</v>
      </c>
      <c r="N9" s="35">
        <f>M9-C6</f>
        <v>0</v>
      </c>
    </row>
    <row r="10" spans="1:14">
      <c r="A10" s="273">
        <v>2</v>
      </c>
      <c r="B10" s="270" t="str">
        <f>VLOOKUP(A10,'1.RESUMO'!A:B,2,FALSE())</f>
        <v>ADMINISTRAÇÃO LOCAL</v>
      </c>
      <c r="C10" s="22">
        <f>VLOOKUP(A10,'1.RESUMO'!A:C,3,FALSE())</f>
        <v>20823.86</v>
      </c>
      <c r="D10" s="23">
        <f>C10/$C$35</f>
        <v>4.5709544141911786E-2</v>
      </c>
      <c r="E10" s="25">
        <f t="shared" ref="E10:J10" si="5">1/6</f>
        <v>0.16666666666666666</v>
      </c>
      <c r="F10" s="25">
        <f t="shared" si="5"/>
        <v>0.16666666666666666</v>
      </c>
      <c r="G10" s="25">
        <f t="shared" si="5"/>
        <v>0.16666666666666666</v>
      </c>
      <c r="H10" s="25">
        <f t="shared" si="5"/>
        <v>0.16666666666666666</v>
      </c>
      <c r="I10" s="25">
        <f t="shared" si="5"/>
        <v>0.16666666666666666</v>
      </c>
      <c r="J10" s="25">
        <f t="shared" si="5"/>
        <v>0.16666666666666666</v>
      </c>
      <c r="L10" s="26">
        <f>SUM(E10:J10)</f>
        <v>0.99999999999999989</v>
      </c>
    </row>
    <row r="11" spans="1:14" hidden="1">
      <c r="A11" s="274"/>
      <c r="B11" s="271"/>
      <c r="C11" s="27"/>
      <c r="D11" s="28"/>
      <c r="E11" s="36">
        <v>0</v>
      </c>
      <c r="F11" s="36">
        <v>0</v>
      </c>
      <c r="G11" s="36">
        <v>0</v>
      </c>
      <c r="H11" s="36">
        <v>0</v>
      </c>
      <c r="I11" s="36">
        <v>0</v>
      </c>
      <c r="J11" s="36">
        <v>0</v>
      </c>
      <c r="L11" s="26"/>
    </row>
    <row r="12" spans="1:14" hidden="1">
      <c r="A12" s="274"/>
      <c r="B12" s="271"/>
      <c r="C12" s="30"/>
      <c r="D12" s="30"/>
      <c r="E12" s="31">
        <f t="shared" ref="E12:H12" si="6">E13*E11</f>
        <v>0</v>
      </c>
      <c r="F12" s="31">
        <f t="shared" si="6"/>
        <v>0</v>
      </c>
      <c r="G12" s="31">
        <f t="shared" si="6"/>
        <v>0</v>
      </c>
      <c r="H12" s="31">
        <f t="shared" si="6"/>
        <v>0</v>
      </c>
      <c r="I12" s="31">
        <f t="shared" ref="I12:J12" si="7">I13*I11</f>
        <v>0</v>
      </c>
      <c r="J12" s="31">
        <f t="shared" si="7"/>
        <v>0</v>
      </c>
    </row>
    <row r="13" spans="1:14">
      <c r="A13" s="275"/>
      <c r="B13" s="272"/>
      <c r="C13" s="32"/>
      <c r="D13" s="33"/>
      <c r="E13" s="34">
        <f t="shared" ref="E13:H13" si="8">E10*$C$10</f>
        <v>3470.6433333333334</v>
      </c>
      <c r="F13" s="34">
        <f t="shared" si="8"/>
        <v>3470.6433333333334</v>
      </c>
      <c r="G13" s="34">
        <f t="shared" si="8"/>
        <v>3470.6433333333334</v>
      </c>
      <c r="H13" s="34">
        <f t="shared" si="8"/>
        <v>3470.6433333333334</v>
      </c>
      <c r="I13" s="34">
        <f t="shared" ref="I13:J13" si="9">I10*$C$10</f>
        <v>3470.6433333333334</v>
      </c>
      <c r="J13" s="34">
        <f t="shared" si="9"/>
        <v>3470.6433333333334</v>
      </c>
      <c r="M13" s="35">
        <f>SUM(E13:J13)</f>
        <v>20823.86</v>
      </c>
      <c r="N13" s="35">
        <f>M13-C10</f>
        <v>0</v>
      </c>
    </row>
    <row r="14" spans="1:14">
      <c r="A14" s="273">
        <v>3</v>
      </c>
      <c r="B14" s="270" t="str">
        <f>VLOOKUP(A14,'1.RESUMO'!A:B,2,FALSE())</f>
        <v>EDIFÍCIO  EUCLYDES REIS AGUIAR</v>
      </c>
      <c r="C14" s="22">
        <f>VLOOKUP(A14,'1.RESUMO'!A:C,3,FALSE())</f>
        <v>130110.06</v>
      </c>
      <c r="D14" s="23">
        <f>C14/$C$35</f>
        <v>0.2855989010143552</v>
      </c>
      <c r="E14" s="25">
        <v>0.25</v>
      </c>
      <c r="F14" s="25">
        <v>0.25</v>
      </c>
      <c r="G14" s="25">
        <v>0.25</v>
      </c>
      <c r="H14" s="25">
        <v>0.25</v>
      </c>
      <c r="I14" s="25"/>
      <c r="J14" s="25"/>
      <c r="L14" s="26">
        <f>SUM(E14:J14)</f>
        <v>1</v>
      </c>
    </row>
    <row r="15" spans="1:14" hidden="1">
      <c r="A15" s="274"/>
      <c r="B15" s="271"/>
      <c r="C15" s="27"/>
      <c r="D15" s="28"/>
      <c r="E15" s="36">
        <v>0</v>
      </c>
      <c r="F15" s="36">
        <v>0</v>
      </c>
      <c r="G15" s="36">
        <v>0</v>
      </c>
      <c r="H15" s="36">
        <v>0</v>
      </c>
      <c r="I15" s="29"/>
      <c r="J15" s="29"/>
      <c r="L15" s="26"/>
    </row>
    <row r="16" spans="1:14" hidden="1">
      <c r="A16" s="274"/>
      <c r="B16" s="271"/>
      <c r="C16" s="30"/>
      <c r="D16" s="30"/>
      <c r="E16" s="31">
        <f t="shared" ref="E16:J16" si="10">E17*E15</f>
        <v>0</v>
      </c>
      <c r="F16" s="31">
        <f t="shared" si="10"/>
        <v>0</v>
      </c>
      <c r="G16" s="31">
        <f t="shared" si="10"/>
        <v>0</v>
      </c>
      <c r="H16" s="31">
        <f t="shared" si="10"/>
        <v>0</v>
      </c>
      <c r="I16" s="31">
        <f t="shared" si="10"/>
        <v>0</v>
      </c>
      <c r="J16" s="31">
        <f t="shared" si="10"/>
        <v>0</v>
      </c>
    </row>
    <row r="17" spans="1:14">
      <c r="A17" s="275"/>
      <c r="B17" s="272"/>
      <c r="C17" s="32"/>
      <c r="D17" s="33"/>
      <c r="E17" s="34">
        <f t="shared" ref="E17:J17" si="11">E14*$C$14</f>
        <v>32527.514999999999</v>
      </c>
      <c r="F17" s="34">
        <f t="shared" si="11"/>
        <v>32527.514999999999</v>
      </c>
      <c r="G17" s="34">
        <f t="shared" si="11"/>
        <v>32527.514999999999</v>
      </c>
      <c r="H17" s="34">
        <f t="shared" si="11"/>
        <v>32527.514999999999</v>
      </c>
      <c r="I17" s="34">
        <f t="shared" si="11"/>
        <v>0</v>
      </c>
      <c r="J17" s="34">
        <f t="shared" si="11"/>
        <v>0</v>
      </c>
      <c r="M17" s="35">
        <f>SUM(E17:J17)</f>
        <v>130110.06</v>
      </c>
      <c r="N17" s="35">
        <f>M17-C14</f>
        <v>0</v>
      </c>
    </row>
    <row r="18" spans="1:14">
      <c r="A18" s="273">
        <v>4</v>
      </c>
      <c r="B18" s="270" t="str">
        <f>VLOOKUP(A18,'1.RESUMO'!A:B,2,FALSE())</f>
        <v>EDIFÍCIO ANTÔNIO FERNANDO PINHEIRO</v>
      </c>
      <c r="C18" s="22">
        <f>VLOOKUP(A18,'1.RESUMO'!A:C,3,FALSE())</f>
        <v>85329.18</v>
      </c>
      <c r="D18" s="23">
        <f>C18/$C$35</f>
        <v>0.1873023502752677</v>
      </c>
      <c r="E18" s="25">
        <v>0.25</v>
      </c>
      <c r="F18" s="25">
        <v>0.25</v>
      </c>
      <c r="G18" s="25">
        <v>0.25</v>
      </c>
      <c r="H18" s="25">
        <v>0.25</v>
      </c>
      <c r="I18" s="25"/>
      <c r="J18" s="25"/>
      <c r="L18" s="26">
        <f>SUM(E18:J18)</f>
        <v>1</v>
      </c>
    </row>
    <row r="19" spans="1:14" hidden="1">
      <c r="A19" s="274"/>
      <c r="B19" s="271"/>
      <c r="C19" s="27"/>
      <c r="D19" s="28"/>
      <c r="E19" s="36">
        <v>0</v>
      </c>
      <c r="F19" s="36">
        <v>0</v>
      </c>
      <c r="G19" s="36">
        <v>0</v>
      </c>
      <c r="H19" s="36">
        <v>0</v>
      </c>
      <c r="I19" s="29"/>
      <c r="J19" s="29"/>
      <c r="L19" s="26"/>
    </row>
    <row r="20" spans="1:14" hidden="1">
      <c r="A20" s="274"/>
      <c r="B20" s="271"/>
      <c r="C20" s="30"/>
      <c r="D20" s="30"/>
      <c r="E20" s="31">
        <f t="shared" ref="E20:J20" si="12">E21*E19</f>
        <v>0</v>
      </c>
      <c r="F20" s="31">
        <f t="shared" si="12"/>
        <v>0</v>
      </c>
      <c r="G20" s="31">
        <f t="shared" si="12"/>
        <v>0</v>
      </c>
      <c r="H20" s="31">
        <f t="shared" si="12"/>
        <v>0</v>
      </c>
      <c r="I20" s="31">
        <f t="shared" si="12"/>
        <v>0</v>
      </c>
      <c r="J20" s="31">
        <f t="shared" si="12"/>
        <v>0</v>
      </c>
    </row>
    <row r="21" spans="1:14">
      <c r="A21" s="275"/>
      <c r="B21" s="272"/>
      <c r="C21" s="32"/>
      <c r="D21" s="33"/>
      <c r="E21" s="34">
        <f t="shared" ref="E21:J21" si="13">E18*$C$18</f>
        <v>21332.294999999998</v>
      </c>
      <c r="F21" s="34">
        <f t="shared" si="13"/>
        <v>21332.294999999998</v>
      </c>
      <c r="G21" s="34">
        <f t="shared" si="13"/>
        <v>21332.294999999998</v>
      </c>
      <c r="H21" s="34">
        <f t="shared" si="13"/>
        <v>21332.294999999998</v>
      </c>
      <c r="I21" s="34">
        <f t="shared" si="13"/>
        <v>0</v>
      </c>
      <c r="J21" s="34">
        <f t="shared" si="13"/>
        <v>0</v>
      </c>
      <c r="M21" s="35">
        <f>SUM(E21:J21)</f>
        <v>85329.18</v>
      </c>
      <c r="N21" s="35">
        <f>M21-C18</f>
        <v>0</v>
      </c>
    </row>
    <row r="22" spans="1:14">
      <c r="A22" s="273">
        <v>5</v>
      </c>
      <c r="B22" s="270" t="str">
        <f>VLOOKUP(A22,'1.RESUMO'!A:B,2,FALSE())</f>
        <v>EDIFÍCIO OSCAR DIAS CORRÊA</v>
      </c>
      <c r="C22" s="22">
        <f>VLOOKUP(A22,'1.RESUMO'!A:C,3,FALSE())</f>
        <v>100669.34</v>
      </c>
      <c r="D22" s="23">
        <f>C22/$C$35</f>
        <v>0.22097486443277689</v>
      </c>
      <c r="E22" s="25">
        <v>0.25</v>
      </c>
      <c r="F22" s="25">
        <v>0.25</v>
      </c>
      <c r="G22" s="25">
        <v>0.25</v>
      </c>
      <c r="H22" s="25">
        <v>0.25</v>
      </c>
      <c r="I22" s="25"/>
      <c r="J22" s="25"/>
      <c r="L22" s="26">
        <f>SUM(E22:J22)</f>
        <v>1</v>
      </c>
      <c r="M22" s="35"/>
      <c r="N22" s="35"/>
    </row>
    <row r="23" spans="1:14" hidden="1">
      <c r="A23" s="274"/>
      <c r="B23" s="271"/>
      <c r="C23" s="27"/>
      <c r="D23" s="28"/>
      <c r="E23" s="36">
        <v>0</v>
      </c>
      <c r="F23" s="36">
        <v>0</v>
      </c>
      <c r="G23" s="36">
        <v>0</v>
      </c>
      <c r="H23" s="36">
        <v>0</v>
      </c>
      <c r="I23" s="29"/>
      <c r="J23" s="29"/>
      <c r="M23" s="35"/>
      <c r="N23" s="35"/>
    </row>
    <row r="24" spans="1:14" hidden="1">
      <c r="A24" s="274"/>
      <c r="B24" s="271"/>
      <c r="C24" s="30"/>
      <c r="D24" s="30"/>
      <c r="E24" s="31">
        <f t="shared" ref="E24:J24" si="14">E25*E23</f>
        <v>0</v>
      </c>
      <c r="F24" s="31">
        <f t="shared" si="14"/>
        <v>0</v>
      </c>
      <c r="G24" s="31">
        <f t="shared" si="14"/>
        <v>0</v>
      </c>
      <c r="H24" s="31">
        <f t="shared" si="14"/>
        <v>0</v>
      </c>
      <c r="I24" s="31">
        <f t="shared" si="14"/>
        <v>0</v>
      </c>
      <c r="J24" s="31">
        <f t="shared" si="14"/>
        <v>0</v>
      </c>
      <c r="M24" s="35"/>
      <c r="N24" s="35"/>
    </row>
    <row r="25" spans="1:14">
      <c r="A25" s="275"/>
      <c r="B25" s="272"/>
      <c r="C25" s="32"/>
      <c r="D25" s="33"/>
      <c r="E25" s="34">
        <f t="shared" ref="E25:J25" si="15">E22*$C$22</f>
        <v>25167.334999999999</v>
      </c>
      <c r="F25" s="34">
        <f t="shared" si="15"/>
        <v>25167.334999999999</v>
      </c>
      <c r="G25" s="34">
        <f t="shared" si="15"/>
        <v>25167.334999999999</v>
      </c>
      <c r="H25" s="34">
        <f t="shared" si="15"/>
        <v>25167.334999999999</v>
      </c>
      <c r="I25" s="34">
        <f t="shared" si="15"/>
        <v>0</v>
      </c>
      <c r="J25" s="34">
        <f t="shared" si="15"/>
        <v>0</v>
      </c>
      <c r="M25" s="35">
        <f>SUM(E25:J25)</f>
        <v>100669.34</v>
      </c>
      <c r="N25" s="35">
        <f>M25-C22</f>
        <v>0</v>
      </c>
    </row>
    <row r="26" spans="1:14">
      <c r="A26" s="273">
        <v>6</v>
      </c>
      <c r="B26" s="270" t="str">
        <f>VLOOKUP(A26,'1.RESUMO'!A:B,2,FALSE())</f>
        <v>GALPÃO</v>
      </c>
      <c r="C26" s="22">
        <f>VLOOKUP(A26,'1.RESUMO'!A:C,3,FALSE())</f>
        <v>111340.81000000003</v>
      </c>
      <c r="D26" s="23">
        <f>C26/$C$35</f>
        <v>0.24439934140410155</v>
      </c>
      <c r="E26" s="25"/>
      <c r="F26" s="25"/>
      <c r="G26" s="25"/>
      <c r="H26" s="25"/>
      <c r="I26" s="25">
        <v>0.5</v>
      </c>
      <c r="J26" s="25">
        <v>0.5</v>
      </c>
      <c r="L26" s="26">
        <f>SUM(E26:J26)</f>
        <v>1</v>
      </c>
      <c r="M26" s="35"/>
      <c r="N26" s="35"/>
    </row>
    <row r="27" spans="1:14" hidden="1">
      <c r="A27" s="274"/>
      <c r="B27" s="271"/>
      <c r="C27" s="27"/>
      <c r="D27" s="28"/>
      <c r="E27" s="36"/>
      <c r="F27" s="36"/>
      <c r="G27" s="36"/>
      <c r="H27" s="36"/>
      <c r="I27" s="36">
        <v>0</v>
      </c>
      <c r="J27" s="36">
        <v>0</v>
      </c>
      <c r="M27" s="35"/>
      <c r="N27" s="35"/>
    </row>
    <row r="28" spans="1:14" hidden="1">
      <c r="A28" s="274"/>
      <c r="B28" s="271"/>
      <c r="C28" s="30"/>
      <c r="D28" s="30"/>
      <c r="E28" s="31">
        <f t="shared" ref="E28:H28" si="16">E29*E27</f>
        <v>0</v>
      </c>
      <c r="F28" s="31">
        <f t="shared" si="16"/>
        <v>0</v>
      </c>
      <c r="G28" s="31">
        <f t="shared" si="16"/>
        <v>0</v>
      </c>
      <c r="H28" s="31">
        <f t="shared" si="16"/>
        <v>0</v>
      </c>
      <c r="I28" s="31">
        <f t="shared" ref="I28:J28" si="17">I29*I27</f>
        <v>0</v>
      </c>
      <c r="J28" s="31">
        <f t="shared" si="17"/>
        <v>0</v>
      </c>
      <c r="M28" s="35"/>
      <c r="N28" s="35"/>
    </row>
    <row r="29" spans="1:14">
      <c r="A29" s="275"/>
      <c r="B29" s="272"/>
      <c r="C29" s="32"/>
      <c r="D29" s="33"/>
      <c r="E29" s="34">
        <f t="shared" ref="E29:J29" si="18">E26*$C$26</f>
        <v>0</v>
      </c>
      <c r="F29" s="34">
        <f t="shared" si="18"/>
        <v>0</v>
      </c>
      <c r="G29" s="34">
        <f t="shared" si="18"/>
        <v>0</v>
      </c>
      <c r="H29" s="34">
        <f t="shared" si="18"/>
        <v>0</v>
      </c>
      <c r="I29" s="34">
        <f t="shared" si="18"/>
        <v>55670.405000000013</v>
      </c>
      <c r="J29" s="34">
        <f t="shared" si="18"/>
        <v>55670.405000000013</v>
      </c>
      <c r="M29" s="35">
        <f>SUM(E29:J29)</f>
        <v>111340.81000000003</v>
      </c>
      <c r="N29" s="35">
        <f>M29-C26</f>
        <v>0</v>
      </c>
    </row>
    <row r="30" spans="1:14">
      <c r="A30" s="273">
        <v>7</v>
      </c>
      <c r="B30" s="270" t="str">
        <f>VLOOKUP(A30,'1.RESUMO'!A:B,2,FALSE())</f>
        <v>SERVIÇOS FINAIS</v>
      </c>
      <c r="C30" s="22">
        <f>VLOOKUP(A30,'1.RESUMO'!A:C,3,FALSE())</f>
        <v>3333.6</v>
      </c>
      <c r="D30" s="23">
        <f>C30/$C$35</f>
        <v>7.317439530974427E-3</v>
      </c>
      <c r="E30" s="25"/>
      <c r="F30" s="25"/>
      <c r="G30" s="25"/>
      <c r="H30" s="25"/>
      <c r="I30" s="25"/>
      <c r="J30" s="25">
        <v>1</v>
      </c>
      <c r="L30" s="26">
        <f>SUM(E30:J30)</f>
        <v>1</v>
      </c>
      <c r="M30" s="35"/>
      <c r="N30" s="35"/>
    </row>
    <row r="31" spans="1:14" hidden="1">
      <c r="A31" s="274"/>
      <c r="B31" s="271"/>
      <c r="C31" s="27"/>
      <c r="D31" s="28"/>
      <c r="E31" s="36"/>
      <c r="F31" s="36"/>
      <c r="G31" s="36"/>
      <c r="H31" s="36"/>
      <c r="I31" s="29"/>
      <c r="J31" s="36">
        <v>0</v>
      </c>
      <c r="M31" s="35"/>
      <c r="N31" s="35"/>
    </row>
    <row r="32" spans="1:14" hidden="1">
      <c r="A32" s="274"/>
      <c r="B32" s="271"/>
      <c r="C32" s="30"/>
      <c r="D32" s="30"/>
      <c r="E32" s="31">
        <f t="shared" ref="E32:I32" si="19">E33*E31</f>
        <v>0</v>
      </c>
      <c r="F32" s="31">
        <f t="shared" si="19"/>
        <v>0</v>
      </c>
      <c r="G32" s="31">
        <f t="shared" si="19"/>
        <v>0</v>
      </c>
      <c r="H32" s="31">
        <f t="shared" si="19"/>
        <v>0</v>
      </c>
      <c r="I32" s="31">
        <f t="shared" si="19"/>
        <v>0</v>
      </c>
      <c r="J32" s="31">
        <f t="shared" ref="J32" si="20">J33*J31</f>
        <v>0</v>
      </c>
      <c r="M32" s="35"/>
      <c r="N32" s="35"/>
    </row>
    <row r="33" spans="1:14">
      <c r="A33" s="275"/>
      <c r="B33" s="272"/>
      <c r="C33" s="32"/>
      <c r="D33" s="33"/>
      <c r="E33" s="34">
        <f t="shared" ref="E33:I33" si="21">E30*$C$18</f>
        <v>0</v>
      </c>
      <c r="F33" s="34">
        <f t="shared" si="21"/>
        <v>0</v>
      </c>
      <c r="G33" s="34">
        <f t="shared" si="21"/>
        <v>0</v>
      </c>
      <c r="H33" s="34">
        <f t="shared" si="21"/>
        <v>0</v>
      </c>
      <c r="I33" s="34">
        <f t="shared" si="21"/>
        <v>0</v>
      </c>
      <c r="J33" s="34">
        <f>J30*$C$30</f>
        <v>3333.6</v>
      </c>
      <c r="M33" s="35">
        <f>SUM(E33:J33)</f>
        <v>3333.6</v>
      </c>
      <c r="N33" s="35">
        <f>M33-C30</f>
        <v>0</v>
      </c>
    </row>
    <row r="34" spans="1:14" ht="9.75" customHeight="1">
      <c r="A34" s="37"/>
      <c r="B34" s="175"/>
      <c r="C34" s="176"/>
      <c r="D34" s="177"/>
      <c r="E34" s="178"/>
      <c r="F34" s="178"/>
      <c r="G34" s="178"/>
      <c r="H34" s="178"/>
      <c r="I34" s="178"/>
      <c r="J34" s="178"/>
    </row>
    <row r="35" spans="1:14" ht="15.75" customHeight="1">
      <c r="A35" s="171"/>
      <c r="B35" s="158" t="s">
        <v>481</v>
      </c>
      <c r="C35" s="159">
        <f>SUM(C6:C34)</f>
        <v>455569.19000000006</v>
      </c>
      <c r="D35" s="160">
        <f>SUM(D6:D34)</f>
        <v>0.99999999999999989</v>
      </c>
      <c r="E35" s="161">
        <f t="shared" ref="E35:J35" si="22">E9+E13+E17+E21+E25+E29+E33</f>
        <v>84478.958333333328</v>
      </c>
      <c r="F35" s="161">
        <f t="shared" si="22"/>
        <v>82497.78833333333</v>
      </c>
      <c r="G35" s="161">
        <f t="shared" si="22"/>
        <v>82497.78833333333</v>
      </c>
      <c r="H35" s="161">
        <f t="shared" si="22"/>
        <v>82497.78833333333</v>
      </c>
      <c r="I35" s="161">
        <f t="shared" si="22"/>
        <v>61122.218333333345</v>
      </c>
      <c r="J35" s="162">
        <f t="shared" si="22"/>
        <v>62474.648333333345</v>
      </c>
    </row>
    <row r="36" spans="1:14">
      <c r="A36" s="172"/>
      <c r="B36" s="163" t="s">
        <v>482</v>
      </c>
      <c r="C36" s="38"/>
      <c r="D36" s="38"/>
      <c r="E36" s="39">
        <f>E35</f>
        <v>84478.958333333328</v>
      </c>
      <c r="F36" s="40">
        <f t="shared" ref="F36:J36" si="23">E36+F35</f>
        <v>166976.74666666664</v>
      </c>
      <c r="G36" s="40">
        <f t="shared" si="23"/>
        <v>249474.53499999997</v>
      </c>
      <c r="H36" s="40">
        <f t="shared" si="23"/>
        <v>331972.3233333333</v>
      </c>
      <c r="I36" s="40">
        <f t="shared" si="23"/>
        <v>393094.54166666663</v>
      </c>
      <c r="J36" s="164">
        <f t="shared" si="23"/>
        <v>455569.18999999994</v>
      </c>
    </row>
    <row r="37" spans="1:14">
      <c r="A37" s="173"/>
      <c r="B37" s="165" t="s">
        <v>483</v>
      </c>
      <c r="C37" s="41"/>
      <c r="D37" s="41"/>
      <c r="E37" s="42">
        <f>ROUND(E35/$C$35,5)</f>
        <v>0.18543999999999999</v>
      </c>
      <c r="F37" s="42">
        <f t="shared" ref="F37:J37" si="24">ROUND(F35/$C$35,5)</f>
        <v>0.18109</v>
      </c>
      <c r="G37" s="42">
        <f t="shared" si="24"/>
        <v>0.18109</v>
      </c>
      <c r="H37" s="42">
        <f t="shared" si="24"/>
        <v>0.18109</v>
      </c>
      <c r="I37" s="42">
        <f t="shared" si="24"/>
        <v>0.13417000000000001</v>
      </c>
      <c r="J37" s="166">
        <f t="shared" si="24"/>
        <v>0.13714000000000001</v>
      </c>
    </row>
    <row r="38" spans="1:14">
      <c r="A38" s="174"/>
      <c r="B38" s="167" t="s">
        <v>484</v>
      </c>
      <c r="C38" s="168"/>
      <c r="D38" s="168"/>
      <c r="E38" s="169">
        <f>E37</f>
        <v>0.18543999999999999</v>
      </c>
      <c r="F38" s="169">
        <f t="shared" ref="F38:J38" si="25">E38+F37</f>
        <v>0.36653000000000002</v>
      </c>
      <c r="G38" s="169">
        <f t="shared" si="25"/>
        <v>0.54762</v>
      </c>
      <c r="H38" s="169">
        <f t="shared" si="25"/>
        <v>0.72870999999999997</v>
      </c>
      <c r="I38" s="169">
        <f t="shared" si="25"/>
        <v>0.86287999999999998</v>
      </c>
      <c r="J38" s="170">
        <f t="shared" si="25"/>
        <v>1.0000199999999999</v>
      </c>
    </row>
    <row r="39" spans="1:14" s="47" customFormat="1" hidden="1">
      <c r="A39" s="43"/>
      <c r="B39" s="179" t="s">
        <v>485</v>
      </c>
      <c r="C39" s="180"/>
      <c r="D39" s="180"/>
      <c r="E39" s="181">
        <f t="shared" ref="E39:J39" si="26">E8+E12+E16+E20</f>
        <v>0</v>
      </c>
      <c r="F39" s="181">
        <f t="shared" si="26"/>
        <v>0</v>
      </c>
      <c r="G39" s="181">
        <f t="shared" si="26"/>
        <v>0</v>
      </c>
      <c r="H39" s="181">
        <f t="shared" si="26"/>
        <v>0</v>
      </c>
      <c r="I39" s="181">
        <f t="shared" si="26"/>
        <v>0</v>
      </c>
      <c r="J39" s="181">
        <f t="shared" si="26"/>
        <v>0</v>
      </c>
    </row>
    <row r="40" spans="1:14" s="47" customFormat="1" hidden="1">
      <c r="A40" s="43"/>
      <c r="B40" s="44" t="s">
        <v>486</v>
      </c>
      <c r="C40" s="45"/>
      <c r="D40" s="45"/>
      <c r="E40" s="46">
        <f>E39</f>
        <v>0</v>
      </c>
      <c r="F40" s="46">
        <f>F39+E39</f>
        <v>0</v>
      </c>
      <c r="G40" s="46">
        <f>G39+F39+E39</f>
        <v>0</v>
      </c>
      <c r="H40" s="46">
        <f>H39+G39+F39+E39</f>
        <v>0</v>
      </c>
      <c r="I40" s="46">
        <f>I39+H39+G39+F39+E39</f>
        <v>0</v>
      </c>
      <c r="J40" s="46">
        <f>J39+I39+H39+G39+F39+E39</f>
        <v>0</v>
      </c>
    </row>
    <row r="41" spans="1:14" s="47" customFormat="1" hidden="1">
      <c r="A41" s="43"/>
      <c r="B41" s="44" t="s">
        <v>487</v>
      </c>
      <c r="C41" s="45"/>
      <c r="D41" s="45"/>
      <c r="E41" s="45">
        <f t="shared" ref="E41:J41" si="27">E39/E35</f>
        <v>0</v>
      </c>
      <c r="F41" s="45">
        <f t="shared" si="27"/>
        <v>0</v>
      </c>
      <c r="G41" s="45">
        <f t="shared" si="27"/>
        <v>0</v>
      </c>
      <c r="H41" s="45">
        <f t="shared" si="27"/>
        <v>0</v>
      </c>
      <c r="I41" s="45">
        <f t="shared" si="27"/>
        <v>0</v>
      </c>
      <c r="J41" s="45">
        <f t="shared" si="27"/>
        <v>0</v>
      </c>
    </row>
    <row r="42" spans="1:14" hidden="1">
      <c r="A42" s="43"/>
      <c r="B42" s="44" t="s">
        <v>488</v>
      </c>
      <c r="C42" s="45"/>
      <c r="D42" s="45"/>
      <c r="E42" s="45">
        <f t="shared" ref="E42:J42" si="28">ROUND(E39/$C$35,5)</f>
        <v>0</v>
      </c>
      <c r="F42" s="45">
        <f t="shared" si="28"/>
        <v>0</v>
      </c>
      <c r="G42" s="45">
        <f t="shared" si="28"/>
        <v>0</v>
      </c>
      <c r="H42" s="45">
        <f>ROUND(H39/$C$35,5)</f>
        <v>0</v>
      </c>
      <c r="I42" s="45">
        <f t="shared" si="28"/>
        <v>0</v>
      </c>
      <c r="J42" s="45">
        <f t="shared" si="28"/>
        <v>0</v>
      </c>
    </row>
    <row r="43" spans="1:14" hidden="1">
      <c r="A43" s="43"/>
      <c r="B43" s="44" t="s">
        <v>489</v>
      </c>
      <c r="C43" s="45"/>
      <c r="D43" s="45"/>
      <c r="E43" s="45">
        <f>E42</f>
        <v>0</v>
      </c>
      <c r="F43" s="45">
        <f t="shared" ref="F43:J43" si="29">F42+E43</f>
        <v>0</v>
      </c>
      <c r="G43" s="45">
        <f t="shared" si="29"/>
        <v>0</v>
      </c>
      <c r="H43" s="45">
        <f t="shared" si="29"/>
        <v>0</v>
      </c>
      <c r="I43" s="45">
        <f t="shared" si="29"/>
        <v>0</v>
      </c>
      <c r="J43" s="45">
        <f t="shared" si="29"/>
        <v>0</v>
      </c>
    </row>
    <row r="51" spans="7:8">
      <c r="G51" s="78"/>
      <c r="H51" s="78"/>
    </row>
  </sheetData>
  <autoFilter ref="E4:J21" xr:uid="{00000000-0009-0000-0000-000008000000}"/>
  <mergeCells count="19">
    <mergeCell ref="A1:J2"/>
    <mergeCell ref="A3:A4"/>
    <mergeCell ref="B3:B4"/>
    <mergeCell ref="C3:C4"/>
    <mergeCell ref="D3:D4"/>
    <mergeCell ref="A18:A21"/>
    <mergeCell ref="B18:B21"/>
    <mergeCell ref="A6:A9"/>
    <mergeCell ref="B6:B9"/>
    <mergeCell ref="A10:A13"/>
    <mergeCell ref="B10:B13"/>
    <mergeCell ref="A14:A17"/>
    <mergeCell ref="B14:B17"/>
    <mergeCell ref="B22:B25"/>
    <mergeCell ref="A22:A25"/>
    <mergeCell ref="A26:A29"/>
    <mergeCell ref="B26:B29"/>
    <mergeCell ref="A30:A33"/>
    <mergeCell ref="B30:B33"/>
  </mergeCells>
  <printOptions horizontalCentered="1"/>
  <pageMargins left="0.59027777777777801" right="0.59027777777777801" top="0.78749999999999998" bottom="0.59097222222222201" header="0.511811023622047" footer="0.31527777777777799"/>
  <pageSetup paperSize="8" scale="91" fitToHeight="0" orientation="landscape" horizontalDpi="300" verticalDpi="300" r:id="rId1"/>
  <headerFooter>
    <oddFooter>&amp;RPagina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0E7A2-FABB-4E1A-AF6E-936EA99712AE}">
  <sheetPr>
    <pageSetUpPr fitToPage="1"/>
  </sheetPr>
  <dimension ref="A1:N118"/>
  <sheetViews>
    <sheetView showWhiteSpace="0" topLeftCell="A98" workbookViewId="0">
      <selection activeCell="N117" sqref="N117"/>
    </sheetView>
  </sheetViews>
  <sheetFormatPr defaultRowHeight="14.25"/>
  <cols>
    <col min="1" max="3" width="11.42578125" style="82" bestFit="1" customWidth="1"/>
    <col min="4" max="4" width="68.5703125" style="82" bestFit="1" customWidth="1"/>
    <col min="5" max="5" width="5.7109375" style="82" bestFit="1" customWidth="1"/>
    <col min="6" max="14" width="11.42578125" style="82" bestFit="1" customWidth="1"/>
    <col min="15" max="16384" width="9.140625" style="82"/>
  </cols>
  <sheetData>
    <row r="1" spans="1:13" ht="15">
      <c r="A1" s="81"/>
      <c r="B1" s="81"/>
      <c r="C1" s="81"/>
      <c r="D1" s="81" t="s">
        <v>22</v>
      </c>
      <c r="E1" s="217" t="s">
        <v>23</v>
      </c>
      <c r="F1" s="217"/>
      <c r="G1" s="217"/>
      <c r="H1" s="217" t="s">
        <v>24</v>
      </c>
      <c r="I1" s="217"/>
      <c r="J1" s="217"/>
      <c r="K1" s="217" t="s">
        <v>25</v>
      </c>
      <c r="L1" s="217"/>
      <c r="M1" s="217"/>
    </row>
    <row r="2" spans="1:13" ht="80.099999999999994" customHeight="1">
      <c r="A2" s="83"/>
      <c r="B2" s="83"/>
      <c r="C2" s="83"/>
      <c r="D2" s="84" t="s">
        <v>490</v>
      </c>
      <c r="E2" s="210" t="s">
        <v>27</v>
      </c>
      <c r="F2" s="210"/>
      <c r="G2" s="210"/>
      <c r="H2" s="210" t="s">
        <v>491</v>
      </c>
      <c r="I2" s="210"/>
      <c r="J2" s="210"/>
      <c r="K2" s="210" t="s">
        <v>28</v>
      </c>
      <c r="L2" s="210"/>
      <c r="M2" s="210"/>
    </row>
    <row r="3" spans="1:13" ht="15">
      <c r="A3" s="212" t="s">
        <v>29</v>
      </c>
      <c r="B3" s="213"/>
      <c r="C3" s="213"/>
      <c r="D3" s="213"/>
      <c r="E3" s="213"/>
      <c r="F3" s="213"/>
      <c r="G3" s="213"/>
      <c r="H3" s="213"/>
      <c r="I3" s="213"/>
      <c r="J3" s="213"/>
      <c r="K3" s="213"/>
      <c r="L3" s="213"/>
      <c r="M3" s="213"/>
    </row>
    <row r="4" spans="1:13" ht="15" customHeight="1">
      <c r="A4" s="214" t="s">
        <v>30</v>
      </c>
      <c r="B4" s="215" t="s">
        <v>31</v>
      </c>
      <c r="C4" s="214" t="s">
        <v>32</v>
      </c>
      <c r="D4" s="214" t="s">
        <v>33</v>
      </c>
      <c r="E4" s="216" t="s">
        <v>34</v>
      </c>
      <c r="F4" s="215" t="s">
        <v>35</v>
      </c>
      <c r="G4" s="215" t="s">
        <v>36</v>
      </c>
      <c r="H4" s="216" t="s">
        <v>37</v>
      </c>
      <c r="I4" s="214"/>
      <c r="J4" s="214"/>
      <c r="K4" s="216" t="s">
        <v>38</v>
      </c>
      <c r="L4" s="214"/>
      <c r="M4" s="214"/>
    </row>
    <row r="5" spans="1:13" ht="15" customHeight="1">
      <c r="A5" s="215"/>
      <c r="B5" s="215"/>
      <c r="C5" s="215"/>
      <c r="D5" s="215"/>
      <c r="E5" s="215"/>
      <c r="F5" s="215"/>
      <c r="G5" s="215"/>
      <c r="H5" s="85" t="s">
        <v>39</v>
      </c>
      <c r="I5" s="85" t="s">
        <v>40</v>
      </c>
      <c r="J5" s="85" t="s">
        <v>38</v>
      </c>
      <c r="K5" s="85" t="s">
        <v>39</v>
      </c>
      <c r="L5" s="85" t="s">
        <v>40</v>
      </c>
      <c r="M5" s="85" t="s">
        <v>38</v>
      </c>
    </row>
    <row r="6" spans="1:13" ht="24" customHeight="1">
      <c r="A6" s="86" t="s">
        <v>41</v>
      </c>
      <c r="B6" s="86"/>
      <c r="C6" s="86"/>
      <c r="D6" s="86" t="s">
        <v>42</v>
      </c>
      <c r="E6" s="86"/>
      <c r="F6" s="87"/>
      <c r="G6" s="87"/>
      <c r="H6" s="86"/>
      <c r="I6" s="86"/>
      <c r="J6" s="86"/>
      <c r="K6" s="86"/>
      <c r="L6" s="86"/>
      <c r="M6" s="88">
        <v>2569.02</v>
      </c>
    </row>
    <row r="7" spans="1:13" ht="24" customHeight="1">
      <c r="A7" s="89" t="s">
        <v>43</v>
      </c>
      <c r="B7" s="90" t="s">
        <v>44</v>
      </c>
      <c r="C7" s="89" t="s">
        <v>45</v>
      </c>
      <c r="D7" s="89" t="s">
        <v>356</v>
      </c>
      <c r="E7" s="91" t="s">
        <v>46</v>
      </c>
      <c r="F7" s="90">
        <v>1</v>
      </c>
      <c r="G7" s="92">
        <v>1580.28</v>
      </c>
      <c r="H7" s="92">
        <v>463.08</v>
      </c>
      <c r="I7" s="92">
        <v>1537.08</v>
      </c>
      <c r="J7" s="92">
        <f>TRUNC(G7 * (1 + 26.57 / 100), 2)</f>
        <v>2000.16</v>
      </c>
      <c r="K7" s="92">
        <f>TRUNC(F7 * H7, 2)</f>
        <v>463.08</v>
      </c>
      <c r="L7" s="92">
        <f>M7 - K7</f>
        <v>1537.0800000000002</v>
      </c>
      <c r="M7" s="92">
        <f>TRUNC(F7 * J7, 2)</f>
        <v>2000.16</v>
      </c>
    </row>
    <row r="8" spans="1:13" ht="24" customHeight="1">
      <c r="A8" s="89" t="s">
        <v>492</v>
      </c>
      <c r="B8" s="90" t="s">
        <v>48</v>
      </c>
      <c r="C8" s="89" t="s">
        <v>45</v>
      </c>
      <c r="D8" s="89" t="s">
        <v>493</v>
      </c>
      <c r="E8" s="91">
        <v>1</v>
      </c>
      <c r="F8" s="90">
        <v>38</v>
      </c>
      <c r="G8" s="92">
        <v>11.83</v>
      </c>
      <c r="H8" s="92">
        <v>0</v>
      </c>
      <c r="I8" s="92">
        <v>14.97</v>
      </c>
      <c r="J8" s="92">
        <f>TRUNC(G8 * (1 + 26.57 / 100), 2)</f>
        <v>14.97</v>
      </c>
      <c r="K8" s="92">
        <f>TRUNC(F8 * H8, 2)</f>
        <v>0</v>
      </c>
      <c r="L8" s="92">
        <f>M8 - K8</f>
        <v>568.86</v>
      </c>
      <c r="M8" s="92">
        <f>TRUNC(F8 * J8, 2)</f>
        <v>568.86</v>
      </c>
    </row>
    <row r="9" spans="1:13" ht="24" customHeight="1">
      <c r="A9" s="86" t="s">
        <v>50</v>
      </c>
      <c r="B9" s="86"/>
      <c r="C9" s="86"/>
      <c r="D9" s="86" t="s">
        <v>51</v>
      </c>
      <c r="E9" s="86"/>
      <c r="F9" s="87"/>
      <c r="G9" s="87"/>
      <c r="H9" s="86"/>
      <c r="I9" s="86"/>
      <c r="J9" s="86"/>
      <c r="K9" s="86"/>
      <c r="L9" s="86"/>
      <c r="M9" s="88">
        <v>13882.57</v>
      </c>
    </row>
    <row r="10" spans="1:13" ht="24" customHeight="1">
      <c r="A10" s="89" t="s">
        <v>52</v>
      </c>
      <c r="B10" s="90" t="s">
        <v>53</v>
      </c>
      <c r="C10" s="89" t="s">
        <v>45</v>
      </c>
      <c r="D10" s="89" t="s">
        <v>51</v>
      </c>
      <c r="E10" s="91" t="s">
        <v>46</v>
      </c>
      <c r="F10" s="90">
        <v>1</v>
      </c>
      <c r="G10" s="92">
        <v>10968.3</v>
      </c>
      <c r="H10" s="92">
        <v>13621.5</v>
      </c>
      <c r="I10" s="92">
        <v>261.07</v>
      </c>
      <c r="J10" s="92">
        <f>TRUNC(G10 * (1 + 26.57 / 100), 2)</f>
        <v>13882.57</v>
      </c>
      <c r="K10" s="92">
        <f>TRUNC(F10 * H10, 2)</f>
        <v>13621.5</v>
      </c>
      <c r="L10" s="92">
        <f>M10 - K10</f>
        <v>261.06999999999971</v>
      </c>
      <c r="M10" s="92">
        <f>TRUNC(F10 * J10, 2)</f>
        <v>13882.57</v>
      </c>
    </row>
    <row r="11" spans="1:13" ht="24" customHeight="1">
      <c r="A11" s="86" t="s">
        <v>54</v>
      </c>
      <c r="B11" s="86"/>
      <c r="C11" s="86"/>
      <c r="D11" s="86" t="s">
        <v>55</v>
      </c>
      <c r="E11" s="86"/>
      <c r="F11" s="87"/>
      <c r="G11" s="87"/>
      <c r="H11" s="86"/>
      <c r="I11" s="86"/>
      <c r="J11" s="86"/>
      <c r="K11" s="86"/>
      <c r="L11" s="86"/>
      <c r="M11" s="88">
        <v>125519.39</v>
      </c>
    </row>
    <row r="12" spans="1:13" ht="24" customHeight="1">
      <c r="A12" s="86" t="s">
        <v>56</v>
      </c>
      <c r="B12" s="86"/>
      <c r="C12" s="86"/>
      <c r="D12" s="86" t="s">
        <v>57</v>
      </c>
      <c r="E12" s="86"/>
      <c r="F12" s="87"/>
      <c r="G12" s="87"/>
      <c r="H12" s="86"/>
      <c r="I12" s="86"/>
      <c r="J12" s="86"/>
      <c r="K12" s="86"/>
      <c r="L12" s="86"/>
      <c r="M12" s="88">
        <v>9875.1200000000008</v>
      </c>
    </row>
    <row r="13" spans="1:13" ht="26.1" customHeight="1">
      <c r="A13" s="89" t="s">
        <v>58</v>
      </c>
      <c r="B13" s="90" t="s">
        <v>59</v>
      </c>
      <c r="C13" s="89" t="s">
        <v>45</v>
      </c>
      <c r="D13" s="89" t="s">
        <v>60</v>
      </c>
      <c r="E13" s="91" t="s">
        <v>46</v>
      </c>
      <c r="F13" s="90">
        <v>1</v>
      </c>
      <c r="G13" s="92">
        <v>4869.49</v>
      </c>
      <c r="H13" s="92">
        <v>530.58000000000004</v>
      </c>
      <c r="I13" s="92">
        <v>5632.73</v>
      </c>
      <c r="J13" s="92">
        <f>TRUNC(G13 * (1 + 26.57 / 100), 2)</f>
        <v>6163.31</v>
      </c>
      <c r="K13" s="92">
        <f>TRUNC(F13 * H13, 2)</f>
        <v>530.58000000000004</v>
      </c>
      <c r="L13" s="92">
        <f>M13 - K13</f>
        <v>5632.7300000000005</v>
      </c>
      <c r="M13" s="92">
        <f>TRUNC(F13 * J13, 2)</f>
        <v>6163.31</v>
      </c>
    </row>
    <row r="14" spans="1:13" ht="24" customHeight="1">
      <c r="A14" s="89" t="s">
        <v>61</v>
      </c>
      <c r="B14" s="90" t="s">
        <v>62</v>
      </c>
      <c r="C14" s="89" t="s">
        <v>45</v>
      </c>
      <c r="D14" s="89" t="s">
        <v>63</v>
      </c>
      <c r="E14" s="91" t="s">
        <v>46</v>
      </c>
      <c r="F14" s="90">
        <v>1</v>
      </c>
      <c r="G14" s="92">
        <v>2179.6799999999998</v>
      </c>
      <c r="H14" s="92">
        <v>0</v>
      </c>
      <c r="I14" s="92">
        <v>2758.82</v>
      </c>
      <c r="J14" s="92">
        <f>TRUNC(G14 * (1 + 26.57 / 100), 2)</f>
        <v>2758.82</v>
      </c>
      <c r="K14" s="92">
        <f>TRUNC(F14 * H14, 2)</f>
        <v>0</v>
      </c>
      <c r="L14" s="92">
        <f>M14 - K14</f>
        <v>2758.82</v>
      </c>
      <c r="M14" s="92">
        <f>TRUNC(F14 * J14, 2)</f>
        <v>2758.82</v>
      </c>
    </row>
    <row r="15" spans="1:13" ht="39" customHeight="1">
      <c r="A15" s="89" t="s">
        <v>64</v>
      </c>
      <c r="B15" s="90" t="s">
        <v>65</v>
      </c>
      <c r="C15" s="89" t="s">
        <v>66</v>
      </c>
      <c r="D15" s="89" t="s">
        <v>67</v>
      </c>
      <c r="E15" s="91" t="s">
        <v>68</v>
      </c>
      <c r="F15" s="90">
        <v>1.5</v>
      </c>
      <c r="G15" s="92">
        <v>501.96</v>
      </c>
      <c r="H15" s="92">
        <v>37.049999999999997</v>
      </c>
      <c r="I15" s="92">
        <v>598.28</v>
      </c>
      <c r="J15" s="92">
        <f>TRUNC(G15 * (1 + 26.57 / 100), 2)</f>
        <v>635.33000000000004</v>
      </c>
      <c r="K15" s="92">
        <f>TRUNC(F15 * H15, 2)</f>
        <v>55.57</v>
      </c>
      <c r="L15" s="92">
        <f>M15 - K15</f>
        <v>897.42</v>
      </c>
      <c r="M15" s="92">
        <f>TRUNC(F15 * J15, 2)</f>
        <v>952.99</v>
      </c>
    </row>
    <row r="16" spans="1:13" ht="24" customHeight="1">
      <c r="A16" s="86" t="s">
        <v>69</v>
      </c>
      <c r="B16" s="86"/>
      <c r="C16" s="86"/>
      <c r="D16" s="86" t="s">
        <v>70</v>
      </c>
      <c r="E16" s="86"/>
      <c r="F16" s="87"/>
      <c r="G16" s="87"/>
      <c r="H16" s="86"/>
      <c r="I16" s="86"/>
      <c r="J16" s="86"/>
      <c r="K16" s="86"/>
      <c r="L16" s="86"/>
      <c r="M16" s="88">
        <v>3441.21</v>
      </c>
    </row>
    <row r="17" spans="1:13" ht="26.1" customHeight="1">
      <c r="A17" s="89" t="s">
        <v>71</v>
      </c>
      <c r="B17" s="90" t="s">
        <v>72</v>
      </c>
      <c r="C17" s="89" t="s">
        <v>45</v>
      </c>
      <c r="D17" s="89" t="s">
        <v>73</v>
      </c>
      <c r="E17" s="91" t="s">
        <v>74</v>
      </c>
      <c r="F17" s="90">
        <v>16</v>
      </c>
      <c r="G17" s="92">
        <v>27.02</v>
      </c>
      <c r="H17" s="92">
        <v>8.3699999999999992</v>
      </c>
      <c r="I17" s="92">
        <v>25.82</v>
      </c>
      <c r="J17" s="92">
        <f t="shared" ref="J17:J22" si="0">TRUNC(G17 * (1 + 26.57 / 100), 2)</f>
        <v>34.19</v>
      </c>
      <c r="K17" s="92">
        <f t="shared" ref="K17:K22" si="1">TRUNC(F17 * H17, 2)</f>
        <v>133.91999999999999</v>
      </c>
      <c r="L17" s="92">
        <f t="shared" ref="L17:L22" si="2">M17 - K17</f>
        <v>413.12</v>
      </c>
      <c r="M17" s="92">
        <f t="shared" ref="M17:M22" si="3">TRUNC(F17 * J17, 2)</f>
        <v>547.04</v>
      </c>
    </row>
    <row r="18" spans="1:13" ht="39" customHeight="1">
      <c r="A18" s="89" t="s">
        <v>75</v>
      </c>
      <c r="B18" s="90" t="s">
        <v>76</v>
      </c>
      <c r="C18" s="89" t="s">
        <v>77</v>
      </c>
      <c r="D18" s="89" t="s">
        <v>78</v>
      </c>
      <c r="E18" s="91" t="s">
        <v>79</v>
      </c>
      <c r="F18" s="90">
        <v>12</v>
      </c>
      <c r="G18" s="92">
        <v>25.69</v>
      </c>
      <c r="H18" s="92">
        <v>6.2443</v>
      </c>
      <c r="I18" s="92">
        <v>26.265699999999999</v>
      </c>
      <c r="J18" s="92">
        <f t="shared" si="0"/>
        <v>32.51</v>
      </c>
      <c r="K18" s="92">
        <f t="shared" si="1"/>
        <v>74.930000000000007</v>
      </c>
      <c r="L18" s="92">
        <f t="shared" si="2"/>
        <v>315.19</v>
      </c>
      <c r="M18" s="92">
        <f t="shared" si="3"/>
        <v>390.12</v>
      </c>
    </row>
    <row r="19" spans="1:13" ht="39" customHeight="1">
      <c r="A19" s="89" t="s">
        <v>80</v>
      </c>
      <c r="B19" s="90" t="s">
        <v>81</v>
      </c>
      <c r="C19" s="89" t="s">
        <v>77</v>
      </c>
      <c r="D19" s="89" t="s">
        <v>82</v>
      </c>
      <c r="E19" s="91" t="s">
        <v>79</v>
      </c>
      <c r="F19" s="90">
        <v>14</v>
      </c>
      <c r="G19" s="92">
        <v>25.69</v>
      </c>
      <c r="H19" s="92">
        <v>6.2443</v>
      </c>
      <c r="I19" s="92">
        <v>26.265699999999999</v>
      </c>
      <c r="J19" s="92">
        <f t="shared" si="0"/>
        <v>32.51</v>
      </c>
      <c r="K19" s="92">
        <f t="shared" si="1"/>
        <v>87.42</v>
      </c>
      <c r="L19" s="92">
        <f t="shared" si="2"/>
        <v>367.71999999999997</v>
      </c>
      <c r="M19" s="92">
        <f t="shared" si="3"/>
        <v>455.14</v>
      </c>
    </row>
    <row r="20" spans="1:13" ht="39" customHeight="1">
      <c r="A20" s="89" t="s">
        <v>83</v>
      </c>
      <c r="B20" s="90" t="s">
        <v>84</v>
      </c>
      <c r="C20" s="89" t="s">
        <v>77</v>
      </c>
      <c r="D20" s="89" t="s">
        <v>85</v>
      </c>
      <c r="E20" s="91" t="s">
        <v>79</v>
      </c>
      <c r="F20" s="90">
        <v>12</v>
      </c>
      <c r="G20" s="92">
        <v>25.69</v>
      </c>
      <c r="H20" s="92">
        <v>6.2443</v>
      </c>
      <c r="I20" s="92">
        <v>26.265699999999999</v>
      </c>
      <c r="J20" s="92">
        <f t="shared" si="0"/>
        <v>32.51</v>
      </c>
      <c r="K20" s="92">
        <f t="shared" si="1"/>
        <v>74.930000000000007</v>
      </c>
      <c r="L20" s="92">
        <f t="shared" si="2"/>
        <v>315.19</v>
      </c>
      <c r="M20" s="92">
        <f t="shared" si="3"/>
        <v>390.12</v>
      </c>
    </row>
    <row r="21" spans="1:13" ht="39" customHeight="1">
      <c r="A21" s="89" t="s">
        <v>86</v>
      </c>
      <c r="B21" s="90" t="s">
        <v>87</v>
      </c>
      <c r="C21" s="89" t="s">
        <v>66</v>
      </c>
      <c r="D21" s="89" t="s">
        <v>88</v>
      </c>
      <c r="E21" s="91" t="s">
        <v>68</v>
      </c>
      <c r="F21" s="90">
        <v>33</v>
      </c>
      <c r="G21" s="92">
        <v>27.21</v>
      </c>
      <c r="H21" s="92">
        <v>12.9</v>
      </c>
      <c r="I21" s="92">
        <v>21.53</v>
      </c>
      <c r="J21" s="92">
        <f t="shared" si="0"/>
        <v>34.43</v>
      </c>
      <c r="K21" s="92">
        <f t="shared" si="1"/>
        <v>425.7</v>
      </c>
      <c r="L21" s="92">
        <f t="shared" si="2"/>
        <v>710.49</v>
      </c>
      <c r="M21" s="92">
        <f t="shared" si="3"/>
        <v>1136.19</v>
      </c>
    </row>
    <row r="22" spans="1:13" ht="39" customHeight="1">
      <c r="A22" s="89" t="s">
        <v>89</v>
      </c>
      <c r="B22" s="90" t="s">
        <v>90</v>
      </c>
      <c r="C22" s="89" t="s">
        <v>77</v>
      </c>
      <c r="D22" s="89" t="s">
        <v>91</v>
      </c>
      <c r="E22" s="91" t="s">
        <v>92</v>
      </c>
      <c r="F22" s="90">
        <v>30</v>
      </c>
      <c r="G22" s="92">
        <v>13.77</v>
      </c>
      <c r="H22" s="92">
        <v>3.6238000000000001</v>
      </c>
      <c r="I22" s="92">
        <v>13.796200000000001</v>
      </c>
      <c r="J22" s="92">
        <f t="shared" si="0"/>
        <v>17.420000000000002</v>
      </c>
      <c r="K22" s="92">
        <f t="shared" si="1"/>
        <v>108.71</v>
      </c>
      <c r="L22" s="92">
        <f t="shared" si="2"/>
        <v>413.89000000000004</v>
      </c>
      <c r="M22" s="92">
        <f t="shared" si="3"/>
        <v>522.6</v>
      </c>
    </row>
    <row r="23" spans="1:13" ht="24" customHeight="1">
      <c r="A23" s="86" t="s">
        <v>93</v>
      </c>
      <c r="B23" s="86"/>
      <c r="C23" s="86"/>
      <c r="D23" s="86" t="s">
        <v>94</v>
      </c>
      <c r="E23" s="86"/>
      <c r="F23" s="87"/>
      <c r="G23" s="87"/>
      <c r="H23" s="86"/>
      <c r="I23" s="86"/>
      <c r="J23" s="86"/>
      <c r="K23" s="86"/>
      <c r="L23" s="86"/>
      <c r="M23" s="88">
        <v>3187.6</v>
      </c>
    </row>
    <row r="24" spans="1:13" ht="24" customHeight="1">
      <c r="A24" s="89" t="s">
        <v>95</v>
      </c>
      <c r="B24" s="90" t="s">
        <v>96</v>
      </c>
      <c r="C24" s="89" t="s">
        <v>45</v>
      </c>
      <c r="D24" s="89" t="s">
        <v>97</v>
      </c>
      <c r="E24" s="91" t="s">
        <v>74</v>
      </c>
      <c r="F24" s="90">
        <v>10</v>
      </c>
      <c r="G24" s="92">
        <v>251.85</v>
      </c>
      <c r="H24" s="92">
        <v>2.78</v>
      </c>
      <c r="I24" s="92">
        <v>315.98</v>
      </c>
      <c r="J24" s="92">
        <f>TRUNC(G24 * (1 + 26.57 / 100), 2)</f>
        <v>318.76</v>
      </c>
      <c r="K24" s="92">
        <f>TRUNC(F24 * H24, 2)</f>
        <v>27.8</v>
      </c>
      <c r="L24" s="92">
        <f>M24 - K24</f>
        <v>3159.7999999999997</v>
      </c>
      <c r="M24" s="92">
        <f>TRUNC(F24 * J24, 2)</f>
        <v>3187.6</v>
      </c>
    </row>
    <row r="25" spans="1:13" ht="24" customHeight="1">
      <c r="A25" s="86" t="s">
        <v>98</v>
      </c>
      <c r="B25" s="86"/>
      <c r="C25" s="86"/>
      <c r="D25" s="86" t="s">
        <v>99</v>
      </c>
      <c r="E25" s="86"/>
      <c r="F25" s="87"/>
      <c r="G25" s="87"/>
      <c r="H25" s="86"/>
      <c r="I25" s="86"/>
      <c r="J25" s="86"/>
      <c r="K25" s="86"/>
      <c r="L25" s="86"/>
      <c r="M25" s="88">
        <v>67873.47</v>
      </c>
    </row>
    <row r="26" spans="1:13" ht="39" customHeight="1">
      <c r="A26" s="89" t="s">
        <v>100</v>
      </c>
      <c r="B26" s="90" t="s">
        <v>101</v>
      </c>
      <c r="C26" s="89" t="s">
        <v>66</v>
      </c>
      <c r="D26" s="89" t="s">
        <v>102</v>
      </c>
      <c r="E26" s="91" t="s">
        <v>103</v>
      </c>
      <c r="F26" s="90">
        <v>74</v>
      </c>
      <c r="G26" s="92">
        <v>20.67</v>
      </c>
      <c r="H26" s="92">
        <v>6.7</v>
      </c>
      <c r="I26" s="92">
        <v>19.46</v>
      </c>
      <c r="J26" s="92">
        <f t="shared" ref="J26:J31" si="4">TRUNC(G26 * (1 + 26.57 / 100), 2)</f>
        <v>26.16</v>
      </c>
      <c r="K26" s="92">
        <f t="shared" ref="K26:K31" si="5">TRUNC(F26 * H26, 2)</f>
        <v>495.8</v>
      </c>
      <c r="L26" s="92">
        <f t="shared" ref="L26:L31" si="6">M26 - K26</f>
        <v>1440.04</v>
      </c>
      <c r="M26" s="92">
        <f t="shared" ref="M26:M31" si="7">TRUNC(F26 * J26, 2)</f>
        <v>1935.84</v>
      </c>
    </row>
    <row r="27" spans="1:13" ht="39" customHeight="1">
      <c r="A27" s="89" t="s">
        <v>104</v>
      </c>
      <c r="B27" s="90" t="s">
        <v>105</v>
      </c>
      <c r="C27" s="89" t="s">
        <v>66</v>
      </c>
      <c r="D27" s="89" t="s">
        <v>106</v>
      </c>
      <c r="E27" s="91" t="s">
        <v>107</v>
      </c>
      <c r="F27" s="90">
        <v>4860</v>
      </c>
      <c r="G27" s="92">
        <v>2.99</v>
      </c>
      <c r="H27" s="92">
        <v>1.1299999999999999</v>
      </c>
      <c r="I27" s="92">
        <v>2.65</v>
      </c>
      <c r="J27" s="92">
        <f t="shared" si="4"/>
        <v>3.78</v>
      </c>
      <c r="K27" s="92">
        <f t="shared" si="5"/>
        <v>5491.8</v>
      </c>
      <c r="L27" s="92">
        <f t="shared" si="6"/>
        <v>12879</v>
      </c>
      <c r="M27" s="92">
        <f t="shared" si="7"/>
        <v>18370.8</v>
      </c>
    </row>
    <row r="28" spans="1:13" ht="26.1" customHeight="1">
      <c r="A28" s="89" t="s">
        <v>108</v>
      </c>
      <c r="B28" s="90" t="s">
        <v>109</v>
      </c>
      <c r="C28" s="89" t="s">
        <v>77</v>
      </c>
      <c r="D28" s="89" t="s">
        <v>110</v>
      </c>
      <c r="E28" s="91" t="s">
        <v>92</v>
      </c>
      <c r="F28" s="90">
        <v>1620</v>
      </c>
      <c r="G28" s="92">
        <v>20.84</v>
      </c>
      <c r="H28" s="92">
        <v>11.8505</v>
      </c>
      <c r="I28" s="92">
        <v>14.519500000000001</v>
      </c>
      <c r="J28" s="92">
        <f t="shared" si="4"/>
        <v>26.37</v>
      </c>
      <c r="K28" s="92">
        <f t="shared" si="5"/>
        <v>19197.810000000001</v>
      </c>
      <c r="L28" s="92">
        <f t="shared" si="6"/>
        <v>23521.59</v>
      </c>
      <c r="M28" s="92">
        <f t="shared" si="7"/>
        <v>42719.4</v>
      </c>
    </row>
    <row r="29" spans="1:13" ht="24" customHeight="1">
      <c r="A29" s="89" t="s">
        <v>111</v>
      </c>
      <c r="B29" s="90" t="s">
        <v>112</v>
      </c>
      <c r="C29" s="89" t="s">
        <v>45</v>
      </c>
      <c r="D29" s="89" t="s">
        <v>113</v>
      </c>
      <c r="E29" s="91" t="s">
        <v>46</v>
      </c>
      <c r="F29" s="90">
        <v>44</v>
      </c>
      <c r="G29" s="92">
        <v>46.91</v>
      </c>
      <c r="H29" s="92">
        <v>24.81</v>
      </c>
      <c r="I29" s="92">
        <v>34.56</v>
      </c>
      <c r="J29" s="92">
        <f t="shared" si="4"/>
        <v>59.37</v>
      </c>
      <c r="K29" s="92">
        <f t="shared" si="5"/>
        <v>1091.6400000000001</v>
      </c>
      <c r="L29" s="92">
        <f t="shared" si="6"/>
        <v>1520.64</v>
      </c>
      <c r="M29" s="92">
        <f t="shared" si="7"/>
        <v>2612.2800000000002</v>
      </c>
    </row>
    <row r="30" spans="1:13" ht="39" customHeight="1">
      <c r="A30" s="89" t="s">
        <v>114</v>
      </c>
      <c r="B30" s="90" t="s">
        <v>115</v>
      </c>
      <c r="C30" s="89" t="s">
        <v>66</v>
      </c>
      <c r="D30" s="89" t="s">
        <v>116</v>
      </c>
      <c r="E30" s="91" t="s">
        <v>103</v>
      </c>
      <c r="F30" s="90">
        <v>44</v>
      </c>
      <c r="G30" s="92">
        <v>34.56</v>
      </c>
      <c r="H30" s="92">
        <v>25.52</v>
      </c>
      <c r="I30" s="92">
        <v>18.22</v>
      </c>
      <c r="J30" s="92">
        <f t="shared" si="4"/>
        <v>43.74</v>
      </c>
      <c r="K30" s="92">
        <f t="shared" si="5"/>
        <v>1122.8800000000001</v>
      </c>
      <c r="L30" s="92">
        <f t="shared" si="6"/>
        <v>801.67999999999984</v>
      </c>
      <c r="M30" s="92">
        <f t="shared" si="7"/>
        <v>1924.56</v>
      </c>
    </row>
    <row r="31" spans="1:13" ht="26.1" customHeight="1">
      <c r="A31" s="89" t="s">
        <v>117</v>
      </c>
      <c r="B31" s="90" t="s">
        <v>118</v>
      </c>
      <c r="C31" s="89" t="s">
        <v>66</v>
      </c>
      <c r="D31" s="89" t="s">
        <v>119</v>
      </c>
      <c r="E31" s="91" t="s">
        <v>103</v>
      </c>
      <c r="F31" s="90">
        <v>17</v>
      </c>
      <c r="G31" s="92">
        <v>14.44</v>
      </c>
      <c r="H31" s="92">
        <v>1.74</v>
      </c>
      <c r="I31" s="92">
        <v>16.53</v>
      </c>
      <c r="J31" s="92">
        <f t="shared" si="4"/>
        <v>18.27</v>
      </c>
      <c r="K31" s="92">
        <f t="shared" si="5"/>
        <v>29.58</v>
      </c>
      <c r="L31" s="92">
        <f t="shared" si="6"/>
        <v>281.01</v>
      </c>
      <c r="M31" s="92">
        <f t="shared" si="7"/>
        <v>310.58999999999997</v>
      </c>
    </row>
    <row r="32" spans="1:13" ht="24" customHeight="1">
      <c r="A32" s="86" t="s">
        <v>120</v>
      </c>
      <c r="B32" s="86"/>
      <c r="C32" s="86"/>
      <c r="D32" s="86" t="s">
        <v>121</v>
      </c>
      <c r="E32" s="86"/>
      <c r="F32" s="87"/>
      <c r="G32" s="87"/>
      <c r="H32" s="86"/>
      <c r="I32" s="86"/>
      <c r="J32" s="86"/>
      <c r="K32" s="86"/>
      <c r="L32" s="86"/>
      <c r="M32" s="88">
        <v>2047.72</v>
      </c>
    </row>
    <row r="33" spans="1:13" ht="24" customHeight="1">
      <c r="A33" s="89" t="s">
        <v>122</v>
      </c>
      <c r="B33" s="90" t="s">
        <v>123</v>
      </c>
      <c r="C33" s="89" t="s">
        <v>45</v>
      </c>
      <c r="D33" s="89" t="s">
        <v>124</v>
      </c>
      <c r="E33" s="91" t="s">
        <v>74</v>
      </c>
      <c r="F33" s="90">
        <v>1</v>
      </c>
      <c r="G33" s="92">
        <v>1617.86</v>
      </c>
      <c r="H33" s="92">
        <v>1618.92</v>
      </c>
      <c r="I33" s="92">
        <v>428.8</v>
      </c>
      <c r="J33" s="92">
        <f>TRUNC(G33 * (1 + 26.57 / 100), 2)</f>
        <v>2047.72</v>
      </c>
      <c r="K33" s="92">
        <f>TRUNC(F33 * H33, 2)</f>
        <v>1618.92</v>
      </c>
      <c r="L33" s="92">
        <f>M33 - K33</f>
        <v>428.79999999999995</v>
      </c>
      <c r="M33" s="92">
        <f>TRUNC(F33 * J33, 2)</f>
        <v>2047.72</v>
      </c>
    </row>
    <row r="34" spans="1:13" ht="24" customHeight="1">
      <c r="A34" s="86" t="s">
        <v>125</v>
      </c>
      <c r="B34" s="86"/>
      <c r="C34" s="86"/>
      <c r="D34" s="86" t="s">
        <v>126</v>
      </c>
      <c r="E34" s="86"/>
      <c r="F34" s="87"/>
      <c r="G34" s="87"/>
      <c r="H34" s="86"/>
      <c r="I34" s="86"/>
      <c r="J34" s="86"/>
      <c r="K34" s="86"/>
      <c r="L34" s="86"/>
      <c r="M34" s="88">
        <v>7003.85</v>
      </c>
    </row>
    <row r="35" spans="1:13" ht="24" customHeight="1">
      <c r="A35" s="89" t="s">
        <v>127</v>
      </c>
      <c r="B35" s="90" t="s">
        <v>128</v>
      </c>
      <c r="C35" s="89" t="s">
        <v>45</v>
      </c>
      <c r="D35" s="89" t="s">
        <v>129</v>
      </c>
      <c r="E35" s="91" t="s">
        <v>74</v>
      </c>
      <c r="F35" s="90">
        <v>19</v>
      </c>
      <c r="G35" s="92">
        <v>266.38</v>
      </c>
      <c r="H35" s="92">
        <v>262.26</v>
      </c>
      <c r="I35" s="92">
        <v>74.89</v>
      </c>
      <c r="J35" s="92">
        <f>TRUNC(G35 * (1 + 26.57 / 100), 2)</f>
        <v>337.15</v>
      </c>
      <c r="K35" s="92">
        <f>TRUNC(F35 * H35, 2)</f>
        <v>4982.9399999999996</v>
      </c>
      <c r="L35" s="92">
        <f>M35 - K35</f>
        <v>1422.9100000000008</v>
      </c>
      <c r="M35" s="92">
        <f>TRUNC(F35 * J35, 2)</f>
        <v>6405.85</v>
      </c>
    </row>
    <row r="36" spans="1:13" ht="26.1" customHeight="1">
      <c r="A36" s="89" t="s">
        <v>130</v>
      </c>
      <c r="B36" s="90" t="s">
        <v>131</v>
      </c>
      <c r="C36" s="89" t="s">
        <v>45</v>
      </c>
      <c r="D36" s="89" t="s">
        <v>132</v>
      </c>
      <c r="E36" s="91" t="s">
        <v>107</v>
      </c>
      <c r="F36" s="90">
        <v>20</v>
      </c>
      <c r="G36" s="92">
        <v>23.63</v>
      </c>
      <c r="H36" s="92">
        <v>20.18</v>
      </c>
      <c r="I36" s="92">
        <v>9.7200000000000006</v>
      </c>
      <c r="J36" s="92">
        <f>TRUNC(G36 * (1 + 26.57 / 100), 2)</f>
        <v>29.9</v>
      </c>
      <c r="K36" s="92">
        <f>TRUNC(F36 * H36, 2)</f>
        <v>403.6</v>
      </c>
      <c r="L36" s="92">
        <f>M36 - K36</f>
        <v>194.39999999999998</v>
      </c>
      <c r="M36" s="92">
        <f>TRUNC(F36 * J36, 2)</f>
        <v>598</v>
      </c>
    </row>
    <row r="37" spans="1:13" ht="24" customHeight="1">
      <c r="A37" s="86" t="s">
        <v>133</v>
      </c>
      <c r="B37" s="86"/>
      <c r="C37" s="86"/>
      <c r="D37" s="86" t="s">
        <v>134</v>
      </c>
      <c r="E37" s="86"/>
      <c r="F37" s="87"/>
      <c r="G37" s="87"/>
      <c r="H37" s="86"/>
      <c r="I37" s="86"/>
      <c r="J37" s="86"/>
      <c r="K37" s="86"/>
      <c r="L37" s="86"/>
      <c r="M37" s="88">
        <v>22503.01</v>
      </c>
    </row>
    <row r="38" spans="1:13" ht="26.1" customHeight="1">
      <c r="A38" s="89" t="s">
        <v>135</v>
      </c>
      <c r="B38" s="90" t="s">
        <v>136</v>
      </c>
      <c r="C38" s="89" t="s">
        <v>45</v>
      </c>
      <c r="D38" s="89" t="s">
        <v>137</v>
      </c>
      <c r="E38" s="91" t="s">
        <v>74</v>
      </c>
      <c r="F38" s="90">
        <v>1</v>
      </c>
      <c r="G38" s="92">
        <v>2128.52</v>
      </c>
      <c r="H38" s="92">
        <v>591</v>
      </c>
      <c r="I38" s="92">
        <v>2103.06</v>
      </c>
      <c r="J38" s="92">
        <f>TRUNC(G38 * (1 + 26.57 / 100), 2)</f>
        <v>2694.06</v>
      </c>
      <c r="K38" s="92">
        <f>TRUNC(F38 * H38, 2)</f>
        <v>591</v>
      </c>
      <c r="L38" s="92">
        <f>M38 - K38</f>
        <v>2103.06</v>
      </c>
      <c r="M38" s="92">
        <f>TRUNC(F38 * J38, 2)</f>
        <v>2694.06</v>
      </c>
    </row>
    <row r="39" spans="1:13" ht="26.1" customHeight="1">
      <c r="A39" s="89" t="s">
        <v>138</v>
      </c>
      <c r="B39" s="90" t="s">
        <v>139</v>
      </c>
      <c r="C39" s="89" t="s">
        <v>45</v>
      </c>
      <c r="D39" s="89" t="s">
        <v>140</v>
      </c>
      <c r="E39" s="91" t="s">
        <v>74</v>
      </c>
      <c r="F39" s="90">
        <v>1</v>
      </c>
      <c r="G39" s="92">
        <v>15650.59</v>
      </c>
      <c r="H39" s="92">
        <v>1470.89</v>
      </c>
      <c r="I39" s="92">
        <v>18338.060000000001</v>
      </c>
      <c r="J39" s="92">
        <f>TRUNC(G39 * (1 + 26.57 / 100), 2)</f>
        <v>19808.95</v>
      </c>
      <c r="K39" s="92">
        <f>TRUNC(F39 * H39, 2)</f>
        <v>1470.89</v>
      </c>
      <c r="L39" s="92">
        <f>M39 - K39</f>
        <v>18338.060000000001</v>
      </c>
      <c r="M39" s="92">
        <f>TRUNC(F39 * J39, 2)</f>
        <v>19808.95</v>
      </c>
    </row>
    <row r="40" spans="1:13" ht="24" customHeight="1">
      <c r="A40" s="86" t="s">
        <v>141</v>
      </c>
      <c r="B40" s="86"/>
      <c r="C40" s="86"/>
      <c r="D40" s="86" t="s">
        <v>142</v>
      </c>
      <c r="E40" s="86"/>
      <c r="F40" s="87"/>
      <c r="G40" s="87"/>
      <c r="H40" s="86"/>
      <c r="I40" s="86"/>
      <c r="J40" s="86"/>
      <c r="K40" s="86"/>
      <c r="L40" s="86"/>
      <c r="M40" s="88">
        <v>3286.98</v>
      </c>
    </row>
    <row r="41" spans="1:13" ht="26.1" customHeight="1">
      <c r="A41" s="89" t="s">
        <v>143</v>
      </c>
      <c r="B41" s="90" t="s">
        <v>144</v>
      </c>
      <c r="C41" s="89" t="s">
        <v>45</v>
      </c>
      <c r="D41" s="89" t="s">
        <v>145</v>
      </c>
      <c r="E41" s="91" t="s">
        <v>74</v>
      </c>
      <c r="F41" s="90">
        <v>1</v>
      </c>
      <c r="G41" s="92">
        <v>1970.81</v>
      </c>
      <c r="H41" s="92">
        <v>1702.51</v>
      </c>
      <c r="I41" s="92">
        <v>791.94</v>
      </c>
      <c r="J41" s="92">
        <f>TRUNC(G41 * (1 + 26.57 / 100), 2)</f>
        <v>2494.4499999999998</v>
      </c>
      <c r="K41" s="92">
        <f>TRUNC(F41 * H41, 2)</f>
        <v>1702.51</v>
      </c>
      <c r="L41" s="92">
        <f>M41 - K41</f>
        <v>791.93999999999983</v>
      </c>
      <c r="M41" s="92">
        <f>TRUNC(F41 * J41, 2)</f>
        <v>2494.4499999999998</v>
      </c>
    </row>
    <row r="42" spans="1:13" ht="24" customHeight="1">
      <c r="A42" s="89" t="s">
        <v>146</v>
      </c>
      <c r="B42" s="90" t="s">
        <v>147</v>
      </c>
      <c r="C42" s="89" t="s">
        <v>45</v>
      </c>
      <c r="D42" s="89" t="s">
        <v>148</v>
      </c>
      <c r="E42" s="91" t="s">
        <v>74</v>
      </c>
      <c r="F42" s="90">
        <v>1</v>
      </c>
      <c r="G42" s="92">
        <v>626.16</v>
      </c>
      <c r="H42" s="92">
        <v>399.76</v>
      </c>
      <c r="I42" s="92">
        <v>392.77</v>
      </c>
      <c r="J42" s="92">
        <f>TRUNC(G42 * (1 + 26.57 / 100), 2)</f>
        <v>792.53</v>
      </c>
      <c r="K42" s="92">
        <f>TRUNC(F42 * H42, 2)</f>
        <v>399.76</v>
      </c>
      <c r="L42" s="92">
        <f>M42 - K42</f>
        <v>392.77</v>
      </c>
      <c r="M42" s="92">
        <f>TRUNC(F42 * J42, 2)</f>
        <v>792.53</v>
      </c>
    </row>
    <row r="43" spans="1:13" ht="24" customHeight="1">
      <c r="A43" s="86" t="s">
        <v>149</v>
      </c>
      <c r="B43" s="86"/>
      <c r="C43" s="86"/>
      <c r="D43" s="86" t="s">
        <v>150</v>
      </c>
      <c r="E43" s="86"/>
      <c r="F43" s="87"/>
      <c r="G43" s="87"/>
      <c r="H43" s="86"/>
      <c r="I43" s="86"/>
      <c r="J43" s="86"/>
      <c r="K43" s="86"/>
      <c r="L43" s="86"/>
      <c r="M43" s="88">
        <v>6300.43</v>
      </c>
    </row>
    <row r="44" spans="1:13" ht="26.1" customHeight="1">
      <c r="A44" s="89" t="s">
        <v>151</v>
      </c>
      <c r="B44" s="90" t="s">
        <v>152</v>
      </c>
      <c r="C44" s="89" t="s">
        <v>45</v>
      </c>
      <c r="D44" s="89" t="s">
        <v>153</v>
      </c>
      <c r="E44" s="91" t="s">
        <v>74</v>
      </c>
      <c r="F44" s="90">
        <v>1</v>
      </c>
      <c r="G44" s="92">
        <v>4977.83</v>
      </c>
      <c r="H44" s="92">
        <v>6054</v>
      </c>
      <c r="I44" s="92">
        <v>246.43</v>
      </c>
      <c r="J44" s="92">
        <f>TRUNC(G44 * (1 + 26.57 / 100), 2)</f>
        <v>6300.43</v>
      </c>
      <c r="K44" s="92">
        <f>TRUNC(F44 * H44, 2)</f>
        <v>6054</v>
      </c>
      <c r="L44" s="92">
        <f>M44 - K44</f>
        <v>246.43000000000029</v>
      </c>
      <c r="M44" s="92">
        <f>TRUNC(F44 * J44, 2)</f>
        <v>6300.43</v>
      </c>
    </row>
    <row r="45" spans="1:13" ht="24" customHeight="1">
      <c r="A45" s="86" t="s">
        <v>154</v>
      </c>
      <c r="B45" s="86"/>
      <c r="C45" s="86"/>
      <c r="D45" s="86" t="s">
        <v>155</v>
      </c>
      <c r="E45" s="86"/>
      <c r="F45" s="87"/>
      <c r="G45" s="87"/>
      <c r="H45" s="86"/>
      <c r="I45" s="86"/>
      <c r="J45" s="86"/>
      <c r="K45" s="86"/>
      <c r="L45" s="86"/>
      <c r="M45" s="88">
        <v>85329.18</v>
      </c>
    </row>
    <row r="46" spans="1:13" ht="24" customHeight="1">
      <c r="A46" s="86" t="s">
        <v>156</v>
      </c>
      <c r="B46" s="86"/>
      <c r="C46" s="86"/>
      <c r="D46" s="86" t="s">
        <v>57</v>
      </c>
      <c r="E46" s="86"/>
      <c r="F46" s="87"/>
      <c r="G46" s="87"/>
      <c r="H46" s="86"/>
      <c r="I46" s="86"/>
      <c r="J46" s="86"/>
      <c r="K46" s="86"/>
      <c r="L46" s="86"/>
      <c r="M46" s="88">
        <v>9875.1200000000008</v>
      </c>
    </row>
    <row r="47" spans="1:13" ht="26.1" customHeight="1">
      <c r="A47" s="89" t="s">
        <v>157</v>
      </c>
      <c r="B47" s="90" t="s">
        <v>59</v>
      </c>
      <c r="C47" s="89" t="s">
        <v>45</v>
      </c>
      <c r="D47" s="89" t="s">
        <v>60</v>
      </c>
      <c r="E47" s="91" t="s">
        <v>46</v>
      </c>
      <c r="F47" s="90">
        <v>1</v>
      </c>
      <c r="G47" s="92">
        <v>4869.49</v>
      </c>
      <c r="H47" s="92">
        <v>530.58000000000004</v>
      </c>
      <c r="I47" s="92">
        <v>5632.73</v>
      </c>
      <c r="J47" s="92">
        <f>TRUNC(G47 * (1 + 26.57 / 100), 2)</f>
        <v>6163.31</v>
      </c>
      <c r="K47" s="92">
        <f>TRUNC(F47 * H47, 2)</f>
        <v>530.58000000000004</v>
      </c>
      <c r="L47" s="92">
        <f>M47 - K47</f>
        <v>5632.7300000000005</v>
      </c>
      <c r="M47" s="92">
        <f>TRUNC(F47 * J47, 2)</f>
        <v>6163.31</v>
      </c>
    </row>
    <row r="48" spans="1:13" ht="24" customHeight="1">
      <c r="A48" s="89" t="s">
        <v>158</v>
      </c>
      <c r="B48" s="90" t="s">
        <v>159</v>
      </c>
      <c r="C48" s="89" t="s">
        <v>45</v>
      </c>
      <c r="D48" s="89" t="s">
        <v>63</v>
      </c>
      <c r="E48" s="91" t="s">
        <v>46</v>
      </c>
      <c r="F48" s="90">
        <v>1</v>
      </c>
      <c r="G48" s="92">
        <v>2179.6799999999998</v>
      </c>
      <c r="H48" s="92">
        <v>0</v>
      </c>
      <c r="I48" s="92">
        <v>2758.82</v>
      </c>
      <c r="J48" s="92">
        <f>TRUNC(G48 * (1 + 26.57 / 100), 2)</f>
        <v>2758.82</v>
      </c>
      <c r="K48" s="92">
        <f>TRUNC(F48 * H48, 2)</f>
        <v>0</v>
      </c>
      <c r="L48" s="92">
        <f>M48 - K48</f>
        <v>2758.82</v>
      </c>
      <c r="M48" s="92">
        <f>TRUNC(F48 * J48, 2)</f>
        <v>2758.82</v>
      </c>
    </row>
    <row r="49" spans="1:13" ht="39" customHeight="1">
      <c r="A49" s="89" t="s">
        <v>160</v>
      </c>
      <c r="B49" s="90" t="s">
        <v>65</v>
      </c>
      <c r="C49" s="89" t="s">
        <v>66</v>
      </c>
      <c r="D49" s="89" t="s">
        <v>67</v>
      </c>
      <c r="E49" s="91" t="s">
        <v>68</v>
      </c>
      <c r="F49" s="90">
        <v>1.5</v>
      </c>
      <c r="G49" s="92">
        <v>501.96</v>
      </c>
      <c r="H49" s="92">
        <v>37.049999999999997</v>
      </c>
      <c r="I49" s="92">
        <v>598.28</v>
      </c>
      <c r="J49" s="92">
        <f>TRUNC(G49 * (1 + 26.57 / 100), 2)</f>
        <v>635.33000000000004</v>
      </c>
      <c r="K49" s="92">
        <f>TRUNC(F49 * H49, 2)</f>
        <v>55.57</v>
      </c>
      <c r="L49" s="92">
        <f>M49 - K49</f>
        <v>897.42</v>
      </c>
      <c r="M49" s="92">
        <f>TRUNC(F49 * J49, 2)</f>
        <v>952.99</v>
      </c>
    </row>
    <row r="50" spans="1:13" ht="24" customHeight="1">
      <c r="A50" s="86" t="s">
        <v>161</v>
      </c>
      <c r="B50" s="86"/>
      <c r="C50" s="86"/>
      <c r="D50" s="86" t="s">
        <v>70</v>
      </c>
      <c r="E50" s="86"/>
      <c r="F50" s="87"/>
      <c r="G50" s="87"/>
      <c r="H50" s="86"/>
      <c r="I50" s="86"/>
      <c r="J50" s="86"/>
      <c r="K50" s="86"/>
      <c r="L50" s="86"/>
      <c r="M50" s="88">
        <v>4784.59</v>
      </c>
    </row>
    <row r="51" spans="1:13" ht="39" customHeight="1">
      <c r="A51" s="89" t="s">
        <v>162</v>
      </c>
      <c r="B51" s="90" t="s">
        <v>81</v>
      </c>
      <c r="C51" s="89" t="s">
        <v>77</v>
      </c>
      <c r="D51" s="89" t="s">
        <v>82</v>
      </c>
      <c r="E51" s="91" t="s">
        <v>79</v>
      </c>
      <c r="F51" s="90">
        <v>20</v>
      </c>
      <c r="G51" s="92">
        <v>25.69</v>
      </c>
      <c r="H51" s="92">
        <v>6.2443</v>
      </c>
      <c r="I51" s="92">
        <v>26.265699999999999</v>
      </c>
      <c r="J51" s="92">
        <f t="shared" ref="J51:J56" si="8">TRUNC(G51 * (1 + 26.57 / 100), 2)</f>
        <v>32.51</v>
      </c>
      <c r="K51" s="92">
        <f t="shared" ref="K51:K56" si="9">TRUNC(F51 * H51, 2)</f>
        <v>124.88</v>
      </c>
      <c r="L51" s="92">
        <f t="shared" ref="L51:L56" si="10">M51 - K51</f>
        <v>525.32000000000005</v>
      </c>
      <c r="M51" s="92">
        <f t="shared" ref="M51:M56" si="11">TRUNC(F51 * J51, 2)</f>
        <v>650.20000000000005</v>
      </c>
    </row>
    <row r="52" spans="1:13" ht="39" customHeight="1">
      <c r="A52" s="89" t="s">
        <v>163</v>
      </c>
      <c r="B52" s="90" t="s">
        <v>84</v>
      </c>
      <c r="C52" s="89" t="s">
        <v>77</v>
      </c>
      <c r="D52" s="89" t="s">
        <v>85</v>
      </c>
      <c r="E52" s="91" t="s">
        <v>79</v>
      </c>
      <c r="F52" s="90">
        <v>5</v>
      </c>
      <c r="G52" s="92">
        <v>25.69</v>
      </c>
      <c r="H52" s="92">
        <v>6.2443</v>
      </c>
      <c r="I52" s="92">
        <v>26.265699999999999</v>
      </c>
      <c r="J52" s="92">
        <f t="shared" si="8"/>
        <v>32.51</v>
      </c>
      <c r="K52" s="92">
        <f t="shared" si="9"/>
        <v>31.22</v>
      </c>
      <c r="L52" s="92">
        <f t="shared" si="10"/>
        <v>131.33000000000001</v>
      </c>
      <c r="M52" s="92">
        <f t="shared" si="11"/>
        <v>162.55000000000001</v>
      </c>
    </row>
    <row r="53" spans="1:13" ht="39" customHeight="1">
      <c r="A53" s="89" t="s">
        <v>164</v>
      </c>
      <c r="B53" s="90" t="s">
        <v>165</v>
      </c>
      <c r="C53" s="89" t="s">
        <v>77</v>
      </c>
      <c r="D53" s="89" t="s">
        <v>166</v>
      </c>
      <c r="E53" s="91" t="s">
        <v>79</v>
      </c>
      <c r="F53" s="90">
        <v>5</v>
      </c>
      <c r="G53" s="92">
        <v>17.28</v>
      </c>
      <c r="H53" s="92">
        <v>6.2443</v>
      </c>
      <c r="I53" s="92">
        <v>15.6257</v>
      </c>
      <c r="J53" s="92">
        <f t="shared" si="8"/>
        <v>21.87</v>
      </c>
      <c r="K53" s="92">
        <f t="shared" si="9"/>
        <v>31.22</v>
      </c>
      <c r="L53" s="92">
        <f t="shared" si="10"/>
        <v>78.13</v>
      </c>
      <c r="M53" s="92">
        <f t="shared" si="11"/>
        <v>109.35</v>
      </c>
    </row>
    <row r="54" spans="1:13" ht="39" customHeight="1">
      <c r="A54" s="89" t="s">
        <v>167</v>
      </c>
      <c r="B54" s="90" t="s">
        <v>87</v>
      </c>
      <c r="C54" s="89" t="s">
        <v>66</v>
      </c>
      <c r="D54" s="89" t="s">
        <v>88</v>
      </c>
      <c r="E54" s="91" t="s">
        <v>68</v>
      </c>
      <c r="F54" s="90">
        <v>10</v>
      </c>
      <c r="G54" s="92">
        <v>27.21</v>
      </c>
      <c r="H54" s="92">
        <v>12.9</v>
      </c>
      <c r="I54" s="92">
        <v>21.53</v>
      </c>
      <c r="J54" s="92">
        <f t="shared" si="8"/>
        <v>34.43</v>
      </c>
      <c r="K54" s="92">
        <f t="shared" si="9"/>
        <v>129</v>
      </c>
      <c r="L54" s="92">
        <f t="shared" si="10"/>
        <v>215.3</v>
      </c>
      <c r="M54" s="92">
        <f t="shared" si="11"/>
        <v>344.3</v>
      </c>
    </row>
    <row r="55" spans="1:13" ht="39" customHeight="1">
      <c r="A55" s="89" t="s">
        <v>168</v>
      </c>
      <c r="B55" s="90" t="s">
        <v>90</v>
      </c>
      <c r="C55" s="89" t="s">
        <v>77</v>
      </c>
      <c r="D55" s="89" t="s">
        <v>91</v>
      </c>
      <c r="E55" s="91" t="s">
        <v>92</v>
      </c>
      <c r="F55" s="90">
        <v>200</v>
      </c>
      <c r="G55" s="92">
        <v>13.77</v>
      </c>
      <c r="H55" s="92">
        <v>3.6238000000000001</v>
      </c>
      <c r="I55" s="92">
        <v>13.796200000000001</v>
      </c>
      <c r="J55" s="92">
        <f t="shared" si="8"/>
        <v>17.420000000000002</v>
      </c>
      <c r="K55" s="92">
        <f t="shared" si="9"/>
        <v>724.76</v>
      </c>
      <c r="L55" s="92">
        <f t="shared" si="10"/>
        <v>2759.24</v>
      </c>
      <c r="M55" s="92">
        <f t="shared" si="11"/>
        <v>3484</v>
      </c>
    </row>
    <row r="56" spans="1:13" ht="26.1" customHeight="1">
      <c r="A56" s="89" t="s">
        <v>169</v>
      </c>
      <c r="B56" s="90" t="s">
        <v>72</v>
      </c>
      <c r="C56" s="89" t="s">
        <v>45</v>
      </c>
      <c r="D56" s="89" t="s">
        <v>73</v>
      </c>
      <c r="E56" s="91" t="s">
        <v>74</v>
      </c>
      <c r="F56" s="90">
        <v>1</v>
      </c>
      <c r="G56" s="92">
        <v>27.02</v>
      </c>
      <c r="H56" s="92">
        <v>8.3699999999999992</v>
      </c>
      <c r="I56" s="92">
        <v>25.82</v>
      </c>
      <c r="J56" s="92">
        <f t="shared" si="8"/>
        <v>34.19</v>
      </c>
      <c r="K56" s="92">
        <f t="shared" si="9"/>
        <v>8.3699999999999992</v>
      </c>
      <c r="L56" s="92">
        <f t="shared" si="10"/>
        <v>25.82</v>
      </c>
      <c r="M56" s="92">
        <f t="shared" si="11"/>
        <v>34.19</v>
      </c>
    </row>
    <row r="57" spans="1:13" ht="24" customHeight="1">
      <c r="A57" s="86" t="s">
        <v>170</v>
      </c>
      <c r="B57" s="86"/>
      <c r="C57" s="86"/>
      <c r="D57" s="86" t="s">
        <v>94</v>
      </c>
      <c r="E57" s="86"/>
      <c r="F57" s="87"/>
      <c r="G57" s="87"/>
      <c r="H57" s="86"/>
      <c r="I57" s="86"/>
      <c r="J57" s="86"/>
      <c r="K57" s="86"/>
      <c r="L57" s="86"/>
      <c r="M57" s="88">
        <v>3187.6</v>
      </c>
    </row>
    <row r="58" spans="1:13" ht="24" customHeight="1">
      <c r="A58" s="89" t="s">
        <v>171</v>
      </c>
      <c r="B58" s="90" t="s">
        <v>96</v>
      </c>
      <c r="C58" s="89" t="s">
        <v>45</v>
      </c>
      <c r="D58" s="89" t="s">
        <v>97</v>
      </c>
      <c r="E58" s="91" t="s">
        <v>74</v>
      </c>
      <c r="F58" s="90">
        <v>10</v>
      </c>
      <c r="G58" s="92">
        <v>251.85</v>
      </c>
      <c r="H58" s="92">
        <v>2.78</v>
      </c>
      <c r="I58" s="92">
        <v>315.98</v>
      </c>
      <c r="J58" s="92">
        <f>TRUNC(G58 * (1 + 26.57 / 100), 2)</f>
        <v>318.76</v>
      </c>
      <c r="K58" s="92">
        <f>TRUNC(F58 * H58, 2)</f>
        <v>27.8</v>
      </c>
      <c r="L58" s="92">
        <f>M58 - K58</f>
        <v>3159.7999999999997</v>
      </c>
      <c r="M58" s="92">
        <f>TRUNC(F58 * J58, 2)</f>
        <v>3187.6</v>
      </c>
    </row>
    <row r="59" spans="1:13" ht="24" customHeight="1">
      <c r="A59" s="86" t="s">
        <v>172</v>
      </c>
      <c r="B59" s="86"/>
      <c r="C59" s="86"/>
      <c r="D59" s="86" t="s">
        <v>99</v>
      </c>
      <c r="E59" s="86"/>
      <c r="F59" s="87"/>
      <c r="G59" s="87"/>
      <c r="H59" s="86"/>
      <c r="I59" s="86"/>
      <c r="J59" s="86"/>
      <c r="K59" s="86"/>
      <c r="L59" s="86"/>
      <c r="M59" s="88">
        <v>29061.9</v>
      </c>
    </row>
    <row r="60" spans="1:13" ht="39" customHeight="1">
      <c r="A60" s="89" t="s">
        <v>173</v>
      </c>
      <c r="B60" s="90" t="s">
        <v>101</v>
      </c>
      <c r="C60" s="89" t="s">
        <v>66</v>
      </c>
      <c r="D60" s="89" t="s">
        <v>102</v>
      </c>
      <c r="E60" s="91" t="s">
        <v>103</v>
      </c>
      <c r="F60" s="90">
        <v>42</v>
      </c>
      <c r="G60" s="92">
        <v>20.67</v>
      </c>
      <c r="H60" s="92">
        <v>6.7</v>
      </c>
      <c r="I60" s="92">
        <v>19.46</v>
      </c>
      <c r="J60" s="92">
        <f t="shared" ref="J60:J65" si="12">TRUNC(G60 * (1 + 26.57 / 100), 2)</f>
        <v>26.16</v>
      </c>
      <c r="K60" s="92">
        <f t="shared" ref="K60:K65" si="13">TRUNC(F60 * H60, 2)</f>
        <v>281.39999999999998</v>
      </c>
      <c r="L60" s="92">
        <f t="shared" ref="L60:L65" si="14">M60 - K60</f>
        <v>817.32</v>
      </c>
      <c r="M60" s="92">
        <f t="shared" ref="M60:M65" si="15">TRUNC(F60 * J60, 2)</f>
        <v>1098.72</v>
      </c>
    </row>
    <row r="61" spans="1:13" ht="39" customHeight="1">
      <c r="A61" s="89" t="s">
        <v>174</v>
      </c>
      <c r="B61" s="90" t="s">
        <v>105</v>
      </c>
      <c r="C61" s="89" t="s">
        <v>66</v>
      </c>
      <c r="D61" s="89" t="s">
        <v>106</v>
      </c>
      <c r="E61" s="91" t="s">
        <v>107</v>
      </c>
      <c r="F61" s="90">
        <v>2100</v>
      </c>
      <c r="G61" s="92">
        <v>2.99</v>
      </c>
      <c r="H61" s="92">
        <v>1.1299999999999999</v>
      </c>
      <c r="I61" s="92">
        <v>2.65</v>
      </c>
      <c r="J61" s="92">
        <f t="shared" si="12"/>
        <v>3.78</v>
      </c>
      <c r="K61" s="92">
        <f t="shared" si="13"/>
        <v>2373</v>
      </c>
      <c r="L61" s="92">
        <f t="shared" si="14"/>
        <v>5565</v>
      </c>
      <c r="M61" s="92">
        <f t="shared" si="15"/>
        <v>7938</v>
      </c>
    </row>
    <row r="62" spans="1:13" ht="26.1" customHeight="1">
      <c r="A62" s="89" t="s">
        <v>175</v>
      </c>
      <c r="B62" s="90" t="s">
        <v>109</v>
      </c>
      <c r="C62" s="89" t="s">
        <v>77</v>
      </c>
      <c r="D62" s="89" t="s">
        <v>110</v>
      </c>
      <c r="E62" s="91" t="s">
        <v>92</v>
      </c>
      <c r="F62" s="90">
        <v>700</v>
      </c>
      <c r="G62" s="92">
        <v>20.84</v>
      </c>
      <c r="H62" s="92">
        <v>11.8505</v>
      </c>
      <c r="I62" s="92">
        <v>14.519500000000001</v>
      </c>
      <c r="J62" s="92">
        <f t="shared" si="12"/>
        <v>26.37</v>
      </c>
      <c r="K62" s="92">
        <f t="shared" si="13"/>
        <v>8295.35</v>
      </c>
      <c r="L62" s="92">
        <f t="shared" si="14"/>
        <v>10163.65</v>
      </c>
      <c r="M62" s="92">
        <f t="shared" si="15"/>
        <v>18459</v>
      </c>
    </row>
    <row r="63" spans="1:13" ht="24" customHeight="1">
      <c r="A63" s="89" t="s">
        <v>176</v>
      </c>
      <c r="B63" s="90" t="s">
        <v>112</v>
      </c>
      <c r="C63" s="89" t="s">
        <v>45</v>
      </c>
      <c r="D63" s="89" t="s">
        <v>113</v>
      </c>
      <c r="E63" s="91" t="s">
        <v>46</v>
      </c>
      <c r="F63" s="90">
        <v>12</v>
      </c>
      <c r="G63" s="92">
        <v>46.91</v>
      </c>
      <c r="H63" s="92">
        <v>24.81</v>
      </c>
      <c r="I63" s="92">
        <v>34.56</v>
      </c>
      <c r="J63" s="92">
        <f t="shared" si="12"/>
        <v>59.37</v>
      </c>
      <c r="K63" s="92">
        <f t="shared" si="13"/>
        <v>297.72000000000003</v>
      </c>
      <c r="L63" s="92">
        <f t="shared" si="14"/>
        <v>414.72</v>
      </c>
      <c r="M63" s="92">
        <f t="shared" si="15"/>
        <v>712.44</v>
      </c>
    </row>
    <row r="64" spans="1:13" ht="39" customHeight="1">
      <c r="A64" s="89" t="s">
        <v>177</v>
      </c>
      <c r="B64" s="90" t="s">
        <v>115</v>
      </c>
      <c r="C64" s="89" t="s">
        <v>66</v>
      </c>
      <c r="D64" s="89" t="s">
        <v>116</v>
      </c>
      <c r="E64" s="91" t="s">
        <v>103</v>
      </c>
      <c r="F64" s="90">
        <v>12</v>
      </c>
      <c r="G64" s="92">
        <v>34.56</v>
      </c>
      <c r="H64" s="92">
        <v>25.52</v>
      </c>
      <c r="I64" s="92">
        <v>18.22</v>
      </c>
      <c r="J64" s="92">
        <f t="shared" si="12"/>
        <v>43.74</v>
      </c>
      <c r="K64" s="92">
        <f t="shared" si="13"/>
        <v>306.24</v>
      </c>
      <c r="L64" s="92">
        <f t="shared" si="14"/>
        <v>218.64</v>
      </c>
      <c r="M64" s="92">
        <f t="shared" si="15"/>
        <v>524.88</v>
      </c>
    </row>
    <row r="65" spans="1:13" ht="26.1" customHeight="1">
      <c r="A65" s="89" t="s">
        <v>178</v>
      </c>
      <c r="B65" s="90" t="s">
        <v>118</v>
      </c>
      <c r="C65" s="89" t="s">
        <v>66</v>
      </c>
      <c r="D65" s="89" t="s">
        <v>119</v>
      </c>
      <c r="E65" s="91" t="s">
        <v>103</v>
      </c>
      <c r="F65" s="90">
        <v>18</v>
      </c>
      <c r="G65" s="92">
        <v>14.44</v>
      </c>
      <c r="H65" s="92">
        <v>1.74</v>
      </c>
      <c r="I65" s="92">
        <v>16.53</v>
      </c>
      <c r="J65" s="92">
        <f t="shared" si="12"/>
        <v>18.27</v>
      </c>
      <c r="K65" s="92">
        <f t="shared" si="13"/>
        <v>31.32</v>
      </c>
      <c r="L65" s="92">
        <f t="shared" si="14"/>
        <v>297.54000000000002</v>
      </c>
      <c r="M65" s="92">
        <f t="shared" si="15"/>
        <v>328.86</v>
      </c>
    </row>
    <row r="66" spans="1:13" ht="24" customHeight="1">
      <c r="A66" s="86" t="s">
        <v>179</v>
      </c>
      <c r="B66" s="86"/>
      <c r="C66" s="86"/>
      <c r="D66" s="86" t="s">
        <v>126</v>
      </c>
      <c r="E66" s="86"/>
      <c r="F66" s="87"/>
      <c r="G66" s="87"/>
      <c r="H66" s="86"/>
      <c r="I66" s="86"/>
      <c r="J66" s="86"/>
      <c r="K66" s="86"/>
      <c r="L66" s="86"/>
      <c r="M66" s="88">
        <v>6329.55</v>
      </c>
    </row>
    <row r="67" spans="1:13" ht="24" customHeight="1">
      <c r="A67" s="89" t="s">
        <v>180</v>
      </c>
      <c r="B67" s="90" t="s">
        <v>128</v>
      </c>
      <c r="C67" s="89" t="s">
        <v>45</v>
      </c>
      <c r="D67" s="89" t="s">
        <v>129</v>
      </c>
      <c r="E67" s="91" t="s">
        <v>74</v>
      </c>
      <c r="F67" s="90">
        <v>17</v>
      </c>
      <c r="G67" s="92">
        <v>266.38</v>
      </c>
      <c r="H67" s="92">
        <v>262.26</v>
      </c>
      <c r="I67" s="92">
        <v>74.89</v>
      </c>
      <c r="J67" s="92">
        <f>TRUNC(G67 * (1 + 26.57 / 100), 2)</f>
        <v>337.15</v>
      </c>
      <c r="K67" s="92">
        <f>TRUNC(F67 * H67, 2)</f>
        <v>4458.42</v>
      </c>
      <c r="L67" s="92">
        <f>M67 - K67</f>
        <v>1273.1300000000001</v>
      </c>
      <c r="M67" s="92">
        <f>TRUNC(F67 * J67, 2)</f>
        <v>5731.55</v>
      </c>
    </row>
    <row r="68" spans="1:13" ht="26.1" customHeight="1">
      <c r="A68" s="89" t="s">
        <v>181</v>
      </c>
      <c r="B68" s="90" t="s">
        <v>131</v>
      </c>
      <c r="C68" s="89" t="s">
        <v>45</v>
      </c>
      <c r="D68" s="89" t="s">
        <v>132</v>
      </c>
      <c r="E68" s="91" t="s">
        <v>107</v>
      </c>
      <c r="F68" s="90">
        <v>20</v>
      </c>
      <c r="G68" s="92">
        <v>23.63</v>
      </c>
      <c r="H68" s="92">
        <v>20.18</v>
      </c>
      <c r="I68" s="92">
        <v>9.7200000000000006</v>
      </c>
      <c r="J68" s="92">
        <f>TRUNC(G68 * (1 + 26.57 / 100), 2)</f>
        <v>29.9</v>
      </c>
      <c r="K68" s="92">
        <f>TRUNC(F68 * H68, 2)</f>
        <v>403.6</v>
      </c>
      <c r="L68" s="92">
        <f>M68 - K68</f>
        <v>194.39999999999998</v>
      </c>
      <c r="M68" s="92">
        <f>TRUNC(F68 * J68, 2)</f>
        <v>598</v>
      </c>
    </row>
    <row r="69" spans="1:13" ht="24" customHeight="1">
      <c r="A69" s="86" t="s">
        <v>182</v>
      </c>
      <c r="B69" s="86"/>
      <c r="C69" s="86"/>
      <c r="D69" s="86" t="s">
        <v>134</v>
      </c>
      <c r="E69" s="86"/>
      <c r="F69" s="87"/>
      <c r="G69" s="87"/>
      <c r="H69" s="86"/>
      <c r="I69" s="86"/>
      <c r="J69" s="86"/>
      <c r="K69" s="86"/>
      <c r="L69" s="86"/>
      <c r="M69" s="88">
        <v>22503.01</v>
      </c>
    </row>
    <row r="70" spans="1:13" ht="26.1" customHeight="1">
      <c r="A70" s="89" t="s">
        <v>183</v>
      </c>
      <c r="B70" s="90" t="s">
        <v>136</v>
      </c>
      <c r="C70" s="89" t="s">
        <v>45</v>
      </c>
      <c r="D70" s="89" t="s">
        <v>137</v>
      </c>
      <c r="E70" s="91" t="s">
        <v>74</v>
      </c>
      <c r="F70" s="90">
        <v>1</v>
      </c>
      <c r="G70" s="92">
        <v>2128.52</v>
      </c>
      <c r="H70" s="92">
        <v>591</v>
      </c>
      <c r="I70" s="92">
        <v>2103.06</v>
      </c>
      <c r="J70" s="92">
        <f>TRUNC(G70 * (1 + 26.57 / 100), 2)</f>
        <v>2694.06</v>
      </c>
      <c r="K70" s="92">
        <f>TRUNC(F70 * H70, 2)</f>
        <v>591</v>
      </c>
      <c r="L70" s="92">
        <f>M70 - K70</f>
        <v>2103.06</v>
      </c>
      <c r="M70" s="92">
        <f>TRUNC(F70 * J70, 2)</f>
        <v>2694.06</v>
      </c>
    </row>
    <row r="71" spans="1:13" ht="26.1" customHeight="1">
      <c r="A71" s="89" t="s">
        <v>184</v>
      </c>
      <c r="B71" s="90" t="s">
        <v>185</v>
      </c>
      <c r="C71" s="89" t="s">
        <v>45</v>
      </c>
      <c r="D71" s="89" t="s">
        <v>140</v>
      </c>
      <c r="E71" s="91" t="s">
        <v>74</v>
      </c>
      <c r="F71" s="90">
        <v>1</v>
      </c>
      <c r="G71" s="92">
        <v>15650.59</v>
      </c>
      <c r="H71" s="92">
        <v>1470.89</v>
      </c>
      <c r="I71" s="92">
        <v>18338.060000000001</v>
      </c>
      <c r="J71" s="92">
        <f>TRUNC(G71 * (1 + 26.57 / 100), 2)</f>
        <v>19808.95</v>
      </c>
      <c r="K71" s="92">
        <f>TRUNC(F71 * H71, 2)</f>
        <v>1470.89</v>
      </c>
      <c r="L71" s="92">
        <f>M71 - K71</f>
        <v>18338.060000000001</v>
      </c>
      <c r="M71" s="92">
        <f>TRUNC(F71 * J71, 2)</f>
        <v>19808.95</v>
      </c>
    </row>
    <row r="72" spans="1:13" ht="24" customHeight="1">
      <c r="A72" s="86" t="s">
        <v>186</v>
      </c>
      <c r="B72" s="86"/>
      <c r="C72" s="86"/>
      <c r="D72" s="86" t="s">
        <v>142</v>
      </c>
      <c r="E72" s="86"/>
      <c r="F72" s="87"/>
      <c r="G72" s="87"/>
      <c r="H72" s="86"/>
      <c r="I72" s="86"/>
      <c r="J72" s="86"/>
      <c r="K72" s="86"/>
      <c r="L72" s="86"/>
      <c r="M72" s="88">
        <v>3286.98</v>
      </c>
    </row>
    <row r="73" spans="1:13" ht="24" customHeight="1">
      <c r="A73" s="89" t="s">
        <v>187</v>
      </c>
      <c r="B73" s="90" t="s">
        <v>144</v>
      </c>
      <c r="C73" s="89" t="s">
        <v>45</v>
      </c>
      <c r="D73" s="89" t="s">
        <v>145</v>
      </c>
      <c r="E73" s="91" t="s">
        <v>74</v>
      </c>
      <c r="F73" s="90">
        <v>1</v>
      </c>
      <c r="G73" s="92">
        <v>1970.81</v>
      </c>
      <c r="H73" s="92">
        <v>1702.51</v>
      </c>
      <c r="I73" s="92">
        <v>791.94</v>
      </c>
      <c r="J73" s="92">
        <f>TRUNC(G73 * (1 + 26.57 / 100), 2)</f>
        <v>2494.4499999999998</v>
      </c>
      <c r="K73" s="92">
        <f>TRUNC(F73 * H73, 2)</f>
        <v>1702.51</v>
      </c>
      <c r="L73" s="92">
        <f>M73 - K73</f>
        <v>791.93999999999983</v>
      </c>
      <c r="M73" s="92">
        <f>TRUNC(F73 * J73, 2)</f>
        <v>2494.4499999999998</v>
      </c>
    </row>
    <row r="74" spans="1:13" ht="24" customHeight="1">
      <c r="A74" s="89" t="s">
        <v>188</v>
      </c>
      <c r="B74" s="90" t="s">
        <v>147</v>
      </c>
      <c r="C74" s="89" t="s">
        <v>45</v>
      </c>
      <c r="D74" s="89" t="s">
        <v>148</v>
      </c>
      <c r="E74" s="91" t="s">
        <v>74</v>
      </c>
      <c r="F74" s="90">
        <v>1</v>
      </c>
      <c r="G74" s="92">
        <v>626.16</v>
      </c>
      <c r="H74" s="92">
        <v>399.76</v>
      </c>
      <c r="I74" s="92">
        <v>392.77</v>
      </c>
      <c r="J74" s="92">
        <f>TRUNC(G74 * (1 + 26.57 / 100), 2)</f>
        <v>792.53</v>
      </c>
      <c r="K74" s="92">
        <f>TRUNC(F74 * H74, 2)</f>
        <v>399.76</v>
      </c>
      <c r="L74" s="92">
        <f>M74 - K74</f>
        <v>392.77</v>
      </c>
      <c r="M74" s="92">
        <f>TRUNC(F74 * J74, 2)</f>
        <v>792.53</v>
      </c>
    </row>
    <row r="75" spans="1:13" ht="24" customHeight="1">
      <c r="A75" s="86" t="s">
        <v>189</v>
      </c>
      <c r="B75" s="86"/>
      <c r="C75" s="86"/>
      <c r="D75" s="86" t="s">
        <v>150</v>
      </c>
      <c r="E75" s="86"/>
      <c r="F75" s="87"/>
      <c r="G75" s="87"/>
      <c r="H75" s="86"/>
      <c r="I75" s="86"/>
      <c r="J75" s="86"/>
      <c r="K75" s="86"/>
      <c r="L75" s="86"/>
      <c r="M75" s="88">
        <v>6300.43</v>
      </c>
    </row>
    <row r="76" spans="1:13" ht="26.1" customHeight="1">
      <c r="A76" s="89" t="s">
        <v>190</v>
      </c>
      <c r="B76" s="90" t="s">
        <v>152</v>
      </c>
      <c r="C76" s="89" t="s">
        <v>45</v>
      </c>
      <c r="D76" s="89" t="s">
        <v>153</v>
      </c>
      <c r="E76" s="91" t="s">
        <v>74</v>
      </c>
      <c r="F76" s="90">
        <v>1</v>
      </c>
      <c r="G76" s="92">
        <v>4977.83</v>
      </c>
      <c r="H76" s="92">
        <v>6054</v>
      </c>
      <c r="I76" s="92">
        <v>246.43</v>
      </c>
      <c r="J76" s="92">
        <f>TRUNC(G76 * (1 + 26.57 / 100), 2)</f>
        <v>6300.43</v>
      </c>
      <c r="K76" s="92">
        <f>TRUNC(F76 * H76, 2)</f>
        <v>6054</v>
      </c>
      <c r="L76" s="92">
        <f>M76 - K76</f>
        <v>246.43000000000029</v>
      </c>
      <c r="M76" s="92">
        <f>TRUNC(F76 * J76, 2)</f>
        <v>6300.43</v>
      </c>
    </row>
    <row r="77" spans="1:13" ht="24" customHeight="1">
      <c r="A77" s="86" t="s">
        <v>191</v>
      </c>
      <c r="B77" s="86"/>
      <c r="C77" s="86"/>
      <c r="D77" s="86" t="s">
        <v>192</v>
      </c>
      <c r="E77" s="86"/>
      <c r="F77" s="87"/>
      <c r="G77" s="87"/>
      <c r="H77" s="86"/>
      <c r="I77" s="86"/>
      <c r="J77" s="86"/>
      <c r="K77" s="86"/>
      <c r="L77" s="86"/>
      <c r="M77" s="88">
        <v>100669.34</v>
      </c>
    </row>
    <row r="78" spans="1:13" ht="24" customHeight="1">
      <c r="A78" s="86" t="s">
        <v>193</v>
      </c>
      <c r="B78" s="86"/>
      <c r="C78" s="86"/>
      <c r="D78" s="86" t="s">
        <v>57</v>
      </c>
      <c r="E78" s="86"/>
      <c r="F78" s="87"/>
      <c r="G78" s="87"/>
      <c r="H78" s="86"/>
      <c r="I78" s="86"/>
      <c r="J78" s="86"/>
      <c r="K78" s="86"/>
      <c r="L78" s="86"/>
      <c r="M78" s="88">
        <v>9875.1200000000008</v>
      </c>
    </row>
    <row r="79" spans="1:13" ht="26.1" customHeight="1">
      <c r="A79" s="89" t="s">
        <v>194</v>
      </c>
      <c r="B79" s="90" t="s">
        <v>59</v>
      </c>
      <c r="C79" s="89" t="s">
        <v>45</v>
      </c>
      <c r="D79" s="89" t="s">
        <v>60</v>
      </c>
      <c r="E79" s="91" t="s">
        <v>46</v>
      </c>
      <c r="F79" s="90">
        <v>1</v>
      </c>
      <c r="G79" s="92">
        <v>4869.49</v>
      </c>
      <c r="H79" s="92">
        <v>530.58000000000004</v>
      </c>
      <c r="I79" s="92">
        <v>5632.73</v>
      </c>
      <c r="J79" s="92">
        <f>TRUNC(G79 * (1 + 26.57 / 100), 2)</f>
        <v>6163.31</v>
      </c>
      <c r="K79" s="92">
        <f>TRUNC(F79 * H79, 2)</f>
        <v>530.58000000000004</v>
      </c>
      <c r="L79" s="92">
        <f>M79 - K79</f>
        <v>5632.7300000000005</v>
      </c>
      <c r="M79" s="92">
        <f>TRUNC(F79 * J79, 2)</f>
        <v>6163.31</v>
      </c>
    </row>
    <row r="80" spans="1:13" ht="24" customHeight="1">
      <c r="A80" s="89" t="s">
        <v>195</v>
      </c>
      <c r="B80" s="90" t="s">
        <v>159</v>
      </c>
      <c r="C80" s="89" t="s">
        <v>45</v>
      </c>
      <c r="D80" s="89" t="s">
        <v>196</v>
      </c>
      <c r="E80" s="91" t="s">
        <v>46</v>
      </c>
      <c r="F80" s="90">
        <v>1</v>
      </c>
      <c r="G80" s="92">
        <v>2179.6799999999998</v>
      </c>
      <c r="H80" s="92">
        <v>0</v>
      </c>
      <c r="I80" s="92">
        <v>2758.82</v>
      </c>
      <c r="J80" s="92">
        <f>TRUNC(G80 * (1 + 26.57 / 100), 2)</f>
        <v>2758.82</v>
      </c>
      <c r="K80" s="92">
        <f>TRUNC(F80 * H80, 2)</f>
        <v>0</v>
      </c>
      <c r="L80" s="92">
        <f>M80 - K80</f>
        <v>2758.82</v>
      </c>
      <c r="M80" s="92">
        <f>TRUNC(F80 * J80, 2)</f>
        <v>2758.82</v>
      </c>
    </row>
    <row r="81" spans="1:13" ht="39" customHeight="1">
      <c r="A81" s="89" t="s">
        <v>197</v>
      </c>
      <c r="B81" s="90" t="s">
        <v>65</v>
      </c>
      <c r="C81" s="89" t="s">
        <v>66</v>
      </c>
      <c r="D81" s="89" t="s">
        <v>67</v>
      </c>
      <c r="E81" s="91" t="s">
        <v>68</v>
      </c>
      <c r="F81" s="90">
        <v>1.5</v>
      </c>
      <c r="G81" s="92">
        <v>501.96</v>
      </c>
      <c r="H81" s="92">
        <v>37.049999999999997</v>
      </c>
      <c r="I81" s="92">
        <v>598.28</v>
      </c>
      <c r="J81" s="92">
        <f>TRUNC(G81 * (1 + 26.57 / 100), 2)</f>
        <v>635.33000000000004</v>
      </c>
      <c r="K81" s="92">
        <f>TRUNC(F81 * H81, 2)</f>
        <v>55.57</v>
      </c>
      <c r="L81" s="92">
        <f>M81 - K81</f>
        <v>897.42</v>
      </c>
      <c r="M81" s="92">
        <f>TRUNC(F81 * J81, 2)</f>
        <v>952.99</v>
      </c>
    </row>
    <row r="82" spans="1:13" ht="24" customHeight="1">
      <c r="A82" s="86" t="s">
        <v>198</v>
      </c>
      <c r="B82" s="86"/>
      <c r="C82" s="86"/>
      <c r="D82" s="86" t="s">
        <v>70</v>
      </c>
      <c r="E82" s="86"/>
      <c r="F82" s="87"/>
      <c r="G82" s="87"/>
      <c r="H82" s="86"/>
      <c r="I82" s="86"/>
      <c r="J82" s="86"/>
      <c r="K82" s="86"/>
      <c r="L82" s="86"/>
      <c r="M82" s="88">
        <v>6760.79</v>
      </c>
    </row>
    <row r="83" spans="1:13" ht="39" customHeight="1">
      <c r="A83" s="89" t="s">
        <v>199</v>
      </c>
      <c r="B83" s="90" t="s">
        <v>165</v>
      </c>
      <c r="C83" s="89" t="s">
        <v>77</v>
      </c>
      <c r="D83" s="89" t="s">
        <v>166</v>
      </c>
      <c r="E83" s="91" t="s">
        <v>79</v>
      </c>
      <c r="F83" s="90">
        <v>45</v>
      </c>
      <c r="G83" s="92">
        <v>17.28</v>
      </c>
      <c r="H83" s="92">
        <v>6.2443</v>
      </c>
      <c r="I83" s="92">
        <v>15.6257</v>
      </c>
      <c r="J83" s="92">
        <f>TRUNC(G83 * (1 + 26.57 / 100), 2)</f>
        <v>21.87</v>
      </c>
      <c r="K83" s="92">
        <f>TRUNC(F83 * H83, 2)</f>
        <v>280.99</v>
      </c>
      <c r="L83" s="92">
        <f>M83 - K83</f>
        <v>703.16</v>
      </c>
      <c r="M83" s="92">
        <f>TRUNC(F83 * J83, 2)</f>
        <v>984.15</v>
      </c>
    </row>
    <row r="84" spans="1:13" ht="39" customHeight="1">
      <c r="A84" s="89" t="s">
        <v>200</v>
      </c>
      <c r="B84" s="90" t="s">
        <v>87</v>
      </c>
      <c r="C84" s="89" t="s">
        <v>66</v>
      </c>
      <c r="D84" s="89" t="s">
        <v>88</v>
      </c>
      <c r="E84" s="91" t="s">
        <v>68</v>
      </c>
      <c r="F84" s="90">
        <v>15</v>
      </c>
      <c r="G84" s="92">
        <v>27.21</v>
      </c>
      <c r="H84" s="92">
        <v>12.9</v>
      </c>
      <c r="I84" s="92">
        <v>21.53</v>
      </c>
      <c r="J84" s="92">
        <f>TRUNC(G84 * (1 + 26.57 / 100), 2)</f>
        <v>34.43</v>
      </c>
      <c r="K84" s="92">
        <f>TRUNC(F84 * H84, 2)</f>
        <v>193.5</v>
      </c>
      <c r="L84" s="92">
        <f>M84 - K84</f>
        <v>322.95000000000005</v>
      </c>
      <c r="M84" s="92">
        <f>TRUNC(F84 * J84, 2)</f>
        <v>516.45000000000005</v>
      </c>
    </row>
    <row r="85" spans="1:13" ht="39" customHeight="1">
      <c r="A85" s="89" t="s">
        <v>201</v>
      </c>
      <c r="B85" s="90" t="s">
        <v>90</v>
      </c>
      <c r="C85" s="89" t="s">
        <v>77</v>
      </c>
      <c r="D85" s="89" t="s">
        <v>91</v>
      </c>
      <c r="E85" s="91" t="s">
        <v>92</v>
      </c>
      <c r="F85" s="90">
        <v>300</v>
      </c>
      <c r="G85" s="92">
        <v>13.77</v>
      </c>
      <c r="H85" s="92">
        <v>3.6238000000000001</v>
      </c>
      <c r="I85" s="92">
        <v>13.796200000000001</v>
      </c>
      <c r="J85" s="92">
        <f>TRUNC(G85 * (1 + 26.57 / 100), 2)</f>
        <v>17.420000000000002</v>
      </c>
      <c r="K85" s="92">
        <f>TRUNC(F85 * H85, 2)</f>
        <v>1087.1400000000001</v>
      </c>
      <c r="L85" s="92">
        <f>M85 - K85</f>
        <v>4138.8599999999997</v>
      </c>
      <c r="M85" s="92">
        <f>TRUNC(F85 * J85, 2)</f>
        <v>5226</v>
      </c>
    </row>
    <row r="86" spans="1:13" ht="26.1" customHeight="1">
      <c r="A86" s="89" t="s">
        <v>202</v>
      </c>
      <c r="B86" s="90" t="s">
        <v>72</v>
      </c>
      <c r="C86" s="89" t="s">
        <v>45</v>
      </c>
      <c r="D86" s="89" t="s">
        <v>73</v>
      </c>
      <c r="E86" s="91" t="s">
        <v>74</v>
      </c>
      <c r="F86" s="90">
        <v>1</v>
      </c>
      <c r="G86" s="92">
        <v>27.02</v>
      </c>
      <c r="H86" s="92">
        <v>8.3699999999999992</v>
      </c>
      <c r="I86" s="92">
        <v>25.82</v>
      </c>
      <c r="J86" s="92">
        <f>TRUNC(G86 * (1 + 26.57 / 100), 2)</f>
        <v>34.19</v>
      </c>
      <c r="K86" s="92">
        <f>TRUNC(F86 * H86, 2)</f>
        <v>8.3699999999999992</v>
      </c>
      <c r="L86" s="92">
        <f>M86 - K86</f>
        <v>25.82</v>
      </c>
      <c r="M86" s="92">
        <f>TRUNC(F86 * J86, 2)</f>
        <v>34.19</v>
      </c>
    </row>
    <row r="87" spans="1:13" ht="24" customHeight="1">
      <c r="A87" s="86" t="s">
        <v>203</v>
      </c>
      <c r="B87" s="86"/>
      <c r="C87" s="86"/>
      <c r="D87" s="86" t="s">
        <v>94</v>
      </c>
      <c r="E87" s="86"/>
      <c r="F87" s="87"/>
      <c r="G87" s="87"/>
      <c r="H87" s="86"/>
      <c r="I87" s="86"/>
      <c r="J87" s="86"/>
      <c r="K87" s="86"/>
      <c r="L87" s="86"/>
      <c r="M87" s="88">
        <v>4918.6499999999996</v>
      </c>
    </row>
    <row r="88" spans="1:13" ht="26.1" customHeight="1">
      <c r="A88" s="89" t="s">
        <v>204</v>
      </c>
      <c r="B88" s="90" t="s">
        <v>205</v>
      </c>
      <c r="C88" s="89" t="s">
        <v>77</v>
      </c>
      <c r="D88" s="89" t="s">
        <v>206</v>
      </c>
      <c r="E88" s="91" t="s">
        <v>207</v>
      </c>
      <c r="F88" s="90">
        <v>15</v>
      </c>
      <c r="G88" s="92">
        <v>259.08</v>
      </c>
      <c r="H88" s="92">
        <v>36.7254</v>
      </c>
      <c r="I88" s="92">
        <v>291.18459999999999</v>
      </c>
      <c r="J88" s="92">
        <f>TRUNC(G88 * (1 + 26.57 / 100), 2)</f>
        <v>327.91</v>
      </c>
      <c r="K88" s="92">
        <f>TRUNC(F88 * H88, 2)</f>
        <v>550.88</v>
      </c>
      <c r="L88" s="92">
        <f>M88 - K88</f>
        <v>4367.7699999999995</v>
      </c>
      <c r="M88" s="92">
        <f>TRUNC(F88 * J88, 2)</f>
        <v>4918.6499999999996</v>
      </c>
    </row>
    <row r="89" spans="1:13" ht="24" customHeight="1">
      <c r="A89" s="86" t="s">
        <v>208</v>
      </c>
      <c r="B89" s="86"/>
      <c r="C89" s="86"/>
      <c r="D89" s="86" t="s">
        <v>99</v>
      </c>
      <c r="E89" s="86"/>
      <c r="F89" s="87"/>
      <c r="G89" s="87"/>
      <c r="H89" s="86"/>
      <c r="I89" s="86"/>
      <c r="J89" s="86"/>
      <c r="K89" s="86"/>
      <c r="L89" s="86"/>
      <c r="M89" s="88">
        <v>40409.14</v>
      </c>
    </row>
    <row r="90" spans="1:13" ht="39" customHeight="1">
      <c r="A90" s="89" t="s">
        <v>209</v>
      </c>
      <c r="B90" s="90" t="s">
        <v>101</v>
      </c>
      <c r="C90" s="89" t="s">
        <v>66</v>
      </c>
      <c r="D90" s="89" t="s">
        <v>102</v>
      </c>
      <c r="E90" s="91" t="s">
        <v>103</v>
      </c>
      <c r="F90" s="90">
        <v>6</v>
      </c>
      <c r="G90" s="92">
        <v>20.67</v>
      </c>
      <c r="H90" s="92">
        <v>6.7</v>
      </c>
      <c r="I90" s="92">
        <v>19.46</v>
      </c>
      <c r="J90" s="92">
        <f t="shared" ref="J90:J96" si="16">TRUNC(G90 * (1 + 26.57 / 100), 2)</f>
        <v>26.16</v>
      </c>
      <c r="K90" s="92">
        <f t="shared" ref="K90:K96" si="17">TRUNC(F90 * H90, 2)</f>
        <v>40.200000000000003</v>
      </c>
      <c r="L90" s="92">
        <f t="shared" ref="L90:L96" si="18">M90 - K90</f>
        <v>116.76</v>
      </c>
      <c r="M90" s="92">
        <f t="shared" ref="M90:M96" si="19">TRUNC(F90 * J90, 2)</f>
        <v>156.96</v>
      </c>
    </row>
    <row r="91" spans="1:13" ht="26.1" customHeight="1">
      <c r="A91" s="89" t="s">
        <v>210</v>
      </c>
      <c r="B91" s="90" t="s">
        <v>211</v>
      </c>
      <c r="C91" s="89" t="s">
        <v>45</v>
      </c>
      <c r="D91" s="89" t="s">
        <v>212</v>
      </c>
      <c r="E91" s="91" t="s">
        <v>46</v>
      </c>
      <c r="F91" s="90">
        <v>8</v>
      </c>
      <c r="G91" s="92">
        <v>214.17</v>
      </c>
      <c r="H91" s="92">
        <v>7.83</v>
      </c>
      <c r="I91" s="92">
        <v>263.24</v>
      </c>
      <c r="J91" s="92">
        <f t="shared" si="16"/>
        <v>271.07</v>
      </c>
      <c r="K91" s="92">
        <f t="shared" si="17"/>
        <v>62.64</v>
      </c>
      <c r="L91" s="92">
        <f t="shared" si="18"/>
        <v>2105.92</v>
      </c>
      <c r="M91" s="92">
        <f t="shared" si="19"/>
        <v>2168.56</v>
      </c>
    </row>
    <row r="92" spans="1:13" ht="39" customHeight="1">
      <c r="A92" s="89" t="s">
        <v>213</v>
      </c>
      <c r="B92" s="90" t="s">
        <v>105</v>
      </c>
      <c r="C92" s="89" t="s">
        <v>66</v>
      </c>
      <c r="D92" s="89" t="s">
        <v>106</v>
      </c>
      <c r="E92" s="91" t="s">
        <v>107</v>
      </c>
      <c r="F92" s="90">
        <v>2880</v>
      </c>
      <c r="G92" s="92">
        <v>2.99</v>
      </c>
      <c r="H92" s="92">
        <v>1.1299999999999999</v>
      </c>
      <c r="I92" s="92">
        <v>2.65</v>
      </c>
      <c r="J92" s="92">
        <f t="shared" si="16"/>
        <v>3.78</v>
      </c>
      <c r="K92" s="92">
        <f t="shared" si="17"/>
        <v>3254.4</v>
      </c>
      <c r="L92" s="92">
        <f t="shared" si="18"/>
        <v>7632</v>
      </c>
      <c r="M92" s="92">
        <f t="shared" si="19"/>
        <v>10886.4</v>
      </c>
    </row>
    <row r="93" spans="1:13" ht="26.1" customHeight="1">
      <c r="A93" s="89" t="s">
        <v>214</v>
      </c>
      <c r="B93" s="90" t="s">
        <v>109</v>
      </c>
      <c r="C93" s="89" t="s">
        <v>77</v>
      </c>
      <c r="D93" s="89" t="s">
        <v>110</v>
      </c>
      <c r="E93" s="91" t="s">
        <v>92</v>
      </c>
      <c r="F93" s="90">
        <v>960</v>
      </c>
      <c r="G93" s="92">
        <v>20.84</v>
      </c>
      <c r="H93" s="92">
        <v>11.8505</v>
      </c>
      <c r="I93" s="92">
        <v>14.519500000000001</v>
      </c>
      <c r="J93" s="92">
        <f t="shared" si="16"/>
        <v>26.37</v>
      </c>
      <c r="K93" s="92">
        <f t="shared" si="17"/>
        <v>11376.48</v>
      </c>
      <c r="L93" s="92">
        <f t="shared" si="18"/>
        <v>13938.720000000001</v>
      </c>
      <c r="M93" s="92">
        <f t="shared" si="19"/>
        <v>25315.200000000001</v>
      </c>
    </row>
    <row r="94" spans="1:13" ht="24" customHeight="1">
      <c r="A94" s="89" t="s">
        <v>215</v>
      </c>
      <c r="B94" s="90" t="s">
        <v>112</v>
      </c>
      <c r="C94" s="89" t="s">
        <v>45</v>
      </c>
      <c r="D94" s="89" t="s">
        <v>113</v>
      </c>
      <c r="E94" s="91" t="s">
        <v>46</v>
      </c>
      <c r="F94" s="90">
        <v>14</v>
      </c>
      <c r="G94" s="92">
        <v>46.91</v>
      </c>
      <c r="H94" s="92">
        <v>24.81</v>
      </c>
      <c r="I94" s="92">
        <v>34.56</v>
      </c>
      <c r="J94" s="92">
        <f t="shared" si="16"/>
        <v>59.37</v>
      </c>
      <c r="K94" s="92">
        <f t="shared" si="17"/>
        <v>347.34</v>
      </c>
      <c r="L94" s="92">
        <f t="shared" si="18"/>
        <v>483.84</v>
      </c>
      <c r="M94" s="92">
        <f t="shared" si="19"/>
        <v>831.18</v>
      </c>
    </row>
    <row r="95" spans="1:13" ht="39" customHeight="1">
      <c r="A95" s="89" t="s">
        <v>216</v>
      </c>
      <c r="B95" s="90" t="s">
        <v>115</v>
      </c>
      <c r="C95" s="89" t="s">
        <v>66</v>
      </c>
      <c r="D95" s="89" t="s">
        <v>116</v>
      </c>
      <c r="E95" s="91" t="s">
        <v>103</v>
      </c>
      <c r="F95" s="90">
        <v>14</v>
      </c>
      <c r="G95" s="92">
        <v>34.56</v>
      </c>
      <c r="H95" s="92">
        <v>25.52</v>
      </c>
      <c r="I95" s="92">
        <v>18.22</v>
      </c>
      <c r="J95" s="92">
        <f t="shared" si="16"/>
        <v>43.74</v>
      </c>
      <c r="K95" s="92">
        <f t="shared" si="17"/>
        <v>357.28</v>
      </c>
      <c r="L95" s="92">
        <f t="shared" si="18"/>
        <v>255.08000000000004</v>
      </c>
      <c r="M95" s="92">
        <f t="shared" si="19"/>
        <v>612.36</v>
      </c>
    </row>
    <row r="96" spans="1:13" ht="26.1" customHeight="1">
      <c r="A96" s="89" t="s">
        <v>217</v>
      </c>
      <c r="B96" s="90" t="s">
        <v>118</v>
      </c>
      <c r="C96" s="89" t="s">
        <v>66</v>
      </c>
      <c r="D96" s="89" t="s">
        <v>119</v>
      </c>
      <c r="E96" s="91" t="s">
        <v>103</v>
      </c>
      <c r="F96" s="90">
        <v>24</v>
      </c>
      <c r="G96" s="92">
        <v>14.44</v>
      </c>
      <c r="H96" s="92">
        <v>1.74</v>
      </c>
      <c r="I96" s="92">
        <v>16.53</v>
      </c>
      <c r="J96" s="92">
        <f t="shared" si="16"/>
        <v>18.27</v>
      </c>
      <c r="K96" s="92">
        <f t="shared" si="17"/>
        <v>41.76</v>
      </c>
      <c r="L96" s="92">
        <f t="shared" si="18"/>
        <v>396.72</v>
      </c>
      <c r="M96" s="92">
        <f t="shared" si="19"/>
        <v>438.48</v>
      </c>
    </row>
    <row r="97" spans="1:13" ht="24" customHeight="1">
      <c r="A97" s="86" t="s">
        <v>218</v>
      </c>
      <c r="B97" s="86"/>
      <c r="C97" s="86"/>
      <c r="D97" s="86" t="s">
        <v>121</v>
      </c>
      <c r="E97" s="86"/>
      <c r="F97" s="87"/>
      <c r="G97" s="87"/>
      <c r="H97" s="86"/>
      <c r="I97" s="86"/>
      <c r="J97" s="86"/>
      <c r="K97" s="86"/>
      <c r="L97" s="86"/>
      <c r="M97" s="88">
        <v>2047.72</v>
      </c>
    </row>
    <row r="98" spans="1:13" ht="24" customHeight="1">
      <c r="A98" s="89" t="s">
        <v>219</v>
      </c>
      <c r="B98" s="90" t="s">
        <v>123</v>
      </c>
      <c r="C98" s="89" t="s">
        <v>45</v>
      </c>
      <c r="D98" s="89" t="s">
        <v>124</v>
      </c>
      <c r="E98" s="91" t="s">
        <v>74</v>
      </c>
      <c r="F98" s="90">
        <v>1</v>
      </c>
      <c r="G98" s="92">
        <v>1617.86</v>
      </c>
      <c r="H98" s="92">
        <v>1618.92</v>
      </c>
      <c r="I98" s="92">
        <v>428.8</v>
      </c>
      <c r="J98" s="92">
        <f>TRUNC(G98 * (1 + 26.57 / 100), 2)</f>
        <v>2047.72</v>
      </c>
      <c r="K98" s="92">
        <f>TRUNC(F98 * H98, 2)</f>
        <v>1618.92</v>
      </c>
      <c r="L98" s="92">
        <f>M98 - K98</f>
        <v>428.79999999999995</v>
      </c>
      <c r="M98" s="92">
        <f>TRUNC(F98 * J98, 2)</f>
        <v>2047.72</v>
      </c>
    </row>
    <row r="99" spans="1:13" ht="24" customHeight="1">
      <c r="A99" s="86" t="s">
        <v>220</v>
      </c>
      <c r="B99" s="86"/>
      <c r="C99" s="86"/>
      <c r="D99" s="86" t="s">
        <v>126</v>
      </c>
      <c r="E99" s="86"/>
      <c r="F99" s="87"/>
      <c r="G99" s="87"/>
      <c r="H99" s="86"/>
      <c r="I99" s="86"/>
      <c r="J99" s="86"/>
      <c r="K99" s="86"/>
      <c r="L99" s="86"/>
      <c r="M99" s="88">
        <v>4567.5</v>
      </c>
    </row>
    <row r="100" spans="1:13" ht="24" customHeight="1">
      <c r="A100" s="89" t="s">
        <v>221</v>
      </c>
      <c r="B100" s="90" t="s">
        <v>222</v>
      </c>
      <c r="C100" s="89" t="s">
        <v>45</v>
      </c>
      <c r="D100" s="89" t="s">
        <v>129</v>
      </c>
      <c r="E100" s="91" t="s">
        <v>74</v>
      </c>
      <c r="F100" s="90">
        <v>10</v>
      </c>
      <c r="G100" s="92">
        <v>266.38</v>
      </c>
      <c r="H100" s="92">
        <v>262.26</v>
      </c>
      <c r="I100" s="92">
        <v>74.89</v>
      </c>
      <c r="J100" s="92">
        <f>TRUNC(G100 * (1 + 26.57 / 100), 2)</f>
        <v>337.15</v>
      </c>
      <c r="K100" s="92">
        <f>TRUNC(F100 * H100, 2)</f>
        <v>2622.6</v>
      </c>
      <c r="L100" s="92">
        <f>M100 - K100</f>
        <v>748.90000000000009</v>
      </c>
      <c r="M100" s="92">
        <f>TRUNC(F100 * J100, 2)</f>
        <v>3371.5</v>
      </c>
    </row>
    <row r="101" spans="1:13" ht="26.1" customHeight="1">
      <c r="A101" s="89" t="s">
        <v>223</v>
      </c>
      <c r="B101" s="90" t="s">
        <v>131</v>
      </c>
      <c r="C101" s="89" t="s">
        <v>45</v>
      </c>
      <c r="D101" s="89" t="s">
        <v>132</v>
      </c>
      <c r="E101" s="91" t="s">
        <v>107</v>
      </c>
      <c r="F101" s="90">
        <v>40</v>
      </c>
      <c r="G101" s="92">
        <v>23.63</v>
      </c>
      <c r="H101" s="92">
        <v>20.18</v>
      </c>
      <c r="I101" s="92">
        <v>9.7200000000000006</v>
      </c>
      <c r="J101" s="92">
        <f>TRUNC(G101 * (1 + 26.57 / 100), 2)</f>
        <v>29.9</v>
      </c>
      <c r="K101" s="92">
        <f>TRUNC(F101 * H101, 2)</f>
        <v>807.2</v>
      </c>
      <c r="L101" s="92">
        <f>M101 - K101</f>
        <v>388.79999999999995</v>
      </c>
      <c r="M101" s="92">
        <f>TRUNC(F101 * J101, 2)</f>
        <v>1196</v>
      </c>
    </row>
    <row r="102" spans="1:13" ht="24" customHeight="1">
      <c r="A102" s="86" t="s">
        <v>224</v>
      </c>
      <c r="B102" s="86"/>
      <c r="C102" s="86"/>
      <c r="D102" s="86" t="s">
        <v>134</v>
      </c>
      <c r="E102" s="86"/>
      <c r="F102" s="87"/>
      <c r="G102" s="87"/>
      <c r="H102" s="86"/>
      <c r="I102" s="86"/>
      <c r="J102" s="86"/>
      <c r="K102" s="86"/>
      <c r="L102" s="86"/>
      <c r="M102" s="88">
        <v>22503.01</v>
      </c>
    </row>
    <row r="103" spans="1:13" ht="26.1" customHeight="1">
      <c r="A103" s="89" t="s">
        <v>225</v>
      </c>
      <c r="B103" s="90" t="s">
        <v>136</v>
      </c>
      <c r="C103" s="89" t="s">
        <v>45</v>
      </c>
      <c r="D103" s="89" t="s">
        <v>137</v>
      </c>
      <c r="E103" s="91" t="s">
        <v>74</v>
      </c>
      <c r="F103" s="90">
        <v>1</v>
      </c>
      <c r="G103" s="92">
        <v>2128.52</v>
      </c>
      <c r="H103" s="92">
        <v>591</v>
      </c>
      <c r="I103" s="92">
        <v>2103.06</v>
      </c>
      <c r="J103" s="92">
        <f>TRUNC(G103 * (1 + 26.57 / 100), 2)</f>
        <v>2694.06</v>
      </c>
      <c r="K103" s="92">
        <f>TRUNC(F103 * H103, 2)</f>
        <v>591</v>
      </c>
      <c r="L103" s="92">
        <f>M103 - K103</f>
        <v>2103.06</v>
      </c>
      <c r="M103" s="92">
        <f>TRUNC(F103 * J103, 2)</f>
        <v>2694.06</v>
      </c>
    </row>
    <row r="104" spans="1:13" ht="26.1" customHeight="1">
      <c r="A104" s="89" t="s">
        <v>226</v>
      </c>
      <c r="B104" s="90" t="s">
        <v>185</v>
      </c>
      <c r="C104" s="89" t="s">
        <v>45</v>
      </c>
      <c r="D104" s="89" t="s">
        <v>140</v>
      </c>
      <c r="E104" s="91" t="s">
        <v>74</v>
      </c>
      <c r="F104" s="90">
        <v>1</v>
      </c>
      <c r="G104" s="92">
        <v>15650.59</v>
      </c>
      <c r="H104" s="92">
        <v>1470.89</v>
      </c>
      <c r="I104" s="92">
        <v>18338.060000000001</v>
      </c>
      <c r="J104" s="92">
        <f>TRUNC(G104 * (1 + 26.57 / 100), 2)</f>
        <v>19808.95</v>
      </c>
      <c r="K104" s="92">
        <f>TRUNC(F104 * H104, 2)</f>
        <v>1470.89</v>
      </c>
      <c r="L104" s="92">
        <f>M104 - K104</f>
        <v>18338.060000000001</v>
      </c>
      <c r="M104" s="92">
        <f>TRUNC(F104 * J104, 2)</f>
        <v>19808.95</v>
      </c>
    </row>
    <row r="105" spans="1:13" ht="24" customHeight="1">
      <c r="A105" s="86" t="s">
        <v>227</v>
      </c>
      <c r="B105" s="86"/>
      <c r="C105" s="86"/>
      <c r="D105" s="86" t="s">
        <v>142</v>
      </c>
      <c r="E105" s="86"/>
      <c r="F105" s="87"/>
      <c r="G105" s="87"/>
      <c r="H105" s="86"/>
      <c r="I105" s="86"/>
      <c r="J105" s="86"/>
      <c r="K105" s="86"/>
      <c r="L105" s="86"/>
      <c r="M105" s="88">
        <v>3286.98</v>
      </c>
    </row>
    <row r="106" spans="1:13" ht="24" customHeight="1">
      <c r="A106" s="89" t="s">
        <v>228</v>
      </c>
      <c r="B106" s="90" t="s">
        <v>144</v>
      </c>
      <c r="C106" s="89" t="s">
        <v>45</v>
      </c>
      <c r="D106" s="89" t="s">
        <v>145</v>
      </c>
      <c r="E106" s="91" t="s">
        <v>74</v>
      </c>
      <c r="F106" s="90">
        <v>1</v>
      </c>
      <c r="G106" s="92">
        <v>1970.81</v>
      </c>
      <c r="H106" s="92">
        <v>1702.51</v>
      </c>
      <c r="I106" s="92">
        <v>791.94</v>
      </c>
      <c r="J106" s="92">
        <f>TRUNC(G106 * (1 + 26.57 / 100), 2)</f>
        <v>2494.4499999999998</v>
      </c>
      <c r="K106" s="92">
        <f>TRUNC(F106 * H106, 2)</f>
        <v>1702.51</v>
      </c>
      <c r="L106" s="92">
        <f>M106 - K106</f>
        <v>791.93999999999983</v>
      </c>
      <c r="M106" s="92">
        <f>TRUNC(F106 * J106, 2)</f>
        <v>2494.4499999999998</v>
      </c>
    </row>
    <row r="107" spans="1:13" ht="24" customHeight="1">
      <c r="A107" s="89" t="s">
        <v>229</v>
      </c>
      <c r="B107" s="90" t="s">
        <v>147</v>
      </c>
      <c r="C107" s="89" t="s">
        <v>45</v>
      </c>
      <c r="D107" s="89" t="s">
        <v>148</v>
      </c>
      <c r="E107" s="91" t="s">
        <v>74</v>
      </c>
      <c r="F107" s="90">
        <v>1</v>
      </c>
      <c r="G107" s="92">
        <v>626.16</v>
      </c>
      <c r="H107" s="92">
        <v>399.76</v>
      </c>
      <c r="I107" s="92">
        <v>392.77</v>
      </c>
      <c r="J107" s="92">
        <f>TRUNC(G107 * (1 + 26.57 / 100), 2)</f>
        <v>792.53</v>
      </c>
      <c r="K107" s="92">
        <f>TRUNC(F107 * H107, 2)</f>
        <v>399.76</v>
      </c>
      <c r="L107" s="92">
        <f>M107 - K107</f>
        <v>392.77</v>
      </c>
      <c r="M107" s="92">
        <f>TRUNC(F107 * J107, 2)</f>
        <v>792.53</v>
      </c>
    </row>
    <row r="108" spans="1:13" ht="24" customHeight="1">
      <c r="A108" s="86" t="s">
        <v>230</v>
      </c>
      <c r="B108" s="86"/>
      <c r="C108" s="86"/>
      <c r="D108" s="86" t="s">
        <v>150</v>
      </c>
      <c r="E108" s="86"/>
      <c r="F108" s="87"/>
      <c r="G108" s="87"/>
      <c r="H108" s="86"/>
      <c r="I108" s="86"/>
      <c r="J108" s="86"/>
      <c r="K108" s="86"/>
      <c r="L108" s="86"/>
      <c r="M108" s="88">
        <v>6300.43</v>
      </c>
    </row>
    <row r="109" spans="1:13" ht="26.1" customHeight="1">
      <c r="A109" s="89" t="s">
        <v>231</v>
      </c>
      <c r="B109" s="90" t="s">
        <v>152</v>
      </c>
      <c r="C109" s="89" t="s">
        <v>45</v>
      </c>
      <c r="D109" s="89" t="s">
        <v>153</v>
      </c>
      <c r="E109" s="91" t="s">
        <v>74</v>
      </c>
      <c r="F109" s="90">
        <v>1</v>
      </c>
      <c r="G109" s="92">
        <v>4977.83</v>
      </c>
      <c r="H109" s="92">
        <v>6054</v>
      </c>
      <c r="I109" s="92">
        <v>246.43</v>
      </c>
      <c r="J109" s="92">
        <f>TRUNC(G109 * (1 + 26.57 / 100), 2)</f>
        <v>6300.43</v>
      </c>
      <c r="K109" s="92">
        <f>TRUNC(F109 * H109, 2)</f>
        <v>6054</v>
      </c>
      <c r="L109" s="92">
        <f>M109 - K109</f>
        <v>246.43000000000029</v>
      </c>
      <c r="M109" s="92">
        <f>TRUNC(F109 * J109, 2)</f>
        <v>6300.43</v>
      </c>
    </row>
    <row r="110" spans="1:13" ht="24" customHeight="1">
      <c r="A110" s="86" t="s">
        <v>494</v>
      </c>
      <c r="B110" s="86"/>
      <c r="C110" s="86"/>
      <c r="D110" s="86" t="s">
        <v>354</v>
      </c>
      <c r="E110" s="86"/>
      <c r="F110" s="87"/>
      <c r="G110" s="87"/>
      <c r="H110" s="86"/>
      <c r="I110" s="86"/>
      <c r="J110" s="86"/>
      <c r="K110" s="86"/>
      <c r="L110" s="86"/>
      <c r="M110" s="88">
        <v>2000.16</v>
      </c>
    </row>
    <row r="111" spans="1:13" ht="24" customHeight="1">
      <c r="A111" s="89" t="s">
        <v>495</v>
      </c>
      <c r="B111" s="90" t="s">
        <v>44</v>
      </c>
      <c r="C111" s="89" t="s">
        <v>45</v>
      </c>
      <c r="D111" s="89" t="s">
        <v>356</v>
      </c>
      <c r="E111" s="91" t="s">
        <v>46</v>
      </c>
      <c r="F111" s="90">
        <v>1</v>
      </c>
      <c r="G111" s="92">
        <v>1580.28</v>
      </c>
      <c r="H111" s="92">
        <v>463.08</v>
      </c>
      <c r="I111" s="92">
        <v>1537.08</v>
      </c>
      <c r="J111" s="92">
        <f>TRUNC(G111 * (1 + 26.57 / 100), 2)</f>
        <v>2000.16</v>
      </c>
      <c r="K111" s="92">
        <f>TRUNC(F111 * H111, 2)</f>
        <v>463.08</v>
      </c>
      <c r="L111" s="92">
        <f>M111 - K111</f>
        <v>1537.0800000000002</v>
      </c>
      <c r="M111" s="92">
        <f>TRUNC(F111 * J111, 2)</f>
        <v>2000.16</v>
      </c>
    </row>
    <row r="112" spans="1:13">
      <c r="A112" s="93"/>
      <c r="B112" s="93"/>
      <c r="C112" s="93"/>
      <c r="D112" s="93"/>
      <c r="E112" s="93"/>
      <c r="F112" s="93"/>
      <c r="G112" s="93"/>
      <c r="H112" s="93"/>
      <c r="I112" s="93"/>
      <c r="J112" s="93" t="s">
        <v>357</v>
      </c>
      <c r="K112" s="93" t="s">
        <v>496</v>
      </c>
      <c r="L112" s="93" t="s">
        <v>497</v>
      </c>
      <c r="M112" s="93" t="s">
        <v>498</v>
      </c>
    </row>
    <row r="113" spans="1:14">
      <c r="A113" s="94"/>
      <c r="B113" s="94"/>
      <c r="C113" s="94"/>
      <c r="D113" s="94"/>
      <c r="E113" s="94"/>
      <c r="F113" s="94"/>
      <c r="G113" s="94"/>
      <c r="H113" s="94"/>
      <c r="I113" s="94"/>
      <c r="J113" s="94"/>
      <c r="K113" s="94"/>
      <c r="L113" s="94"/>
      <c r="M113" s="94"/>
    </row>
    <row r="114" spans="1:14">
      <c r="A114" s="209"/>
      <c r="B114" s="209"/>
      <c r="C114" s="209"/>
      <c r="D114" s="95"/>
      <c r="E114" s="93"/>
      <c r="F114" s="93"/>
      <c r="G114" s="93"/>
      <c r="H114" s="93"/>
      <c r="I114" s="210" t="s">
        <v>358</v>
      </c>
      <c r="J114" s="209"/>
      <c r="K114" s="211">
        <v>260761.13</v>
      </c>
      <c r="L114" s="209"/>
      <c r="M114" s="209"/>
      <c r="N114" s="103">
        <f>K116*(1-26.57%)</f>
        <v>242296.72133799997</v>
      </c>
    </row>
    <row r="115" spans="1:14">
      <c r="A115" s="209"/>
      <c r="B115" s="209"/>
      <c r="C115" s="209"/>
      <c r="D115" s="95"/>
      <c r="E115" s="93"/>
      <c r="F115" s="93"/>
      <c r="G115" s="93"/>
      <c r="H115" s="93"/>
      <c r="I115" s="210" t="s">
        <v>359</v>
      </c>
      <c r="J115" s="209"/>
      <c r="K115" s="211">
        <v>69208.53</v>
      </c>
      <c r="L115" s="209"/>
      <c r="M115" s="209"/>
      <c r="N115" s="103">
        <f>K116-N114</f>
        <v>87672.938662</v>
      </c>
    </row>
    <row r="116" spans="1:14">
      <c r="A116" s="209"/>
      <c r="B116" s="209"/>
      <c r="C116" s="209"/>
      <c r="D116" s="95"/>
      <c r="E116" s="93"/>
      <c r="F116" s="93"/>
      <c r="G116" s="93"/>
      <c r="H116" s="93"/>
      <c r="I116" s="210" t="s">
        <v>360</v>
      </c>
      <c r="J116" s="209"/>
      <c r="K116" s="211">
        <v>329969.65999999997</v>
      </c>
      <c r="L116" s="209"/>
      <c r="M116" s="209"/>
      <c r="N116" s="103">
        <f>SUM(N114:N115)</f>
        <v>329969.65999999997</v>
      </c>
    </row>
    <row r="117" spans="1:14" ht="60" customHeight="1">
      <c r="A117" s="97"/>
      <c r="B117" s="97"/>
      <c r="C117" s="97"/>
      <c r="D117" s="97"/>
      <c r="E117" s="97"/>
      <c r="F117" s="97"/>
      <c r="G117" s="97"/>
      <c r="H117" s="97"/>
      <c r="I117" s="97"/>
      <c r="J117" s="97"/>
      <c r="K117" s="97"/>
      <c r="L117" s="97"/>
      <c r="M117" s="97"/>
    </row>
    <row r="118" spans="1:14" ht="69.95" customHeight="1">
      <c r="A118" s="288" t="s">
        <v>499</v>
      </c>
      <c r="B118" s="213"/>
      <c r="C118" s="213"/>
      <c r="D118" s="213"/>
      <c r="E118" s="213"/>
      <c r="F118" s="213"/>
      <c r="G118" s="213"/>
      <c r="H118" s="213"/>
      <c r="I118" s="213"/>
      <c r="J118" s="213"/>
      <c r="K118" s="213"/>
      <c r="L118" s="213"/>
      <c r="M118" s="213"/>
    </row>
  </sheetData>
  <mergeCells count="26">
    <mergeCell ref="E1:G1"/>
    <mergeCell ref="H1:J1"/>
    <mergeCell ref="K1:M1"/>
    <mergeCell ref="E2:G2"/>
    <mergeCell ref="H2:J2"/>
    <mergeCell ref="K2:M2"/>
    <mergeCell ref="A3:M3"/>
    <mergeCell ref="A4:A5"/>
    <mergeCell ref="B4:B5"/>
    <mergeCell ref="C4:C5"/>
    <mergeCell ref="D4:D5"/>
    <mergeCell ref="E4:E5"/>
    <mergeCell ref="F4:F5"/>
    <mergeCell ref="G4:G5"/>
    <mergeCell ref="H4:J4"/>
    <mergeCell ref="K4:M4"/>
    <mergeCell ref="A116:C116"/>
    <mergeCell ref="I116:J116"/>
    <mergeCell ref="K116:M116"/>
    <mergeCell ref="A118:M118"/>
    <mergeCell ref="A114:C114"/>
    <mergeCell ref="I114:J114"/>
    <mergeCell ref="K114:M114"/>
    <mergeCell ref="A115:C115"/>
    <mergeCell ref="I115:J115"/>
    <mergeCell ref="K115:M115"/>
  </mergeCells>
  <printOptions horizontalCentered="1" verticalCentered="1"/>
  <pageMargins left="0.51181102362204722" right="0.51181102362204722" top="0.98425196850393704" bottom="0.98425196850393704" header="0.51181102362204722" footer="0.51181102362204722"/>
  <pageSetup paperSize="9" scale="71" fitToHeight="0" orientation="landscape" r:id="rId1"/>
  <headerFooter>
    <oddHeader>&amp;L &amp;C &amp;R</oddHeader>
    <oddFooter>&amp;L &amp;C &amp;R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7168-6527-4952-ABBF-58622DCE653C}">
  <sheetPr>
    <pageSetUpPr fitToPage="1"/>
  </sheetPr>
  <dimension ref="A1:M75"/>
  <sheetViews>
    <sheetView showWhiteSpace="0" workbookViewId="0">
      <selection activeCell="H14" sqref="H14"/>
    </sheetView>
  </sheetViews>
  <sheetFormatPr defaultRowHeight="14.25"/>
  <cols>
    <col min="1" max="3" width="11.42578125" style="82" bestFit="1" customWidth="1"/>
    <col min="4" max="4" width="68.5703125" style="82" bestFit="1" customWidth="1"/>
    <col min="5" max="5" width="7.28515625" style="82" customWidth="1"/>
    <col min="6" max="6" width="11.42578125" style="82" customWidth="1"/>
    <col min="7" max="14" width="11.42578125" style="82" bestFit="1" customWidth="1"/>
    <col min="15" max="16384" width="9.140625" style="82"/>
  </cols>
  <sheetData>
    <row r="1" spans="1:13" ht="15" customHeight="1">
      <c r="A1" s="81"/>
      <c r="B1" s="81"/>
      <c r="C1" s="81"/>
      <c r="D1" s="81" t="s">
        <v>22</v>
      </c>
      <c r="E1" s="217" t="s">
        <v>23</v>
      </c>
      <c r="F1" s="217"/>
      <c r="G1" s="98"/>
      <c r="H1" s="217" t="s">
        <v>24</v>
      </c>
      <c r="I1" s="217"/>
      <c r="J1" s="217"/>
      <c r="K1" s="217" t="s">
        <v>25</v>
      </c>
      <c r="L1" s="217"/>
      <c r="M1" s="217"/>
    </row>
    <row r="2" spans="1:13" ht="80.099999999999994" customHeight="1">
      <c r="A2" s="83"/>
      <c r="B2" s="83"/>
      <c r="C2" s="83"/>
      <c r="D2" s="83" t="s">
        <v>500</v>
      </c>
      <c r="E2" s="210" t="s">
        <v>501</v>
      </c>
      <c r="F2" s="210"/>
      <c r="G2" s="99"/>
      <c r="H2" s="289">
        <v>0.26569999999999999</v>
      </c>
      <c r="I2" s="210"/>
      <c r="J2" s="210"/>
      <c r="K2" s="210" t="s">
        <v>28</v>
      </c>
      <c r="L2" s="210"/>
      <c r="M2" s="210"/>
    </row>
    <row r="3" spans="1:13" ht="15">
      <c r="A3" s="212" t="s">
        <v>29</v>
      </c>
      <c r="B3" s="213"/>
      <c r="C3" s="213"/>
      <c r="D3" s="213"/>
      <c r="E3" s="213"/>
      <c r="F3" s="213"/>
      <c r="G3" s="213"/>
      <c r="H3" s="213"/>
      <c r="I3" s="213"/>
      <c r="J3" s="213"/>
      <c r="K3" s="213"/>
      <c r="L3" s="213"/>
      <c r="M3" s="213"/>
    </row>
    <row r="4" spans="1:13" ht="15" customHeight="1">
      <c r="A4" s="214" t="s">
        <v>30</v>
      </c>
      <c r="B4" s="215" t="s">
        <v>31</v>
      </c>
      <c r="C4" s="214" t="s">
        <v>32</v>
      </c>
      <c r="D4" s="214" t="s">
        <v>33</v>
      </c>
      <c r="E4" s="216" t="s">
        <v>34</v>
      </c>
      <c r="F4" s="215" t="s">
        <v>35</v>
      </c>
      <c r="G4" s="215" t="s">
        <v>36</v>
      </c>
      <c r="H4" s="216" t="s">
        <v>37</v>
      </c>
      <c r="I4" s="214"/>
      <c r="J4" s="214"/>
      <c r="K4" s="216" t="s">
        <v>38</v>
      </c>
      <c r="L4" s="214"/>
      <c r="M4" s="214"/>
    </row>
    <row r="5" spans="1:13" ht="15" customHeight="1">
      <c r="A5" s="215"/>
      <c r="B5" s="215"/>
      <c r="C5" s="215"/>
      <c r="D5" s="215"/>
      <c r="E5" s="215"/>
      <c r="F5" s="215"/>
      <c r="G5" s="215"/>
      <c r="H5" s="85" t="s">
        <v>39</v>
      </c>
      <c r="I5" s="85" t="s">
        <v>40</v>
      </c>
      <c r="J5" s="85" t="s">
        <v>38</v>
      </c>
      <c r="K5" s="85" t="s">
        <v>39</v>
      </c>
      <c r="L5" s="85" t="s">
        <v>40</v>
      </c>
      <c r="M5" s="85" t="s">
        <v>38</v>
      </c>
    </row>
    <row r="6" spans="1:13" ht="24" customHeight="1">
      <c r="A6" s="86" t="s">
        <v>41</v>
      </c>
      <c r="B6" s="86"/>
      <c r="C6" s="86"/>
      <c r="D6" s="86" t="s">
        <v>42</v>
      </c>
      <c r="E6" s="86"/>
      <c r="F6" s="87"/>
      <c r="G6" s="87"/>
      <c r="H6" s="86"/>
      <c r="I6" s="86"/>
      <c r="J6" s="86"/>
      <c r="K6" s="86"/>
      <c r="L6" s="86"/>
      <c r="M6" s="88">
        <v>1393.32</v>
      </c>
    </row>
    <row r="7" spans="1:13" ht="24" customHeight="1">
      <c r="A7" s="89" t="s">
        <v>43</v>
      </c>
      <c r="B7" s="90" t="s">
        <v>44</v>
      </c>
      <c r="C7" s="89" t="s">
        <v>45</v>
      </c>
      <c r="D7" s="89" t="s">
        <v>356</v>
      </c>
      <c r="E7" s="91" t="s">
        <v>46</v>
      </c>
      <c r="F7" s="90">
        <v>1</v>
      </c>
      <c r="G7" s="92">
        <v>1053.52</v>
      </c>
      <c r="H7" s="92">
        <v>308.72000000000003</v>
      </c>
      <c r="I7" s="92">
        <v>1024.72</v>
      </c>
      <c r="J7" s="92">
        <v>1333.44</v>
      </c>
      <c r="K7" s="92">
        <v>308.72000000000003</v>
      </c>
      <c r="L7" s="92">
        <v>1024.72</v>
      </c>
      <c r="M7" s="92">
        <v>1333.44</v>
      </c>
    </row>
    <row r="8" spans="1:13" ht="24" customHeight="1">
      <c r="A8" s="89" t="s">
        <v>492</v>
      </c>
      <c r="B8" s="90" t="s">
        <v>48</v>
      </c>
      <c r="C8" s="89" t="s">
        <v>45</v>
      </c>
      <c r="D8" s="89" t="s">
        <v>493</v>
      </c>
      <c r="E8" s="91">
        <v>1</v>
      </c>
      <c r="F8" s="90">
        <v>4</v>
      </c>
      <c r="G8" s="92">
        <v>11.83</v>
      </c>
      <c r="H8" s="92">
        <v>0</v>
      </c>
      <c r="I8" s="92">
        <v>14.97</v>
      </c>
      <c r="J8" s="92">
        <v>14.97</v>
      </c>
      <c r="K8" s="92">
        <v>0</v>
      </c>
      <c r="L8" s="92">
        <v>59.88</v>
      </c>
      <c r="M8" s="92">
        <v>59.88</v>
      </c>
    </row>
    <row r="9" spans="1:13" ht="24" customHeight="1">
      <c r="A9" s="86" t="s">
        <v>50</v>
      </c>
      <c r="B9" s="86"/>
      <c r="C9" s="86"/>
      <c r="D9" s="86" t="s">
        <v>57</v>
      </c>
      <c r="E9" s="86"/>
      <c r="F9" s="87"/>
      <c r="G9" s="87"/>
      <c r="H9" s="86"/>
      <c r="I9" s="86"/>
      <c r="J9" s="86"/>
      <c r="K9" s="86"/>
      <c r="L9" s="86"/>
      <c r="M9" s="88">
        <v>7619.02</v>
      </c>
    </row>
    <row r="10" spans="1:13" ht="26.1" customHeight="1">
      <c r="A10" s="89" t="s">
        <v>52</v>
      </c>
      <c r="B10" s="90" t="s">
        <v>59</v>
      </c>
      <c r="C10" s="89" t="s">
        <v>45</v>
      </c>
      <c r="D10" s="89" t="s">
        <v>60</v>
      </c>
      <c r="E10" s="91" t="s">
        <v>46</v>
      </c>
      <c r="F10" s="90">
        <v>1</v>
      </c>
      <c r="G10" s="92">
        <v>3813.56</v>
      </c>
      <c r="H10" s="92">
        <v>530.58000000000004</v>
      </c>
      <c r="I10" s="92">
        <v>4296.24</v>
      </c>
      <c r="J10" s="92">
        <v>4826.82</v>
      </c>
      <c r="K10" s="92">
        <v>530.58000000000004</v>
      </c>
      <c r="L10" s="92">
        <v>4296.24</v>
      </c>
      <c r="M10" s="92">
        <v>4826.82</v>
      </c>
    </row>
    <row r="11" spans="1:13" ht="24" customHeight="1">
      <c r="A11" s="89" t="s">
        <v>502</v>
      </c>
      <c r="B11" s="90" t="s">
        <v>62</v>
      </c>
      <c r="C11" s="89" t="s">
        <v>45</v>
      </c>
      <c r="D11" s="89" t="s">
        <v>63</v>
      </c>
      <c r="E11" s="91" t="s">
        <v>46</v>
      </c>
      <c r="F11" s="90">
        <v>1</v>
      </c>
      <c r="G11" s="92">
        <v>1453.12</v>
      </c>
      <c r="H11" s="92">
        <v>0</v>
      </c>
      <c r="I11" s="92">
        <v>1839.21</v>
      </c>
      <c r="J11" s="92">
        <v>1839.21</v>
      </c>
      <c r="K11" s="92">
        <v>0</v>
      </c>
      <c r="L11" s="92">
        <v>1839.21</v>
      </c>
      <c r="M11" s="92">
        <v>1839.21</v>
      </c>
    </row>
    <row r="12" spans="1:13" ht="39" customHeight="1">
      <c r="A12" s="89" t="s">
        <v>503</v>
      </c>
      <c r="B12" s="90" t="s">
        <v>65</v>
      </c>
      <c r="C12" s="89" t="s">
        <v>66</v>
      </c>
      <c r="D12" s="89" t="s">
        <v>67</v>
      </c>
      <c r="E12" s="91" t="s">
        <v>68</v>
      </c>
      <c r="F12" s="90">
        <v>1.5</v>
      </c>
      <c r="G12" s="92">
        <v>501.96</v>
      </c>
      <c r="H12" s="92">
        <v>37.049999999999997</v>
      </c>
      <c r="I12" s="92">
        <v>598.28</v>
      </c>
      <c r="J12" s="92">
        <v>635.33000000000004</v>
      </c>
      <c r="K12" s="92">
        <v>55.575000000000003</v>
      </c>
      <c r="L12" s="92">
        <v>897.41499999999996</v>
      </c>
      <c r="M12" s="92">
        <v>952.99</v>
      </c>
    </row>
    <row r="13" spans="1:13" ht="24" customHeight="1">
      <c r="A13" s="86" t="s">
        <v>54</v>
      </c>
      <c r="B13" s="86"/>
      <c r="C13" s="86"/>
      <c r="D13" s="86" t="s">
        <v>51</v>
      </c>
      <c r="E13" s="86"/>
      <c r="F13" s="87"/>
      <c r="G13" s="87"/>
      <c r="H13" s="86"/>
      <c r="I13" s="86"/>
      <c r="J13" s="86"/>
      <c r="K13" s="86"/>
      <c r="L13" s="86"/>
      <c r="M13" s="88">
        <v>6941.28</v>
      </c>
    </row>
    <row r="14" spans="1:13" ht="24" customHeight="1">
      <c r="A14" s="89" t="s">
        <v>56</v>
      </c>
      <c r="B14" s="90" t="s">
        <v>53</v>
      </c>
      <c r="C14" s="89" t="s">
        <v>45</v>
      </c>
      <c r="D14" s="89" t="s">
        <v>51</v>
      </c>
      <c r="E14" s="91" t="s">
        <v>46</v>
      </c>
      <c r="F14" s="90">
        <v>1</v>
      </c>
      <c r="G14" s="92">
        <v>5484.15</v>
      </c>
      <c r="H14" s="92">
        <v>6810.75</v>
      </c>
      <c r="I14" s="92">
        <v>130.53</v>
      </c>
      <c r="J14" s="92">
        <v>6941.28</v>
      </c>
      <c r="K14" s="92">
        <v>6810.75</v>
      </c>
      <c r="L14" s="92">
        <v>130.53</v>
      </c>
      <c r="M14" s="92">
        <v>6941.28</v>
      </c>
    </row>
    <row r="15" spans="1:13" ht="24" customHeight="1">
      <c r="A15" s="86" t="s">
        <v>154</v>
      </c>
      <c r="B15" s="86"/>
      <c r="C15" s="86"/>
      <c r="D15" s="86" t="s">
        <v>70</v>
      </c>
      <c r="E15" s="86"/>
      <c r="F15" s="87"/>
      <c r="G15" s="87"/>
      <c r="H15" s="86"/>
      <c r="I15" s="86"/>
      <c r="J15" s="86"/>
      <c r="K15" s="86"/>
      <c r="L15" s="86"/>
      <c r="M15" s="88">
        <v>466.05</v>
      </c>
    </row>
    <row r="16" spans="1:13" ht="39" customHeight="1">
      <c r="A16" s="89" t="s">
        <v>156</v>
      </c>
      <c r="B16" s="90" t="s">
        <v>239</v>
      </c>
      <c r="C16" s="89" t="s">
        <v>77</v>
      </c>
      <c r="D16" s="89" t="s">
        <v>240</v>
      </c>
      <c r="E16" s="91" t="s">
        <v>79</v>
      </c>
      <c r="F16" s="90">
        <v>1</v>
      </c>
      <c r="G16" s="92">
        <v>10.33</v>
      </c>
      <c r="H16" s="92">
        <v>6.2443</v>
      </c>
      <c r="I16" s="92">
        <v>6.8257000000000003</v>
      </c>
      <c r="J16" s="92">
        <v>13.07</v>
      </c>
      <c r="K16" s="92">
        <v>6.2443</v>
      </c>
      <c r="L16" s="92">
        <v>6.8257000000000003</v>
      </c>
      <c r="M16" s="92">
        <v>13.07</v>
      </c>
    </row>
    <row r="17" spans="1:13" ht="39" customHeight="1">
      <c r="A17" s="89" t="s">
        <v>161</v>
      </c>
      <c r="B17" s="90" t="s">
        <v>242</v>
      </c>
      <c r="C17" s="89" t="s">
        <v>77</v>
      </c>
      <c r="D17" s="89" t="s">
        <v>243</v>
      </c>
      <c r="E17" s="91" t="s">
        <v>79</v>
      </c>
      <c r="F17" s="90">
        <v>1</v>
      </c>
      <c r="G17" s="92">
        <v>101.04</v>
      </c>
      <c r="H17" s="92">
        <v>6.2443</v>
      </c>
      <c r="I17" s="92">
        <v>121.6357</v>
      </c>
      <c r="J17" s="92">
        <v>127.88</v>
      </c>
      <c r="K17" s="92">
        <v>6.2443</v>
      </c>
      <c r="L17" s="92">
        <v>121.6357</v>
      </c>
      <c r="M17" s="92">
        <v>127.88</v>
      </c>
    </row>
    <row r="18" spans="1:13" ht="39" customHeight="1">
      <c r="A18" s="89" t="s">
        <v>170</v>
      </c>
      <c r="B18" s="90" t="s">
        <v>81</v>
      </c>
      <c r="C18" s="89" t="s">
        <v>77</v>
      </c>
      <c r="D18" s="89" t="s">
        <v>82</v>
      </c>
      <c r="E18" s="91" t="s">
        <v>79</v>
      </c>
      <c r="F18" s="90">
        <v>10</v>
      </c>
      <c r="G18" s="92">
        <v>25.69</v>
      </c>
      <c r="H18" s="92">
        <v>6.2443</v>
      </c>
      <c r="I18" s="92">
        <v>26.265699999999999</v>
      </c>
      <c r="J18" s="92">
        <v>32.51</v>
      </c>
      <c r="K18" s="92">
        <v>62.442999999999998</v>
      </c>
      <c r="L18" s="92">
        <v>262.65699999999998</v>
      </c>
      <c r="M18" s="92">
        <v>325.10000000000002</v>
      </c>
    </row>
    <row r="19" spans="1:13" ht="24" customHeight="1">
      <c r="A19" s="86" t="s">
        <v>191</v>
      </c>
      <c r="B19" s="86"/>
      <c r="C19" s="86"/>
      <c r="D19" s="86" t="s">
        <v>246</v>
      </c>
      <c r="E19" s="86"/>
      <c r="F19" s="87"/>
      <c r="G19" s="87"/>
      <c r="H19" s="86"/>
      <c r="I19" s="86"/>
      <c r="J19" s="86"/>
      <c r="K19" s="86"/>
      <c r="L19" s="86"/>
      <c r="M19" s="88">
        <v>15950.18</v>
      </c>
    </row>
    <row r="20" spans="1:13" ht="51.95" customHeight="1">
      <c r="A20" s="89" t="s">
        <v>193</v>
      </c>
      <c r="B20" s="90" t="s">
        <v>248</v>
      </c>
      <c r="C20" s="89" t="s">
        <v>66</v>
      </c>
      <c r="D20" s="89" t="s">
        <v>249</v>
      </c>
      <c r="E20" s="91" t="s">
        <v>107</v>
      </c>
      <c r="F20" s="90">
        <v>60</v>
      </c>
      <c r="G20" s="92">
        <v>120.96</v>
      </c>
      <c r="H20" s="92">
        <v>11.97</v>
      </c>
      <c r="I20" s="92">
        <v>141.12</v>
      </c>
      <c r="J20" s="92">
        <v>153.09</v>
      </c>
      <c r="K20" s="92">
        <v>718.2</v>
      </c>
      <c r="L20" s="92">
        <v>8467.2000000000007</v>
      </c>
      <c r="M20" s="92">
        <v>9185.4</v>
      </c>
    </row>
    <row r="21" spans="1:13" ht="39" customHeight="1">
      <c r="A21" s="89" t="s">
        <v>198</v>
      </c>
      <c r="B21" s="90" t="s">
        <v>251</v>
      </c>
      <c r="C21" s="89" t="s">
        <v>66</v>
      </c>
      <c r="D21" s="89" t="s">
        <v>252</v>
      </c>
      <c r="E21" s="91" t="s">
        <v>103</v>
      </c>
      <c r="F21" s="90">
        <v>3</v>
      </c>
      <c r="G21" s="92">
        <v>309.38</v>
      </c>
      <c r="H21" s="92">
        <v>45.89</v>
      </c>
      <c r="I21" s="92">
        <v>345.69</v>
      </c>
      <c r="J21" s="92">
        <v>391.58</v>
      </c>
      <c r="K21" s="92">
        <v>137.66999999999999</v>
      </c>
      <c r="L21" s="92">
        <v>1037.07</v>
      </c>
      <c r="M21" s="92">
        <v>1174.74</v>
      </c>
    </row>
    <row r="22" spans="1:13" ht="39" customHeight="1">
      <c r="A22" s="89" t="s">
        <v>203</v>
      </c>
      <c r="B22" s="90" t="s">
        <v>254</v>
      </c>
      <c r="C22" s="89" t="s">
        <v>66</v>
      </c>
      <c r="D22" s="89" t="s">
        <v>255</v>
      </c>
      <c r="E22" s="91" t="s">
        <v>103</v>
      </c>
      <c r="F22" s="90">
        <v>2</v>
      </c>
      <c r="G22" s="92">
        <v>469.03</v>
      </c>
      <c r="H22" s="92">
        <v>61.16</v>
      </c>
      <c r="I22" s="92">
        <v>532.49</v>
      </c>
      <c r="J22" s="92">
        <v>593.65</v>
      </c>
      <c r="K22" s="92">
        <v>122.32</v>
      </c>
      <c r="L22" s="92">
        <v>1064.98</v>
      </c>
      <c r="M22" s="92">
        <v>1187.3</v>
      </c>
    </row>
    <row r="23" spans="1:13" ht="51.95" customHeight="1">
      <c r="A23" s="89" t="s">
        <v>208</v>
      </c>
      <c r="B23" s="90" t="s">
        <v>257</v>
      </c>
      <c r="C23" s="89" t="s">
        <v>66</v>
      </c>
      <c r="D23" s="89" t="s">
        <v>258</v>
      </c>
      <c r="E23" s="91" t="s">
        <v>103</v>
      </c>
      <c r="F23" s="90">
        <v>2</v>
      </c>
      <c r="G23" s="92">
        <v>206.38</v>
      </c>
      <c r="H23" s="92">
        <v>35.950000000000003</v>
      </c>
      <c r="I23" s="92">
        <v>225.26</v>
      </c>
      <c r="J23" s="92">
        <v>261.20999999999998</v>
      </c>
      <c r="K23" s="92">
        <v>71.900000000000006</v>
      </c>
      <c r="L23" s="92">
        <v>450.52</v>
      </c>
      <c r="M23" s="92">
        <v>522.41999999999996</v>
      </c>
    </row>
    <row r="24" spans="1:13" ht="78" customHeight="1">
      <c r="A24" s="89" t="s">
        <v>218</v>
      </c>
      <c r="B24" s="90" t="s">
        <v>260</v>
      </c>
      <c r="C24" s="89" t="s">
        <v>66</v>
      </c>
      <c r="D24" s="89" t="s">
        <v>261</v>
      </c>
      <c r="E24" s="91" t="s">
        <v>103</v>
      </c>
      <c r="F24" s="90">
        <v>2</v>
      </c>
      <c r="G24" s="92">
        <v>1532.88</v>
      </c>
      <c r="H24" s="92">
        <v>148.46</v>
      </c>
      <c r="I24" s="92">
        <v>1791.7</v>
      </c>
      <c r="J24" s="92">
        <v>1940.16</v>
      </c>
      <c r="K24" s="92">
        <v>296.92</v>
      </c>
      <c r="L24" s="92">
        <v>3583.4</v>
      </c>
      <c r="M24" s="92">
        <v>3880.32</v>
      </c>
    </row>
    <row r="25" spans="1:13" ht="24" customHeight="1">
      <c r="A25" s="86" t="s">
        <v>494</v>
      </c>
      <c r="B25" s="86"/>
      <c r="C25" s="86"/>
      <c r="D25" s="86" t="s">
        <v>99</v>
      </c>
      <c r="E25" s="86"/>
      <c r="F25" s="87"/>
      <c r="G25" s="87"/>
      <c r="H25" s="86"/>
      <c r="I25" s="86"/>
      <c r="J25" s="86"/>
      <c r="K25" s="86"/>
      <c r="L25" s="86"/>
      <c r="M25" s="88">
        <v>18202.830000000002</v>
      </c>
    </row>
    <row r="26" spans="1:13" ht="26.1" customHeight="1">
      <c r="A26" s="89" t="s">
        <v>495</v>
      </c>
      <c r="B26" s="90" t="s">
        <v>109</v>
      </c>
      <c r="C26" s="89" t="s">
        <v>77</v>
      </c>
      <c r="D26" s="89" t="s">
        <v>110</v>
      </c>
      <c r="E26" s="91" t="s">
        <v>92</v>
      </c>
      <c r="F26" s="90">
        <v>330</v>
      </c>
      <c r="G26" s="92">
        <v>20.84</v>
      </c>
      <c r="H26" s="92">
        <v>11.8505</v>
      </c>
      <c r="I26" s="92">
        <v>14.519500000000001</v>
      </c>
      <c r="J26" s="92">
        <v>26.37</v>
      </c>
      <c r="K26" s="92">
        <v>3910.665</v>
      </c>
      <c r="L26" s="92">
        <v>4791.4350000000004</v>
      </c>
      <c r="M26" s="92">
        <v>8702.1</v>
      </c>
    </row>
    <row r="27" spans="1:13" ht="39" customHeight="1">
      <c r="A27" s="89" t="s">
        <v>504</v>
      </c>
      <c r="B27" s="90" t="s">
        <v>265</v>
      </c>
      <c r="C27" s="89" t="s">
        <v>66</v>
      </c>
      <c r="D27" s="89" t="s">
        <v>266</v>
      </c>
      <c r="E27" s="91" t="s">
        <v>107</v>
      </c>
      <c r="F27" s="90">
        <v>990</v>
      </c>
      <c r="G27" s="92">
        <v>4.34</v>
      </c>
      <c r="H27" s="92">
        <v>1.44</v>
      </c>
      <c r="I27" s="92">
        <v>4.05</v>
      </c>
      <c r="J27" s="92">
        <v>5.49</v>
      </c>
      <c r="K27" s="92">
        <v>1425.6</v>
      </c>
      <c r="L27" s="92">
        <v>4009.5</v>
      </c>
      <c r="M27" s="92">
        <v>5435.1</v>
      </c>
    </row>
    <row r="28" spans="1:13" ht="24" customHeight="1">
      <c r="A28" s="89" t="s">
        <v>505</v>
      </c>
      <c r="B28" s="90" t="s">
        <v>112</v>
      </c>
      <c r="C28" s="89" t="s">
        <v>45</v>
      </c>
      <c r="D28" s="89" t="s">
        <v>113</v>
      </c>
      <c r="E28" s="91" t="s">
        <v>46</v>
      </c>
      <c r="F28" s="90">
        <v>15</v>
      </c>
      <c r="G28" s="92">
        <v>46.91</v>
      </c>
      <c r="H28" s="92">
        <v>24.81</v>
      </c>
      <c r="I28" s="92">
        <v>34.56</v>
      </c>
      <c r="J28" s="92">
        <v>59.37</v>
      </c>
      <c r="K28" s="92">
        <v>372.15</v>
      </c>
      <c r="L28" s="92">
        <v>518.4</v>
      </c>
      <c r="M28" s="92">
        <v>890.55</v>
      </c>
    </row>
    <row r="29" spans="1:13" ht="39" customHeight="1">
      <c r="A29" s="89" t="s">
        <v>506</v>
      </c>
      <c r="B29" s="90" t="s">
        <v>269</v>
      </c>
      <c r="C29" s="89" t="s">
        <v>77</v>
      </c>
      <c r="D29" s="89" t="s">
        <v>270</v>
      </c>
      <c r="E29" s="91" t="s">
        <v>79</v>
      </c>
      <c r="F29" s="90">
        <v>8</v>
      </c>
      <c r="G29" s="92">
        <v>14.01</v>
      </c>
      <c r="H29" s="92">
        <v>6.5835999999999997</v>
      </c>
      <c r="I29" s="92">
        <v>11.1464</v>
      </c>
      <c r="J29" s="92">
        <v>17.73</v>
      </c>
      <c r="K29" s="92">
        <v>52.668799999999997</v>
      </c>
      <c r="L29" s="92">
        <v>89.171199999999999</v>
      </c>
      <c r="M29" s="92">
        <v>141.84</v>
      </c>
    </row>
    <row r="30" spans="1:13" ht="26.1" customHeight="1">
      <c r="A30" s="89" t="s">
        <v>507</v>
      </c>
      <c r="B30" s="90" t="s">
        <v>272</v>
      </c>
      <c r="C30" s="89" t="s">
        <v>66</v>
      </c>
      <c r="D30" s="89" t="s">
        <v>273</v>
      </c>
      <c r="E30" s="91" t="s">
        <v>103</v>
      </c>
      <c r="F30" s="90">
        <v>4</v>
      </c>
      <c r="G30" s="92">
        <v>15.09</v>
      </c>
      <c r="H30" s="92">
        <v>2.36</v>
      </c>
      <c r="I30" s="92">
        <v>16.73</v>
      </c>
      <c r="J30" s="92">
        <v>19.09</v>
      </c>
      <c r="K30" s="92">
        <v>9.44</v>
      </c>
      <c r="L30" s="92">
        <v>66.92</v>
      </c>
      <c r="M30" s="92">
        <v>76.36</v>
      </c>
    </row>
    <row r="31" spans="1:13" ht="26.1" customHeight="1">
      <c r="A31" s="89" t="s">
        <v>508</v>
      </c>
      <c r="B31" s="90" t="s">
        <v>211</v>
      </c>
      <c r="C31" s="89" t="s">
        <v>45</v>
      </c>
      <c r="D31" s="89" t="s">
        <v>212</v>
      </c>
      <c r="E31" s="91" t="s">
        <v>46</v>
      </c>
      <c r="F31" s="90">
        <v>8</v>
      </c>
      <c r="G31" s="92">
        <v>214.17</v>
      </c>
      <c r="H31" s="92">
        <v>7.83</v>
      </c>
      <c r="I31" s="92">
        <v>263.24</v>
      </c>
      <c r="J31" s="92">
        <v>271.07</v>
      </c>
      <c r="K31" s="92">
        <v>62.64</v>
      </c>
      <c r="L31" s="92">
        <v>2105.92</v>
      </c>
      <c r="M31" s="92">
        <v>2168.56</v>
      </c>
    </row>
    <row r="32" spans="1:13" ht="39" customHeight="1">
      <c r="A32" s="89" t="s">
        <v>509</v>
      </c>
      <c r="B32" s="90" t="s">
        <v>101</v>
      </c>
      <c r="C32" s="89" t="s">
        <v>66</v>
      </c>
      <c r="D32" s="89" t="s">
        <v>276</v>
      </c>
      <c r="E32" s="91" t="s">
        <v>103</v>
      </c>
      <c r="F32" s="90">
        <v>10</v>
      </c>
      <c r="G32" s="92">
        <v>20.12</v>
      </c>
      <c r="H32" s="92">
        <v>6.18</v>
      </c>
      <c r="I32" s="92">
        <v>19.28</v>
      </c>
      <c r="J32" s="92">
        <v>25.46</v>
      </c>
      <c r="K32" s="92">
        <v>61.8</v>
      </c>
      <c r="L32" s="92">
        <v>192.8</v>
      </c>
      <c r="M32" s="92">
        <v>254.6</v>
      </c>
    </row>
    <row r="33" spans="1:13" ht="24" customHeight="1">
      <c r="A33" s="89" t="s">
        <v>510</v>
      </c>
      <c r="B33" s="90" t="s">
        <v>278</v>
      </c>
      <c r="C33" s="89" t="s">
        <v>45</v>
      </c>
      <c r="D33" s="89" t="s">
        <v>279</v>
      </c>
      <c r="E33" s="91" t="s">
        <v>103</v>
      </c>
      <c r="F33" s="90">
        <v>1</v>
      </c>
      <c r="G33" s="92">
        <v>421.68</v>
      </c>
      <c r="H33" s="92">
        <v>399.76</v>
      </c>
      <c r="I33" s="92">
        <v>133.96</v>
      </c>
      <c r="J33" s="92">
        <v>533.72</v>
      </c>
      <c r="K33" s="92">
        <v>399.76</v>
      </c>
      <c r="L33" s="92">
        <v>133.96</v>
      </c>
      <c r="M33" s="92">
        <v>533.72</v>
      </c>
    </row>
    <row r="34" spans="1:13" ht="24" customHeight="1">
      <c r="A34" s="86" t="s">
        <v>511</v>
      </c>
      <c r="B34" s="86"/>
      <c r="C34" s="86"/>
      <c r="D34" s="86" t="s">
        <v>281</v>
      </c>
      <c r="E34" s="86"/>
      <c r="F34" s="87"/>
      <c r="G34" s="87"/>
      <c r="H34" s="86"/>
      <c r="I34" s="86"/>
      <c r="J34" s="86"/>
      <c r="K34" s="86"/>
      <c r="L34" s="86"/>
      <c r="M34" s="88">
        <v>39372.74</v>
      </c>
    </row>
    <row r="35" spans="1:13" ht="39" customHeight="1">
      <c r="A35" s="89" t="s">
        <v>355</v>
      </c>
      <c r="B35" s="90" t="s">
        <v>283</v>
      </c>
      <c r="C35" s="89" t="s">
        <v>77</v>
      </c>
      <c r="D35" s="89" t="s">
        <v>284</v>
      </c>
      <c r="E35" s="91" t="s">
        <v>79</v>
      </c>
      <c r="F35" s="90">
        <v>80</v>
      </c>
      <c r="G35" s="92">
        <v>149.52000000000001</v>
      </c>
      <c r="H35" s="92">
        <v>11.587199999999999</v>
      </c>
      <c r="I35" s="92">
        <v>177.65280000000001</v>
      </c>
      <c r="J35" s="92">
        <v>189.24</v>
      </c>
      <c r="K35" s="92">
        <v>926.976</v>
      </c>
      <c r="L35" s="92">
        <v>14212.224</v>
      </c>
      <c r="M35" s="92">
        <v>15139.2</v>
      </c>
    </row>
    <row r="36" spans="1:13" ht="26.1" customHeight="1">
      <c r="A36" s="89" t="s">
        <v>512</v>
      </c>
      <c r="B36" s="90" t="s">
        <v>109</v>
      </c>
      <c r="C36" s="89" t="s">
        <v>77</v>
      </c>
      <c r="D36" s="89" t="s">
        <v>110</v>
      </c>
      <c r="E36" s="91" t="s">
        <v>92</v>
      </c>
      <c r="F36" s="90">
        <v>600</v>
      </c>
      <c r="G36" s="92">
        <v>20.84</v>
      </c>
      <c r="H36" s="92">
        <v>11.8505</v>
      </c>
      <c r="I36" s="92">
        <v>14.519500000000001</v>
      </c>
      <c r="J36" s="92">
        <v>26.37</v>
      </c>
      <c r="K36" s="92">
        <v>7110.3</v>
      </c>
      <c r="L36" s="92">
        <v>8711.7000000000007</v>
      </c>
      <c r="M36" s="92">
        <v>15822</v>
      </c>
    </row>
    <row r="37" spans="1:13" ht="39" customHeight="1">
      <c r="A37" s="89" t="s">
        <v>513</v>
      </c>
      <c r="B37" s="90" t="s">
        <v>265</v>
      </c>
      <c r="C37" s="89" t="s">
        <v>66</v>
      </c>
      <c r="D37" s="89" t="s">
        <v>266</v>
      </c>
      <c r="E37" s="91" t="s">
        <v>107</v>
      </c>
      <c r="F37" s="90">
        <v>600</v>
      </c>
      <c r="G37" s="92">
        <v>4.34</v>
      </c>
      <c r="H37" s="92">
        <v>1.44</v>
      </c>
      <c r="I37" s="92">
        <v>4.05</v>
      </c>
      <c r="J37" s="92">
        <v>5.49</v>
      </c>
      <c r="K37" s="92">
        <v>864</v>
      </c>
      <c r="L37" s="92">
        <v>2430</v>
      </c>
      <c r="M37" s="92">
        <v>3294</v>
      </c>
    </row>
    <row r="38" spans="1:13" ht="24" customHeight="1">
      <c r="A38" s="89" t="s">
        <v>514</v>
      </c>
      <c r="B38" s="90" t="s">
        <v>112</v>
      </c>
      <c r="C38" s="89" t="s">
        <v>45</v>
      </c>
      <c r="D38" s="89" t="s">
        <v>113</v>
      </c>
      <c r="E38" s="91" t="s">
        <v>46</v>
      </c>
      <c r="F38" s="90">
        <v>50</v>
      </c>
      <c r="G38" s="92">
        <v>46.91</v>
      </c>
      <c r="H38" s="92">
        <v>24.81</v>
      </c>
      <c r="I38" s="92">
        <v>34.56</v>
      </c>
      <c r="J38" s="92">
        <v>59.37</v>
      </c>
      <c r="K38" s="92">
        <v>1240.5</v>
      </c>
      <c r="L38" s="92">
        <v>1728</v>
      </c>
      <c r="M38" s="92">
        <v>2968.5</v>
      </c>
    </row>
    <row r="39" spans="1:13" ht="26.1" customHeight="1">
      <c r="A39" s="89" t="s">
        <v>515</v>
      </c>
      <c r="B39" s="90" t="s">
        <v>289</v>
      </c>
      <c r="C39" s="89" t="s">
        <v>45</v>
      </c>
      <c r="D39" s="89" t="s">
        <v>290</v>
      </c>
      <c r="E39" s="91" t="s">
        <v>46</v>
      </c>
      <c r="F39" s="90">
        <v>1</v>
      </c>
      <c r="G39" s="92">
        <v>1697.91</v>
      </c>
      <c r="H39" s="92">
        <v>149.91</v>
      </c>
      <c r="I39" s="92">
        <v>1999.13</v>
      </c>
      <c r="J39" s="92">
        <v>2149.04</v>
      </c>
      <c r="K39" s="92">
        <v>149.91</v>
      </c>
      <c r="L39" s="92">
        <v>1999.13</v>
      </c>
      <c r="M39" s="92">
        <v>2149.04</v>
      </c>
    </row>
    <row r="40" spans="1:13" ht="24" customHeight="1">
      <c r="A40" s="86" t="s">
        <v>516</v>
      </c>
      <c r="B40" s="86"/>
      <c r="C40" s="86"/>
      <c r="D40" s="86" t="s">
        <v>292</v>
      </c>
      <c r="E40" s="86"/>
      <c r="F40" s="87"/>
      <c r="G40" s="87"/>
      <c r="H40" s="86"/>
      <c r="I40" s="86"/>
      <c r="J40" s="86"/>
      <c r="K40" s="86"/>
      <c r="L40" s="86"/>
      <c r="M40" s="88">
        <v>22741.89</v>
      </c>
    </row>
    <row r="41" spans="1:13" ht="39" customHeight="1">
      <c r="A41" s="89" t="s">
        <v>517</v>
      </c>
      <c r="B41" s="90" t="s">
        <v>294</v>
      </c>
      <c r="C41" s="89" t="s">
        <v>66</v>
      </c>
      <c r="D41" s="89" t="s">
        <v>295</v>
      </c>
      <c r="E41" s="91" t="s">
        <v>68</v>
      </c>
      <c r="F41" s="90">
        <v>39.200000000000003</v>
      </c>
      <c r="G41" s="92">
        <v>123.73</v>
      </c>
      <c r="H41" s="92">
        <v>43.17</v>
      </c>
      <c r="I41" s="92">
        <v>113.43</v>
      </c>
      <c r="J41" s="92">
        <v>156.6</v>
      </c>
      <c r="K41" s="92">
        <v>1692.2639999999999</v>
      </c>
      <c r="L41" s="92">
        <v>4446.4560000000001</v>
      </c>
      <c r="M41" s="92">
        <v>6138.72</v>
      </c>
    </row>
    <row r="42" spans="1:13" ht="26.1" customHeight="1">
      <c r="A42" s="89" t="s">
        <v>518</v>
      </c>
      <c r="B42" s="90" t="s">
        <v>297</v>
      </c>
      <c r="C42" s="89" t="s">
        <v>66</v>
      </c>
      <c r="D42" s="89" t="s">
        <v>298</v>
      </c>
      <c r="E42" s="91" t="s">
        <v>107</v>
      </c>
      <c r="F42" s="90">
        <v>1.5</v>
      </c>
      <c r="G42" s="92">
        <v>57.22</v>
      </c>
      <c r="H42" s="92">
        <v>19.95</v>
      </c>
      <c r="I42" s="92">
        <v>52.47</v>
      </c>
      <c r="J42" s="92">
        <v>72.42</v>
      </c>
      <c r="K42" s="92">
        <v>29.925000000000001</v>
      </c>
      <c r="L42" s="92">
        <v>78.704999999999998</v>
      </c>
      <c r="M42" s="92">
        <v>108.63</v>
      </c>
    </row>
    <row r="43" spans="1:13" ht="26.1" customHeight="1">
      <c r="A43" s="89" t="s">
        <v>519</v>
      </c>
      <c r="B43" s="90" t="s">
        <v>300</v>
      </c>
      <c r="C43" s="89" t="s">
        <v>66</v>
      </c>
      <c r="D43" s="89" t="s">
        <v>301</v>
      </c>
      <c r="E43" s="91" t="s">
        <v>107</v>
      </c>
      <c r="F43" s="90">
        <v>3</v>
      </c>
      <c r="G43" s="92">
        <v>44.74</v>
      </c>
      <c r="H43" s="92">
        <v>12.75</v>
      </c>
      <c r="I43" s="92">
        <v>43.87</v>
      </c>
      <c r="J43" s="92">
        <v>56.62</v>
      </c>
      <c r="K43" s="92">
        <v>38.25</v>
      </c>
      <c r="L43" s="92">
        <v>131.61000000000001</v>
      </c>
      <c r="M43" s="92">
        <v>169.86</v>
      </c>
    </row>
    <row r="44" spans="1:13" ht="51.95" customHeight="1">
      <c r="A44" s="89" t="s">
        <v>520</v>
      </c>
      <c r="B44" s="90" t="s">
        <v>303</v>
      </c>
      <c r="C44" s="89" t="s">
        <v>66</v>
      </c>
      <c r="D44" s="89" t="s">
        <v>304</v>
      </c>
      <c r="E44" s="91" t="s">
        <v>68</v>
      </c>
      <c r="F44" s="90">
        <v>12.25</v>
      </c>
      <c r="G44" s="92">
        <v>204.61</v>
      </c>
      <c r="H44" s="92">
        <v>34.96</v>
      </c>
      <c r="I44" s="92">
        <v>224.01</v>
      </c>
      <c r="J44" s="92">
        <v>258.97000000000003</v>
      </c>
      <c r="K44" s="92">
        <v>428.26</v>
      </c>
      <c r="L44" s="92">
        <v>2744.12</v>
      </c>
      <c r="M44" s="92">
        <v>3172.38</v>
      </c>
    </row>
    <row r="45" spans="1:13" ht="26.1" customHeight="1">
      <c r="A45" s="89" t="s">
        <v>521</v>
      </c>
      <c r="B45" s="90" t="s">
        <v>306</v>
      </c>
      <c r="C45" s="89" t="s">
        <v>77</v>
      </c>
      <c r="D45" s="89" t="s">
        <v>307</v>
      </c>
      <c r="E45" s="91" t="s">
        <v>308</v>
      </c>
      <c r="F45" s="90">
        <v>88.3</v>
      </c>
      <c r="G45" s="92">
        <v>13.59</v>
      </c>
      <c r="H45" s="92">
        <v>2.7608999999999999</v>
      </c>
      <c r="I45" s="92">
        <v>14.4391</v>
      </c>
      <c r="J45" s="92">
        <v>17.2</v>
      </c>
      <c r="K45" s="92">
        <v>243.78747000000001</v>
      </c>
      <c r="L45" s="92">
        <v>1274.97253</v>
      </c>
      <c r="M45" s="92">
        <v>1518.76</v>
      </c>
    </row>
    <row r="46" spans="1:13" ht="26.1" customHeight="1">
      <c r="A46" s="89" t="s">
        <v>522</v>
      </c>
      <c r="B46" s="90" t="s">
        <v>310</v>
      </c>
      <c r="C46" s="89" t="s">
        <v>77</v>
      </c>
      <c r="D46" s="89" t="s">
        <v>311</v>
      </c>
      <c r="E46" s="91" t="s">
        <v>68</v>
      </c>
      <c r="F46" s="90">
        <v>16.8</v>
      </c>
      <c r="G46" s="92">
        <v>64.37</v>
      </c>
      <c r="H46" s="92">
        <v>23.9345</v>
      </c>
      <c r="I46" s="92">
        <v>57.535499999999999</v>
      </c>
      <c r="J46" s="92">
        <v>81.47</v>
      </c>
      <c r="K46" s="92">
        <v>402.09960000000001</v>
      </c>
      <c r="L46" s="92">
        <v>966.59040000000005</v>
      </c>
      <c r="M46" s="92">
        <v>1368.69</v>
      </c>
    </row>
    <row r="47" spans="1:13" ht="39" customHeight="1">
      <c r="A47" s="89" t="s">
        <v>523</v>
      </c>
      <c r="B47" s="90" t="s">
        <v>313</v>
      </c>
      <c r="C47" s="89" t="s">
        <v>66</v>
      </c>
      <c r="D47" s="89" t="s">
        <v>314</v>
      </c>
      <c r="E47" s="91" t="s">
        <v>315</v>
      </c>
      <c r="F47" s="90">
        <v>1.5</v>
      </c>
      <c r="G47" s="92">
        <v>538.32000000000005</v>
      </c>
      <c r="H47" s="92">
        <v>86.22</v>
      </c>
      <c r="I47" s="92">
        <v>595.13</v>
      </c>
      <c r="J47" s="92">
        <v>681.35</v>
      </c>
      <c r="K47" s="92">
        <v>129.33000000000001</v>
      </c>
      <c r="L47" s="92">
        <v>892.69</v>
      </c>
      <c r="M47" s="92">
        <v>1022.02</v>
      </c>
    </row>
    <row r="48" spans="1:13" ht="39" customHeight="1">
      <c r="A48" s="89" t="s">
        <v>524</v>
      </c>
      <c r="B48" s="90" t="s">
        <v>317</v>
      </c>
      <c r="C48" s="89" t="s">
        <v>66</v>
      </c>
      <c r="D48" s="89" t="s">
        <v>318</v>
      </c>
      <c r="E48" s="91" t="s">
        <v>68</v>
      </c>
      <c r="F48" s="90">
        <v>78.400000000000006</v>
      </c>
      <c r="G48" s="92">
        <v>5.08</v>
      </c>
      <c r="H48" s="92">
        <v>3.08</v>
      </c>
      <c r="I48" s="92">
        <v>3.34</v>
      </c>
      <c r="J48" s="92">
        <v>6.42</v>
      </c>
      <c r="K48" s="92">
        <v>241.47200000000001</v>
      </c>
      <c r="L48" s="92">
        <v>261.84800000000001</v>
      </c>
      <c r="M48" s="92">
        <v>503.32</v>
      </c>
    </row>
    <row r="49" spans="1:13" ht="51.95" customHeight="1">
      <c r="A49" s="89" t="s">
        <v>525</v>
      </c>
      <c r="B49" s="90" t="s">
        <v>320</v>
      </c>
      <c r="C49" s="89" t="s">
        <v>66</v>
      </c>
      <c r="D49" s="89" t="s">
        <v>321</v>
      </c>
      <c r="E49" s="91" t="s">
        <v>68</v>
      </c>
      <c r="F49" s="90">
        <v>78.400000000000006</v>
      </c>
      <c r="G49" s="92">
        <v>28.45</v>
      </c>
      <c r="H49" s="92">
        <v>16.79</v>
      </c>
      <c r="I49" s="92">
        <v>19.21</v>
      </c>
      <c r="J49" s="92">
        <v>36</v>
      </c>
      <c r="K49" s="92">
        <v>1316.336</v>
      </c>
      <c r="L49" s="92">
        <v>1506.0640000000001</v>
      </c>
      <c r="M49" s="92">
        <v>2822.4</v>
      </c>
    </row>
    <row r="50" spans="1:13" ht="26.1" customHeight="1">
      <c r="A50" s="89" t="s">
        <v>526</v>
      </c>
      <c r="B50" s="90" t="s">
        <v>323</v>
      </c>
      <c r="C50" s="89" t="s">
        <v>66</v>
      </c>
      <c r="D50" s="89" t="s">
        <v>324</v>
      </c>
      <c r="E50" s="91" t="s">
        <v>68</v>
      </c>
      <c r="F50" s="90">
        <v>78.400000000000006</v>
      </c>
      <c r="G50" s="92">
        <v>4.47</v>
      </c>
      <c r="H50" s="92">
        <v>2.2400000000000002</v>
      </c>
      <c r="I50" s="92">
        <v>3.41</v>
      </c>
      <c r="J50" s="92">
        <v>5.65</v>
      </c>
      <c r="K50" s="92">
        <v>175.61600000000001</v>
      </c>
      <c r="L50" s="92">
        <v>267.34399999999999</v>
      </c>
      <c r="M50" s="92">
        <v>442.96</v>
      </c>
    </row>
    <row r="51" spans="1:13" ht="26.1" customHeight="1">
      <c r="A51" s="89" t="s">
        <v>527</v>
      </c>
      <c r="B51" s="90" t="s">
        <v>326</v>
      </c>
      <c r="C51" s="89" t="s">
        <v>66</v>
      </c>
      <c r="D51" s="89" t="s">
        <v>327</v>
      </c>
      <c r="E51" s="91" t="s">
        <v>68</v>
      </c>
      <c r="F51" s="90">
        <v>78.400000000000006</v>
      </c>
      <c r="G51" s="92">
        <v>13.05</v>
      </c>
      <c r="H51" s="92">
        <v>5.49</v>
      </c>
      <c r="I51" s="92">
        <v>11.02</v>
      </c>
      <c r="J51" s="92">
        <v>16.510000000000002</v>
      </c>
      <c r="K51" s="92">
        <v>430.416</v>
      </c>
      <c r="L51" s="92">
        <v>863.96400000000006</v>
      </c>
      <c r="M51" s="92">
        <v>1294.3800000000001</v>
      </c>
    </row>
    <row r="52" spans="1:13" ht="51.95" customHeight="1">
      <c r="A52" s="89" t="s">
        <v>528</v>
      </c>
      <c r="B52" s="90" t="s">
        <v>329</v>
      </c>
      <c r="C52" s="89" t="s">
        <v>77</v>
      </c>
      <c r="D52" s="89" t="s">
        <v>330</v>
      </c>
      <c r="E52" s="91" t="s">
        <v>79</v>
      </c>
      <c r="F52" s="90">
        <v>1</v>
      </c>
      <c r="G52" s="92">
        <v>1679.04</v>
      </c>
      <c r="H52" s="92">
        <v>146.38</v>
      </c>
      <c r="I52" s="92">
        <v>1978.78</v>
      </c>
      <c r="J52" s="92">
        <v>2125.16</v>
      </c>
      <c r="K52" s="92">
        <v>146.38</v>
      </c>
      <c r="L52" s="92">
        <v>1978.78</v>
      </c>
      <c r="M52" s="92">
        <v>2125.16</v>
      </c>
    </row>
    <row r="53" spans="1:13" ht="26.1" customHeight="1">
      <c r="A53" s="89" t="s">
        <v>529</v>
      </c>
      <c r="B53" s="90" t="s">
        <v>332</v>
      </c>
      <c r="C53" s="89" t="s">
        <v>77</v>
      </c>
      <c r="D53" s="89" t="s">
        <v>333</v>
      </c>
      <c r="E53" s="91" t="s">
        <v>68</v>
      </c>
      <c r="F53" s="90">
        <v>0.96</v>
      </c>
      <c r="G53" s="92">
        <v>642.91</v>
      </c>
      <c r="H53" s="92">
        <v>60.508000000000003</v>
      </c>
      <c r="I53" s="92">
        <v>753.22199999999998</v>
      </c>
      <c r="J53" s="92">
        <v>813.73</v>
      </c>
      <c r="K53" s="92">
        <v>58.087679999999999</v>
      </c>
      <c r="L53" s="92">
        <v>723.09231999999997</v>
      </c>
      <c r="M53" s="92">
        <v>781.18</v>
      </c>
    </row>
    <row r="54" spans="1:13" ht="51.95" customHeight="1">
      <c r="A54" s="89" t="s">
        <v>530</v>
      </c>
      <c r="B54" s="90" t="s">
        <v>335</v>
      </c>
      <c r="C54" s="89" t="s">
        <v>66</v>
      </c>
      <c r="D54" s="89" t="s">
        <v>336</v>
      </c>
      <c r="E54" s="91" t="s">
        <v>68</v>
      </c>
      <c r="F54" s="90">
        <v>5.7</v>
      </c>
      <c r="G54" s="92">
        <v>56.1</v>
      </c>
      <c r="H54" s="92">
        <v>29.21</v>
      </c>
      <c r="I54" s="92">
        <v>41.79</v>
      </c>
      <c r="J54" s="92">
        <v>71</v>
      </c>
      <c r="K54" s="92">
        <v>166.49700000000001</v>
      </c>
      <c r="L54" s="92">
        <v>238.203</v>
      </c>
      <c r="M54" s="92">
        <v>404.7</v>
      </c>
    </row>
    <row r="55" spans="1:13" ht="24" customHeight="1">
      <c r="A55" s="89" t="s">
        <v>531</v>
      </c>
      <c r="B55" s="90" t="s">
        <v>112</v>
      </c>
      <c r="C55" s="89" t="s">
        <v>45</v>
      </c>
      <c r="D55" s="89" t="s">
        <v>113</v>
      </c>
      <c r="E55" s="91" t="s">
        <v>46</v>
      </c>
      <c r="F55" s="90">
        <v>2</v>
      </c>
      <c r="G55" s="92">
        <v>46.91</v>
      </c>
      <c r="H55" s="92">
        <v>24.81</v>
      </c>
      <c r="I55" s="92">
        <v>34.56</v>
      </c>
      <c r="J55" s="92">
        <v>59.37</v>
      </c>
      <c r="K55" s="92">
        <v>49.62</v>
      </c>
      <c r="L55" s="92">
        <v>69.12</v>
      </c>
      <c r="M55" s="92">
        <v>118.74</v>
      </c>
    </row>
    <row r="56" spans="1:13" ht="26.1" customHeight="1">
      <c r="A56" s="89" t="s">
        <v>532</v>
      </c>
      <c r="B56" s="90" t="s">
        <v>109</v>
      </c>
      <c r="C56" s="89" t="s">
        <v>77</v>
      </c>
      <c r="D56" s="89" t="s">
        <v>110</v>
      </c>
      <c r="E56" s="91" t="s">
        <v>92</v>
      </c>
      <c r="F56" s="90">
        <v>12</v>
      </c>
      <c r="G56" s="92">
        <v>20.84</v>
      </c>
      <c r="H56" s="92">
        <v>11.8505</v>
      </c>
      <c r="I56" s="92">
        <v>14.519500000000001</v>
      </c>
      <c r="J56" s="92">
        <v>26.37</v>
      </c>
      <c r="K56" s="92">
        <v>142.20599999999999</v>
      </c>
      <c r="L56" s="92">
        <v>174.23400000000001</v>
      </c>
      <c r="M56" s="92">
        <v>316.44</v>
      </c>
    </row>
    <row r="57" spans="1:13" ht="39" customHeight="1">
      <c r="A57" s="89" t="s">
        <v>533</v>
      </c>
      <c r="B57" s="90" t="s">
        <v>265</v>
      </c>
      <c r="C57" s="89" t="s">
        <v>66</v>
      </c>
      <c r="D57" s="89" t="s">
        <v>266</v>
      </c>
      <c r="E57" s="91" t="s">
        <v>107</v>
      </c>
      <c r="F57" s="90">
        <v>50</v>
      </c>
      <c r="G57" s="92">
        <v>4.34</v>
      </c>
      <c r="H57" s="92">
        <v>1.44</v>
      </c>
      <c r="I57" s="92">
        <v>4.05</v>
      </c>
      <c r="J57" s="92">
        <v>5.49</v>
      </c>
      <c r="K57" s="92">
        <v>72</v>
      </c>
      <c r="L57" s="92">
        <v>202.5</v>
      </c>
      <c r="M57" s="92">
        <v>274.5</v>
      </c>
    </row>
    <row r="58" spans="1:13" ht="39" customHeight="1">
      <c r="A58" s="89" t="s">
        <v>534</v>
      </c>
      <c r="B58" s="90" t="s">
        <v>269</v>
      </c>
      <c r="C58" s="89" t="s">
        <v>77</v>
      </c>
      <c r="D58" s="89" t="s">
        <v>270</v>
      </c>
      <c r="E58" s="91" t="s">
        <v>79</v>
      </c>
      <c r="F58" s="90">
        <v>1</v>
      </c>
      <c r="G58" s="92">
        <v>14.01</v>
      </c>
      <c r="H58" s="92">
        <v>6.5835999999999997</v>
      </c>
      <c r="I58" s="92">
        <v>11.1464</v>
      </c>
      <c r="J58" s="92">
        <v>17.73</v>
      </c>
      <c r="K58" s="92">
        <v>6.5835999999999997</v>
      </c>
      <c r="L58" s="92">
        <v>11.1464</v>
      </c>
      <c r="M58" s="92">
        <v>17.73</v>
      </c>
    </row>
    <row r="59" spans="1:13" ht="39" customHeight="1">
      <c r="A59" s="89" t="s">
        <v>535</v>
      </c>
      <c r="B59" s="90" t="s">
        <v>342</v>
      </c>
      <c r="C59" s="89" t="s">
        <v>66</v>
      </c>
      <c r="D59" s="89" t="s">
        <v>343</v>
      </c>
      <c r="E59" s="91" t="s">
        <v>103</v>
      </c>
      <c r="F59" s="90">
        <v>1</v>
      </c>
      <c r="G59" s="92">
        <v>51</v>
      </c>
      <c r="H59" s="92">
        <v>30.65</v>
      </c>
      <c r="I59" s="92">
        <v>33.9</v>
      </c>
      <c r="J59" s="92">
        <v>64.55</v>
      </c>
      <c r="K59" s="92">
        <v>30.65</v>
      </c>
      <c r="L59" s="92">
        <v>33.9</v>
      </c>
      <c r="M59" s="92">
        <v>64.55</v>
      </c>
    </row>
    <row r="60" spans="1:13" ht="39" customHeight="1">
      <c r="A60" s="89" t="s">
        <v>536</v>
      </c>
      <c r="B60" s="90" t="s">
        <v>101</v>
      </c>
      <c r="C60" s="89" t="s">
        <v>66</v>
      </c>
      <c r="D60" s="89" t="s">
        <v>276</v>
      </c>
      <c r="E60" s="91" t="s">
        <v>103</v>
      </c>
      <c r="F60" s="90">
        <v>1</v>
      </c>
      <c r="G60" s="92">
        <v>20.12</v>
      </c>
      <c r="H60" s="92">
        <v>6.18</v>
      </c>
      <c r="I60" s="92">
        <v>19.28</v>
      </c>
      <c r="J60" s="92">
        <v>25.46</v>
      </c>
      <c r="K60" s="92">
        <v>6.18</v>
      </c>
      <c r="L60" s="92">
        <v>19.28</v>
      </c>
      <c r="M60" s="92">
        <v>25.46</v>
      </c>
    </row>
    <row r="61" spans="1:13" ht="39" customHeight="1">
      <c r="A61" s="89" t="s">
        <v>537</v>
      </c>
      <c r="B61" s="90" t="s">
        <v>346</v>
      </c>
      <c r="C61" s="89" t="s">
        <v>66</v>
      </c>
      <c r="D61" s="89" t="s">
        <v>347</v>
      </c>
      <c r="E61" s="91" t="s">
        <v>103</v>
      </c>
      <c r="F61" s="90">
        <v>1</v>
      </c>
      <c r="G61" s="92">
        <v>40.54</v>
      </c>
      <c r="H61" s="92">
        <v>18.93</v>
      </c>
      <c r="I61" s="92">
        <v>32.380000000000003</v>
      </c>
      <c r="J61" s="92">
        <v>51.31</v>
      </c>
      <c r="K61" s="92">
        <v>18.93</v>
      </c>
      <c r="L61" s="92">
        <v>32.380000000000003</v>
      </c>
      <c r="M61" s="92">
        <v>51.31</v>
      </c>
    </row>
    <row r="62" spans="1:13" ht="24" customHeight="1">
      <c r="A62" s="86" t="s">
        <v>538</v>
      </c>
      <c r="B62" s="86"/>
      <c r="C62" s="86"/>
      <c r="D62" s="86" t="s">
        <v>142</v>
      </c>
      <c r="E62" s="86"/>
      <c r="F62" s="87"/>
      <c r="G62" s="87"/>
      <c r="H62" s="86"/>
      <c r="I62" s="86"/>
      <c r="J62" s="86"/>
      <c r="K62" s="86"/>
      <c r="L62" s="86"/>
      <c r="M62" s="88">
        <v>4389.6899999999996</v>
      </c>
    </row>
    <row r="63" spans="1:13" ht="24" customHeight="1">
      <c r="A63" s="89" t="s">
        <v>539</v>
      </c>
      <c r="B63" s="90" t="s">
        <v>144</v>
      </c>
      <c r="C63" s="89" t="s">
        <v>45</v>
      </c>
      <c r="D63" s="89" t="s">
        <v>145</v>
      </c>
      <c r="E63" s="91" t="s">
        <v>74</v>
      </c>
      <c r="F63" s="90">
        <v>1</v>
      </c>
      <c r="G63" s="92">
        <v>2203.16</v>
      </c>
      <c r="H63" s="92">
        <v>800.96</v>
      </c>
      <c r="I63" s="92">
        <v>1987.57</v>
      </c>
      <c r="J63" s="92">
        <v>2788.53</v>
      </c>
      <c r="K63" s="92">
        <v>800.96</v>
      </c>
      <c r="L63" s="92">
        <v>1987.57</v>
      </c>
      <c r="M63" s="92">
        <v>2788.53</v>
      </c>
    </row>
    <row r="64" spans="1:13" ht="24" customHeight="1">
      <c r="A64" s="89" t="s">
        <v>540</v>
      </c>
      <c r="B64" s="90" t="s">
        <v>147</v>
      </c>
      <c r="C64" s="89" t="s">
        <v>45</v>
      </c>
      <c r="D64" s="89" t="s">
        <v>148</v>
      </c>
      <c r="E64" s="91" t="s">
        <v>74</v>
      </c>
      <c r="F64" s="90">
        <v>1</v>
      </c>
      <c r="G64" s="92">
        <v>1265.04</v>
      </c>
      <c r="H64" s="92">
        <v>1199.28</v>
      </c>
      <c r="I64" s="92">
        <v>401.88</v>
      </c>
      <c r="J64" s="92">
        <v>1601.16</v>
      </c>
      <c r="K64" s="92">
        <v>1199.28</v>
      </c>
      <c r="L64" s="92">
        <v>401.88</v>
      </c>
      <c r="M64" s="92">
        <v>1601.16</v>
      </c>
    </row>
    <row r="65" spans="1:13" ht="24" customHeight="1">
      <c r="A65" s="86" t="s">
        <v>541</v>
      </c>
      <c r="B65" s="86"/>
      <c r="C65" s="86"/>
      <c r="D65" s="86" t="s">
        <v>150</v>
      </c>
      <c r="E65" s="86"/>
      <c r="F65" s="87"/>
      <c r="G65" s="87"/>
      <c r="H65" s="86"/>
      <c r="I65" s="86"/>
      <c r="J65" s="86"/>
      <c r="K65" s="86"/>
      <c r="L65" s="86"/>
      <c r="M65" s="88">
        <v>2598.41</v>
      </c>
    </row>
    <row r="66" spans="1:13" ht="26.1" customHeight="1">
      <c r="A66" s="89" t="s">
        <v>542</v>
      </c>
      <c r="B66" s="90" t="s">
        <v>152</v>
      </c>
      <c r="C66" s="89" t="s">
        <v>45</v>
      </c>
      <c r="D66" s="89" t="s">
        <v>353</v>
      </c>
      <c r="E66" s="91" t="s">
        <v>74</v>
      </c>
      <c r="F66" s="90">
        <v>1</v>
      </c>
      <c r="G66" s="92">
        <v>2052.9499999999998</v>
      </c>
      <c r="H66" s="92">
        <v>2421.6</v>
      </c>
      <c r="I66" s="92">
        <v>176.81</v>
      </c>
      <c r="J66" s="92">
        <v>2598.41</v>
      </c>
      <c r="K66" s="92">
        <v>2421.6</v>
      </c>
      <c r="L66" s="92">
        <v>176.81</v>
      </c>
      <c r="M66" s="92">
        <v>2598.41</v>
      </c>
    </row>
    <row r="67" spans="1:13" ht="24" customHeight="1">
      <c r="A67" s="86" t="s">
        <v>543</v>
      </c>
      <c r="B67" s="86"/>
      <c r="C67" s="86"/>
      <c r="D67" s="86" t="s">
        <v>354</v>
      </c>
      <c r="E67" s="86"/>
      <c r="F67" s="87"/>
      <c r="G67" s="87"/>
      <c r="H67" s="86"/>
      <c r="I67" s="86"/>
      <c r="J67" s="86"/>
      <c r="K67" s="86"/>
      <c r="L67" s="86"/>
      <c r="M67" s="88">
        <v>1333.44</v>
      </c>
    </row>
    <row r="68" spans="1:13" ht="24" customHeight="1">
      <c r="A68" s="89" t="s">
        <v>544</v>
      </c>
      <c r="B68" s="90" t="s">
        <v>44</v>
      </c>
      <c r="C68" s="89" t="s">
        <v>45</v>
      </c>
      <c r="D68" s="89" t="s">
        <v>356</v>
      </c>
      <c r="E68" s="91" t="s">
        <v>46</v>
      </c>
      <c r="F68" s="90">
        <v>1</v>
      </c>
      <c r="G68" s="92">
        <v>1053.52</v>
      </c>
      <c r="H68" s="92">
        <v>308.72000000000003</v>
      </c>
      <c r="I68" s="92">
        <v>1024.72</v>
      </c>
      <c r="J68" s="92">
        <v>1333.44</v>
      </c>
      <c r="K68" s="92">
        <v>308.72000000000003</v>
      </c>
      <c r="L68" s="92">
        <v>1024.72</v>
      </c>
      <c r="M68" s="92">
        <v>1333.44</v>
      </c>
    </row>
    <row r="69" spans="1:13">
      <c r="A69" s="93"/>
      <c r="B69" s="93"/>
      <c r="C69" s="93"/>
      <c r="D69" s="93"/>
      <c r="E69" s="93"/>
      <c r="F69" s="93"/>
      <c r="G69" s="93"/>
      <c r="H69" s="93"/>
      <c r="I69" s="93"/>
      <c r="J69" s="93" t="s">
        <v>357</v>
      </c>
      <c r="K69" s="93" t="s">
        <v>545</v>
      </c>
      <c r="L69" s="93" t="s">
        <v>546</v>
      </c>
      <c r="M69" s="93" t="s">
        <v>547</v>
      </c>
    </row>
    <row r="70" spans="1:13">
      <c r="A70" s="94"/>
      <c r="B70" s="94"/>
      <c r="C70" s="94"/>
      <c r="D70" s="94"/>
      <c r="E70" s="94"/>
      <c r="F70" s="94"/>
      <c r="G70" s="94"/>
      <c r="H70" s="94"/>
      <c r="I70" s="94"/>
      <c r="J70" s="94"/>
      <c r="K70" s="94"/>
      <c r="L70" s="94"/>
      <c r="M70" s="94"/>
    </row>
    <row r="71" spans="1:13">
      <c r="A71" s="209"/>
      <c r="B71" s="209"/>
      <c r="C71" s="209"/>
      <c r="D71" s="95"/>
      <c r="E71" s="93"/>
      <c r="F71" s="93"/>
      <c r="G71" s="93"/>
      <c r="H71" s="93"/>
      <c r="I71" s="210" t="s">
        <v>358</v>
      </c>
      <c r="J71" s="209"/>
      <c r="K71" s="211">
        <v>95619.5</v>
      </c>
      <c r="L71" s="209"/>
      <c r="M71" s="209"/>
    </row>
    <row r="72" spans="1:13">
      <c r="A72" s="209"/>
      <c r="B72" s="209"/>
      <c r="C72" s="209"/>
      <c r="D72" s="95"/>
      <c r="E72" s="93"/>
      <c r="F72" s="93"/>
      <c r="G72" s="93"/>
      <c r="H72" s="93"/>
      <c r="I72" s="210" t="s">
        <v>359</v>
      </c>
      <c r="J72" s="209"/>
      <c r="K72" s="211">
        <v>25389.35</v>
      </c>
      <c r="L72" s="209"/>
      <c r="M72" s="209"/>
    </row>
    <row r="73" spans="1:13">
      <c r="A73" s="209"/>
      <c r="B73" s="209"/>
      <c r="C73" s="209"/>
      <c r="D73" s="95"/>
      <c r="E73" s="93"/>
      <c r="F73" s="93"/>
      <c r="G73" s="93"/>
      <c r="H73" s="93"/>
      <c r="I73" s="210" t="s">
        <v>360</v>
      </c>
      <c r="J73" s="209"/>
      <c r="K73" s="211">
        <v>121008.85</v>
      </c>
      <c r="L73" s="209"/>
      <c r="M73" s="209"/>
    </row>
    <row r="74" spans="1:13" ht="60" customHeight="1">
      <c r="A74" s="97"/>
      <c r="B74" s="97"/>
      <c r="C74" s="97"/>
      <c r="D74" s="97"/>
      <c r="E74" s="97"/>
      <c r="F74" s="97"/>
      <c r="G74" s="97"/>
      <c r="H74" s="97"/>
      <c r="I74" s="97"/>
      <c r="J74" s="97"/>
      <c r="K74" s="97"/>
      <c r="L74" s="97"/>
      <c r="M74" s="97"/>
    </row>
    <row r="75" spans="1:13" ht="69.95" customHeight="1">
      <c r="A75" s="288" t="s">
        <v>499</v>
      </c>
      <c r="B75" s="213"/>
      <c r="C75" s="213"/>
      <c r="D75" s="213"/>
      <c r="E75" s="213"/>
      <c r="F75" s="213"/>
      <c r="G75" s="213"/>
      <c r="H75" s="213"/>
      <c r="I75" s="213"/>
      <c r="J75" s="213"/>
      <c r="K75" s="213"/>
      <c r="L75" s="213"/>
      <c r="M75" s="213"/>
    </row>
  </sheetData>
  <mergeCells count="26">
    <mergeCell ref="E1:F1"/>
    <mergeCell ref="H1:J1"/>
    <mergeCell ref="K1:M1"/>
    <mergeCell ref="E2:F2"/>
    <mergeCell ref="H2:J2"/>
    <mergeCell ref="K2:M2"/>
    <mergeCell ref="A3:M3"/>
    <mergeCell ref="A4:A5"/>
    <mergeCell ref="B4:B5"/>
    <mergeCell ref="C4:C5"/>
    <mergeCell ref="D4:D5"/>
    <mergeCell ref="E4:E5"/>
    <mergeCell ref="F4:F5"/>
    <mergeCell ref="G4:G5"/>
    <mergeCell ref="H4:J4"/>
    <mergeCell ref="K4:M4"/>
    <mergeCell ref="A73:C73"/>
    <mergeCell ref="I73:J73"/>
    <mergeCell ref="K73:M73"/>
    <mergeCell ref="A75:M75"/>
    <mergeCell ref="A71:C71"/>
    <mergeCell ref="I71:J71"/>
    <mergeCell ref="K71:M71"/>
    <mergeCell ref="A72:C72"/>
    <mergeCell ref="I72:J72"/>
    <mergeCell ref="K72:M72"/>
  </mergeCells>
  <printOptions horizontalCentered="1" verticalCentered="1"/>
  <pageMargins left="0.51181102362204722" right="0.51181102362204722" top="0.98425196850393704" bottom="0.98425196850393704" header="0.51181102362204722" footer="0.51181102362204722"/>
  <pageSetup paperSize="9" scale="71" fitToHeight="0" orientation="landscape" r:id="rId1"/>
  <headerFooter>
    <oddHeader>&amp;L &amp;C &amp;R</oddHeader>
    <oddFooter>&amp;L &amp;C &amp;R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11</vt:i4>
      </vt:variant>
    </vt:vector>
  </HeadingPairs>
  <TitlesOfParts>
    <vt:vector size="18" baseType="lpstr">
      <vt:lpstr>1.RESUMO</vt:lpstr>
      <vt:lpstr>2.ORCAMENTO</vt:lpstr>
      <vt:lpstr>3.BDI COM DESONER.</vt:lpstr>
      <vt:lpstr>4.LEIS SOCIAIS</vt:lpstr>
      <vt:lpstr>5.CRONOGRAMA</vt:lpstr>
      <vt:lpstr>ORC SEDES</vt:lpstr>
      <vt:lpstr>ORC GALPÃO</vt:lpstr>
      <vt:lpstr>'1.RESUMO'!Area_de_impressao</vt:lpstr>
      <vt:lpstr>'2.ORCAMENTO'!Area_de_impressao</vt:lpstr>
      <vt:lpstr>'3.BDI COM DESONER.'!Area_de_impressao</vt:lpstr>
      <vt:lpstr>'4.LEIS SOCIAIS'!Area_de_impressao</vt:lpstr>
      <vt:lpstr>'5.CRONOGRAMA'!Area_de_impressao</vt:lpstr>
      <vt:lpstr>'ORC GALPÃO'!Area_de_impressao</vt:lpstr>
      <vt:lpstr>'ORC SEDES'!Area_de_impressao</vt:lpstr>
      <vt:lpstr>'2.ORCAMENTO'!Titulos_de_impressao</vt:lpstr>
      <vt:lpstr>'5.CRONOGRAMA'!Titulos_de_impressao</vt:lpstr>
      <vt:lpstr>'ORC GALPÃO'!Titulos_de_impressao</vt:lpstr>
      <vt:lpstr>'ORC SEDES'!Titulos_de_impressao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Exato Engenharia</dc:creator>
  <cp:keywords>Exato Engenharia</cp:keywords>
  <dc:description/>
  <cp:lastModifiedBy>Diogo Rodrigues dos Santos</cp:lastModifiedBy>
  <cp:revision>1</cp:revision>
  <dcterms:created xsi:type="dcterms:W3CDTF">2014-06-27T17:53:42Z</dcterms:created>
  <dcterms:modified xsi:type="dcterms:W3CDTF">2025-08-07T13:59:53Z</dcterms:modified>
  <cp:category/>
  <cp:contentStatus/>
</cp:coreProperties>
</file>