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LUCIENE\Downloads\"/>
    </mc:Choice>
  </mc:AlternateContent>
  <xr:revisionPtr revIDLastSave="0" documentId="13_ncr:1_{98F9EB09-59CA-4D6F-91DB-31EFBF8C779E}" xr6:coauthVersionLast="47" xr6:coauthVersionMax="47" xr10:uidLastSave="{00000000-0000-0000-0000-000000000000}"/>
  <bookViews>
    <workbookView xWindow="-108" yWindow="-108" windowWidth="23256" windowHeight="12456" tabRatio="500" firstSheet="13" activeTab="15" xr2:uid="{00000000-000D-0000-FFFF-FFFF00000000}"/>
  </bookViews>
  <sheets>
    <sheet name="Ocorrências Mensais - FAT" sheetId="1" state="hidden" r:id="rId1"/>
    <sheet name="INSTRUÇÕES" sheetId="3" r:id="rId2"/>
    <sheet name="Dados" sheetId="4" r:id="rId3"/>
    <sheet name="Encargos" sheetId="5" r:id="rId4"/>
    <sheet name="Materiais" sheetId="2" r:id="rId5"/>
    <sheet name="EPI" sheetId="20" r:id="rId6"/>
    <sheet name="Equipamentos" sheetId="6" r:id="rId7"/>
    <sheet name="Uniformes" sheetId="7" r:id="rId8"/>
    <sheet name="Ass. Adm 150" sheetId="12" r:id="rId9"/>
    <sheet name="Ass. Adm 200" sheetId="10" r:id="rId10"/>
    <sheet name="Ass. Adm 220" sheetId="17" r:id="rId11"/>
    <sheet name="Servente Insalubre" sheetId="13" r:id="rId12"/>
    <sheet name="Servente 200" sheetId="14" r:id="rId13"/>
    <sheet name="Servente acúmulo Copa" sheetId="15" r:id="rId14"/>
    <sheet name="Zelador acúmulo Lavador" sheetId="16" r:id="rId15"/>
    <sheet name="Resumo" sheetId="18" r:id="rId16"/>
    <sheet name="Custo Estimado Substituto" sheetId="9" r:id="rId17"/>
    <sheet name="IPCA" sheetId="19" state="hidden" r:id="rId18"/>
  </sheets>
  <definedNames>
    <definedName name="_xlnm.Print_Area" localSheetId="8">'Ass. Adm 150'!$A$1:$J$46</definedName>
    <definedName name="_xlnm.Print_Area" localSheetId="9">'Ass. Adm 200'!$A$1:$J$46</definedName>
    <definedName name="_xlnm.Print_Area" localSheetId="10">'Ass. Adm 220'!$A$1:$J$46</definedName>
    <definedName name="_xlnm.Print_Area" localSheetId="2">Dados!$A$1:$T$58</definedName>
    <definedName name="_xlnm.Print_Area" localSheetId="3">Encargos!$A$1:$H$59</definedName>
    <definedName name="_xlnm.Print_Area" localSheetId="4">Materiais!$A$1:$L$67</definedName>
    <definedName name="_xlnm.Print_Area" localSheetId="12">'Servente 200'!$A$1:$J$46</definedName>
    <definedName name="_xlnm.Print_Area" localSheetId="13">'Servente acúmulo Copa'!$A$1:$J$46</definedName>
    <definedName name="_xlnm.Print_Area" localSheetId="11">'Servente Insalubre'!$A$1:$J$46</definedName>
    <definedName name="_xlnm.Print_Area" localSheetId="7">Uniformes!$A$1:$H$35</definedName>
    <definedName name="_xlnm.Print_Area" localSheetId="14">'Zelador acúmulo Lavador'!$A$1:$J$46</definedName>
    <definedName name="BS">NA()</definedName>
    <definedName name="BT">NA()</definedName>
    <definedName name="CIDADE">NA()</definedName>
    <definedName name="CIDADES">NA()</definedName>
    <definedName name="CPMF">NA()</definedName>
    <definedName name="d">NA()</definedName>
    <definedName name="ENCARGOS">NA()</definedName>
    <definedName name="Excel_BuiltIn_Print_Area_1_1">"$#REF!.$A$2:$C$99"</definedName>
    <definedName name="Excel_BuiltIn_Print_Area_6_1">NA()</definedName>
    <definedName name="Excel_BuiltIn_Print_Area_7_1">NA()</definedName>
    <definedName name="Excel_BuiltIn_Print_Area_8_1">NA()</definedName>
    <definedName name="Excel_BuiltIn_Print_Area_9_1">NA()</definedName>
    <definedName name="ISS">NA()</definedName>
    <definedName name="Jornada">NA()</definedName>
    <definedName name="TERRIT">NA()</definedName>
    <definedName name="Tipo_de_Joranda_de_Trabalho">NA()</definedName>
    <definedName name="TP_SERV">NA()</definedName>
    <definedName name="TP_SERVPERC">NA()</definedName>
    <definedName name="VRSELEC">NA()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" i="10" l="1"/>
  <c r="B16" i="18"/>
  <c r="E13" i="20"/>
  <c r="F13" i="20" s="1"/>
  <c r="F14" i="20" s="1"/>
  <c r="R10" i="4" s="1"/>
  <c r="F24" i="16" s="1"/>
  <c r="G24" i="16" s="1"/>
  <c r="E12" i="20"/>
  <c r="F12" i="20" s="1"/>
  <c r="A33" i="7" l="1"/>
  <c r="E9" i="20"/>
  <c r="F9" i="20" s="1"/>
  <c r="B3" i="20"/>
  <c r="B2" i="20"/>
  <c r="B1" i="20"/>
  <c r="F10" i="20" l="1"/>
  <c r="N86" i="1"/>
  <c r="N87" i="1"/>
  <c r="N88" i="1"/>
  <c r="N89" i="1"/>
  <c r="N90" i="1"/>
  <c r="N85" i="1"/>
  <c r="M86" i="1"/>
  <c r="M87" i="1"/>
  <c r="M88" i="1"/>
  <c r="M89" i="1"/>
  <c r="M90" i="1"/>
  <c r="M85" i="1"/>
  <c r="E86" i="1"/>
  <c r="E87" i="1"/>
  <c r="E88" i="1"/>
  <c r="E89" i="1"/>
  <c r="E90" i="1"/>
  <c r="E85" i="1"/>
  <c r="B90" i="1"/>
  <c r="B89" i="1"/>
  <c r="B88" i="1"/>
  <c r="B87" i="1"/>
  <c r="B86" i="1"/>
  <c r="B85" i="1"/>
  <c r="L62" i="2"/>
  <c r="L63" i="2"/>
  <c r="L64" i="2"/>
  <c r="L65" i="2"/>
  <c r="L66" i="2"/>
  <c r="L61" i="2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M68" i="1"/>
  <c r="M69" i="1"/>
  <c r="M70" i="1"/>
  <c r="M71" i="1"/>
  <c r="M72" i="1"/>
  <c r="M73" i="1"/>
  <c r="M74" i="1"/>
  <c r="M75" i="1"/>
  <c r="M76" i="1"/>
  <c r="M67" i="1"/>
  <c r="F69" i="1"/>
  <c r="F70" i="1"/>
  <c r="F71" i="1"/>
  <c r="F72" i="1"/>
  <c r="F73" i="1"/>
  <c r="F75" i="1"/>
  <c r="F76" i="1"/>
  <c r="E68" i="1"/>
  <c r="E69" i="1"/>
  <c r="E70" i="1"/>
  <c r="E71" i="1"/>
  <c r="E72" i="1"/>
  <c r="E73" i="1"/>
  <c r="E74" i="1"/>
  <c r="E75" i="1"/>
  <c r="E76" i="1"/>
  <c r="E67" i="1"/>
  <c r="F31" i="1"/>
  <c r="F33" i="1"/>
  <c r="F35" i="1"/>
  <c r="F36" i="1"/>
  <c r="F37" i="1"/>
  <c r="F38" i="1"/>
  <c r="F39" i="1"/>
  <c r="F40" i="1"/>
  <c r="F41" i="1"/>
  <c r="F42" i="1"/>
  <c r="F43" i="1"/>
  <c r="F46" i="1"/>
  <c r="F47" i="1"/>
  <c r="F48" i="1"/>
  <c r="F49" i="1"/>
  <c r="F55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29" i="1"/>
  <c r="B76" i="1"/>
  <c r="B75" i="1"/>
  <c r="B74" i="1"/>
  <c r="B73" i="1"/>
  <c r="B72" i="1"/>
  <c r="B71" i="1"/>
  <c r="B70" i="1"/>
  <c r="B69" i="1"/>
  <c r="B68" i="1"/>
  <c r="B67" i="1"/>
  <c r="N67" i="1"/>
  <c r="L46" i="2"/>
  <c r="L47" i="2"/>
  <c r="L48" i="2"/>
  <c r="L49" i="2"/>
  <c r="L50" i="2"/>
  <c r="L51" i="2"/>
  <c r="L52" i="2"/>
  <c r="L53" i="2"/>
  <c r="L54" i="2"/>
  <c r="L45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9" i="2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29" i="1"/>
  <c r="L72" i="1" l="1"/>
  <c r="J50" i="2" s="1"/>
  <c r="K50" i="2" s="1"/>
  <c r="R7" i="4"/>
  <c r="F24" i="13" s="1"/>
  <c r="G24" i="13" s="1"/>
  <c r="R9" i="4"/>
  <c r="F24" i="15" s="1"/>
  <c r="G24" i="15" s="1"/>
  <c r="R8" i="4"/>
  <c r="F24" i="14" s="1"/>
  <c r="G24" i="14" s="1"/>
  <c r="L71" i="1"/>
  <c r="G71" i="1" s="1"/>
  <c r="H71" i="1" s="1"/>
  <c r="L73" i="1"/>
  <c r="J51" i="2" s="1"/>
  <c r="K51" i="2" s="1"/>
  <c r="L74" i="1"/>
  <c r="G74" i="1" s="1"/>
  <c r="L75" i="1"/>
  <c r="G75" i="1" s="1"/>
  <c r="I75" i="1" s="1"/>
  <c r="G72" i="1"/>
  <c r="I72" i="1" s="1"/>
  <c r="J49" i="2" l="1"/>
  <c r="K49" i="2" s="1"/>
  <c r="G73" i="1"/>
  <c r="H73" i="1" s="1"/>
  <c r="J53" i="2"/>
  <c r="K53" i="2" s="1"/>
  <c r="H72" i="1"/>
  <c r="J52" i="2"/>
  <c r="K52" i="2" s="1"/>
  <c r="I74" i="1"/>
  <c r="H74" i="1"/>
  <c r="I71" i="1"/>
  <c r="H75" i="1"/>
  <c r="I73" i="1" l="1"/>
  <c r="AG22" i="19"/>
  <c r="AH22" i="19" s="1"/>
  <c r="AE22" i="19"/>
  <c r="Z22" i="19"/>
  <c r="AA22" i="19" s="1"/>
  <c r="X22" i="19"/>
  <c r="S22" i="19"/>
  <c r="T22" i="19" s="1"/>
  <c r="Q22" i="19"/>
  <c r="L22" i="19"/>
  <c r="M22" i="19" s="1"/>
  <c r="J22" i="19"/>
  <c r="I22" i="19"/>
  <c r="P22" i="19" s="1"/>
  <c r="W22" i="19" s="1"/>
  <c r="AD22" i="19" s="1"/>
  <c r="F22" i="19"/>
  <c r="AH21" i="19"/>
  <c r="AE21" i="19"/>
  <c r="AA21" i="19"/>
  <c r="X21" i="19"/>
  <c r="T21" i="19"/>
  <c r="Q21" i="19"/>
  <c r="M21" i="19"/>
  <c r="J21" i="19"/>
  <c r="I21" i="19"/>
  <c r="P21" i="19" s="1"/>
  <c r="W21" i="19" s="1"/>
  <c r="AD21" i="19" s="1"/>
  <c r="F21" i="19"/>
  <c r="AH20" i="19"/>
  <c r="AE20" i="19"/>
  <c r="AA20" i="19"/>
  <c r="X20" i="19"/>
  <c r="T20" i="19"/>
  <c r="Q20" i="19"/>
  <c r="M20" i="19"/>
  <c r="J20" i="19"/>
  <c r="I20" i="19"/>
  <c r="P20" i="19" s="1"/>
  <c r="W20" i="19" s="1"/>
  <c r="AD20" i="19" s="1"/>
  <c r="F20" i="19"/>
  <c r="AH19" i="19"/>
  <c r="AE19" i="19"/>
  <c r="AA19" i="19"/>
  <c r="X19" i="19"/>
  <c r="T19" i="19"/>
  <c r="Q19" i="19"/>
  <c r="M19" i="19"/>
  <c r="J19" i="19"/>
  <c r="I19" i="19"/>
  <c r="P19" i="19" s="1"/>
  <c r="W19" i="19" s="1"/>
  <c r="AD19" i="19" s="1"/>
  <c r="F19" i="19"/>
  <c r="AH18" i="19"/>
  <c r="AE18" i="19"/>
  <c r="AA18" i="19"/>
  <c r="X18" i="19"/>
  <c r="T18" i="19"/>
  <c r="Q18" i="19"/>
  <c r="M18" i="19"/>
  <c r="J18" i="19"/>
  <c r="I18" i="19"/>
  <c r="P18" i="19" s="1"/>
  <c r="W18" i="19" s="1"/>
  <c r="AD18" i="19" s="1"/>
  <c r="F18" i="19"/>
  <c r="AH17" i="19"/>
  <c r="AE17" i="19"/>
  <c r="AA17" i="19"/>
  <c r="X17" i="19"/>
  <c r="T17" i="19"/>
  <c r="Q17" i="19"/>
  <c r="M17" i="19"/>
  <c r="J17" i="19"/>
  <c r="I17" i="19"/>
  <c r="P17" i="19" s="1"/>
  <c r="W17" i="19" s="1"/>
  <c r="AD17" i="19" s="1"/>
  <c r="F17" i="19"/>
  <c r="AH16" i="19"/>
  <c r="AE16" i="19"/>
  <c r="AA16" i="19"/>
  <c r="X16" i="19"/>
  <c r="T16" i="19"/>
  <c r="Q16" i="19"/>
  <c r="M16" i="19"/>
  <c r="J16" i="19"/>
  <c r="I16" i="19"/>
  <c r="P16" i="19" s="1"/>
  <c r="W16" i="19" s="1"/>
  <c r="AD16" i="19" s="1"/>
  <c r="F16" i="19"/>
  <c r="AH15" i="19"/>
  <c r="AE15" i="19"/>
  <c r="AA15" i="19"/>
  <c r="X15" i="19"/>
  <c r="T15" i="19"/>
  <c r="Q15" i="19"/>
  <c r="M15" i="19"/>
  <c r="J15" i="19"/>
  <c r="I15" i="19"/>
  <c r="P15" i="19" s="1"/>
  <c r="W15" i="19" s="1"/>
  <c r="AD15" i="19" s="1"/>
  <c r="F15" i="19"/>
  <c r="AH14" i="19"/>
  <c r="AE14" i="19"/>
  <c r="AA14" i="19"/>
  <c r="X14" i="19"/>
  <c r="T14" i="19"/>
  <c r="Q14" i="19"/>
  <c r="M14" i="19"/>
  <c r="J14" i="19"/>
  <c r="I14" i="19"/>
  <c r="P14" i="19" s="1"/>
  <c r="W14" i="19" s="1"/>
  <c r="AD14" i="19" s="1"/>
  <c r="F14" i="19"/>
  <c r="AH13" i="19"/>
  <c r="AE13" i="19"/>
  <c r="AA13" i="19"/>
  <c r="X13" i="19"/>
  <c r="T13" i="19"/>
  <c r="Q13" i="19"/>
  <c r="M13" i="19"/>
  <c r="J13" i="19"/>
  <c r="I13" i="19"/>
  <c r="P13" i="19" s="1"/>
  <c r="W13" i="19" s="1"/>
  <c r="AD13" i="19" s="1"/>
  <c r="F13" i="19"/>
  <c r="AH12" i="19"/>
  <c r="AE12" i="19"/>
  <c r="AA12" i="19"/>
  <c r="X12" i="19"/>
  <c r="T12" i="19"/>
  <c r="Q12" i="19"/>
  <c r="M12" i="19"/>
  <c r="J12" i="19"/>
  <c r="I12" i="19"/>
  <c r="P12" i="19" s="1"/>
  <c r="W12" i="19" s="1"/>
  <c r="AD12" i="19" s="1"/>
  <c r="F12" i="19"/>
  <c r="AH11" i="19"/>
  <c r="AE11" i="19"/>
  <c r="AA11" i="19"/>
  <c r="X11" i="19"/>
  <c r="T11" i="19"/>
  <c r="Q11" i="19"/>
  <c r="M11" i="19"/>
  <c r="J11" i="19"/>
  <c r="I11" i="19"/>
  <c r="P11" i="19" s="1"/>
  <c r="W11" i="19" s="1"/>
  <c r="AD11" i="19" s="1"/>
  <c r="F11" i="19"/>
  <c r="AG10" i="19"/>
  <c r="AH10" i="19" s="1"/>
  <c r="AI10" i="19" s="1"/>
  <c r="AI11" i="19" s="1"/>
  <c r="AE10" i="19"/>
  <c r="Z10" i="19"/>
  <c r="AA10" i="19" s="1"/>
  <c r="AB10" i="19" s="1"/>
  <c r="X10" i="19"/>
  <c r="S10" i="19"/>
  <c r="T10" i="19" s="1"/>
  <c r="U10" i="19" s="1"/>
  <c r="Q10" i="19"/>
  <c r="L10" i="19"/>
  <c r="M10" i="19" s="1"/>
  <c r="N10" i="19" s="1"/>
  <c r="N11" i="19" s="1"/>
  <c r="N12" i="19" s="1"/>
  <c r="N13" i="19" s="1"/>
  <c r="N14" i="19" s="1"/>
  <c r="N15" i="19" s="1"/>
  <c r="N16" i="19" s="1"/>
  <c r="N17" i="19" s="1"/>
  <c r="N18" i="19" s="1"/>
  <c r="N19" i="19" s="1"/>
  <c r="N20" i="19" s="1"/>
  <c r="N21" i="19" s="1"/>
  <c r="N22" i="19" s="1"/>
  <c r="N23" i="19" s="1"/>
  <c r="D64" i="4" s="1"/>
  <c r="N64" i="4" s="1"/>
  <c r="J10" i="19"/>
  <c r="I10" i="19"/>
  <c r="P10" i="19" s="1"/>
  <c r="W10" i="19" s="1"/>
  <c r="AD10" i="19" s="1"/>
  <c r="F10" i="19"/>
  <c r="G10" i="19" s="1"/>
  <c r="Q18" i="18"/>
  <c r="N18" i="18"/>
  <c r="D18" i="18"/>
  <c r="C18" i="18"/>
  <c r="B18" i="18"/>
  <c r="Q17" i="18"/>
  <c r="N17" i="18"/>
  <c r="D17" i="18"/>
  <c r="C17" i="18"/>
  <c r="B17" i="18"/>
  <c r="Q16" i="18"/>
  <c r="N16" i="18"/>
  <c r="D16" i="18"/>
  <c r="C16" i="18"/>
  <c r="Q15" i="18"/>
  <c r="N15" i="18"/>
  <c r="D15" i="18"/>
  <c r="C15" i="18"/>
  <c r="B15" i="18"/>
  <c r="Q14" i="18"/>
  <c r="N14" i="18"/>
  <c r="D14" i="18"/>
  <c r="C14" i="18"/>
  <c r="B14" i="18"/>
  <c r="A7" i="15" s="1"/>
  <c r="A44" i="15" s="1"/>
  <c r="U13" i="18"/>
  <c r="U19" i="18" s="1"/>
  <c r="Q13" i="18"/>
  <c r="N13" i="18"/>
  <c r="D13" i="18"/>
  <c r="C13" i="18"/>
  <c r="B13" i="18"/>
  <c r="Q12" i="18"/>
  <c r="N12" i="18"/>
  <c r="D12" i="18"/>
  <c r="C12" i="18"/>
  <c r="B12" i="18"/>
  <c r="B3" i="18"/>
  <c r="A5" i="18" s="1"/>
  <c r="B2" i="18"/>
  <c r="B1" i="18"/>
  <c r="D42" i="17"/>
  <c r="D41" i="17"/>
  <c r="D40" i="17"/>
  <c r="D39" i="17"/>
  <c r="D35" i="17"/>
  <c r="D33" i="17"/>
  <c r="D36" i="17" s="1"/>
  <c r="J29" i="17"/>
  <c r="F25" i="17"/>
  <c r="F24" i="17"/>
  <c r="E23" i="17"/>
  <c r="D23" i="17"/>
  <c r="E22" i="17"/>
  <c r="D22" i="17"/>
  <c r="C22" i="17"/>
  <c r="F21" i="17"/>
  <c r="G21" i="17" s="1"/>
  <c r="F20" i="17"/>
  <c r="G20" i="17" s="1"/>
  <c r="I14" i="17"/>
  <c r="I16" i="17" s="1"/>
  <c r="H14" i="17"/>
  <c r="H16" i="17" s="1"/>
  <c r="E13" i="17"/>
  <c r="D13" i="17"/>
  <c r="C13" i="17"/>
  <c r="E12" i="17"/>
  <c r="D12" i="17"/>
  <c r="E11" i="17"/>
  <c r="D11" i="17"/>
  <c r="A7" i="17"/>
  <c r="A44" i="17" s="1"/>
  <c r="B3" i="17"/>
  <c r="B2" i="17"/>
  <c r="B1" i="17"/>
  <c r="D42" i="16"/>
  <c r="D41" i="16"/>
  <c r="D40" i="16"/>
  <c r="D39" i="16"/>
  <c r="D35" i="16"/>
  <c r="D36" i="16" s="1"/>
  <c r="D33" i="16"/>
  <c r="J29" i="16"/>
  <c r="F25" i="16"/>
  <c r="E23" i="16"/>
  <c r="D23" i="16"/>
  <c r="E22" i="16"/>
  <c r="D22" i="16"/>
  <c r="C22" i="16"/>
  <c r="F21" i="16"/>
  <c r="G21" i="16" s="1"/>
  <c r="F20" i="16"/>
  <c r="G20" i="16" s="1"/>
  <c r="I14" i="16"/>
  <c r="I16" i="16" s="1"/>
  <c r="H14" i="16"/>
  <c r="H16" i="16" s="1"/>
  <c r="D13" i="16"/>
  <c r="C13" i="16"/>
  <c r="E12" i="16"/>
  <c r="D12" i="16"/>
  <c r="E11" i="16"/>
  <c r="D11" i="16"/>
  <c r="F23" i="16" s="1"/>
  <c r="G23" i="16" s="1"/>
  <c r="A7" i="16"/>
  <c r="B3" i="16"/>
  <c r="B2" i="16"/>
  <c r="B1" i="16"/>
  <c r="D42" i="15"/>
  <c r="D41" i="15"/>
  <c r="D40" i="15"/>
  <c r="D39" i="15"/>
  <c r="D35" i="15"/>
  <c r="D33" i="15"/>
  <c r="J29" i="15"/>
  <c r="F25" i="15"/>
  <c r="E23" i="15"/>
  <c r="D23" i="15"/>
  <c r="E22" i="15"/>
  <c r="D22" i="15"/>
  <c r="C22" i="15"/>
  <c r="F21" i="15"/>
  <c r="G21" i="15" s="1"/>
  <c r="F20" i="15"/>
  <c r="G20" i="15" s="1"/>
  <c r="H16" i="15"/>
  <c r="I14" i="15"/>
  <c r="I16" i="15" s="1"/>
  <c r="H14" i="15"/>
  <c r="D13" i="15"/>
  <c r="C13" i="15"/>
  <c r="E12" i="15"/>
  <c r="D12" i="15"/>
  <c r="E11" i="15"/>
  <c r="D11" i="15"/>
  <c r="B3" i="15"/>
  <c r="B2" i="15"/>
  <c r="B1" i="15"/>
  <c r="D42" i="14"/>
  <c r="D41" i="14"/>
  <c r="D40" i="14"/>
  <c r="D39" i="14"/>
  <c r="D35" i="14"/>
  <c r="D33" i="14"/>
  <c r="D36" i="14" s="1"/>
  <c r="J29" i="14"/>
  <c r="F25" i="14"/>
  <c r="E23" i="14"/>
  <c r="D23" i="14"/>
  <c r="E22" i="14"/>
  <c r="D22" i="14"/>
  <c r="C22" i="14"/>
  <c r="F21" i="14"/>
  <c r="G21" i="14" s="1"/>
  <c r="F20" i="14"/>
  <c r="G20" i="14" s="1"/>
  <c r="I14" i="14"/>
  <c r="I16" i="14" s="1"/>
  <c r="H14" i="14"/>
  <c r="H16" i="14" s="1"/>
  <c r="E13" i="14"/>
  <c r="D13" i="14"/>
  <c r="C13" i="14"/>
  <c r="E12" i="14"/>
  <c r="D12" i="14"/>
  <c r="E11" i="14"/>
  <c r="D11" i="14"/>
  <c r="A7" i="14"/>
  <c r="A44" i="14" s="1"/>
  <c r="B3" i="14"/>
  <c r="B2" i="14"/>
  <c r="B1" i="14"/>
  <c r="D42" i="13"/>
  <c r="D41" i="13"/>
  <c r="D40" i="13"/>
  <c r="D39" i="13"/>
  <c r="D35" i="13"/>
  <c r="D33" i="13"/>
  <c r="J29" i="13"/>
  <c r="F25" i="13"/>
  <c r="E23" i="13"/>
  <c r="D23" i="13"/>
  <c r="E22" i="13"/>
  <c r="D22" i="13"/>
  <c r="C22" i="13"/>
  <c r="F21" i="13"/>
  <c r="G21" i="13" s="1"/>
  <c r="F20" i="13"/>
  <c r="G20" i="13" s="1"/>
  <c r="I14" i="13"/>
  <c r="I16" i="13" s="1"/>
  <c r="H14" i="13"/>
  <c r="H16" i="13" s="1"/>
  <c r="D13" i="13"/>
  <c r="C13" i="13"/>
  <c r="E12" i="13"/>
  <c r="D12" i="13"/>
  <c r="E11" i="13"/>
  <c r="D11" i="13"/>
  <c r="A7" i="13"/>
  <c r="A45" i="13" s="1"/>
  <c r="B3" i="13"/>
  <c r="B2" i="13"/>
  <c r="B1" i="13"/>
  <c r="D42" i="12"/>
  <c r="D41" i="12"/>
  <c r="D40" i="12"/>
  <c r="D39" i="12"/>
  <c r="D35" i="12"/>
  <c r="D33" i="12"/>
  <c r="J29" i="12"/>
  <c r="F25" i="12"/>
  <c r="F24" i="12"/>
  <c r="E23" i="12"/>
  <c r="D23" i="12"/>
  <c r="E22" i="12"/>
  <c r="D22" i="12"/>
  <c r="C22" i="12"/>
  <c r="F21" i="12"/>
  <c r="G21" i="12" s="1"/>
  <c r="F20" i="12"/>
  <c r="G20" i="12" s="1"/>
  <c r="I14" i="12"/>
  <c r="I16" i="12" s="1"/>
  <c r="H14" i="12"/>
  <c r="H16" i="12" s="1"/>
  <c r="E13" i="12"/>
  <c r="D13" i="12"/>
  <c r="C13" i="12"/>
  <c r="E12" i="12"/>
  <c r="D12" i="12"/>
  <c r="E11" i="12"/>
  <c r="D11" i="12"/>
  <c r="F23" i="12" s="1"/>
  <c r="K14" i="9" s="1"/>
  <c r="A7" i="12"/>
  <c r="B3" i="12"/>
  <c r="B2" i="12"/>
  <c r="B1" i="12"/>
  <c r="D42" i="10"/>
  <c r="D41" i="10"/>
  <c r="D40" i="10"/>
  <c r="D39" i="10"/>
  <c r="D35" i="10"/>
  <c r="D33" i="10"/>
  <c r="J29" i="10"/>
  <c r="F25" i="10"/>
  <c r="F24" i="10"/>
  <c r="E23" i="10"/>
  <c r="D23" i="10"/>
  <c r="E22" i="10"/>
  <c r="D22" i="10"/>
  <c r="C22" i="10"/>
  <c r="F21" i="10"/>
  <c r="G21" i="10" s="1"/>
  <c r="F20" i="10"/>
  <c r="G20" i="10" s="1"/>
  <c r="I14" i="10"/>
  <c r="I16" i="10" s="1"/>
  <c r="H14" i="10"/>
  <c r="H16" i="10" s="1"/>
  <c r="E13" i="10"/>
  <c r="D13" i="10"/>
  <c r="C13" i="10"/>
  <c r="E12" i="10"/>
  <c r="D12" i="10"/>
  <c r="D11" i="10"/>
  <c r="A7" i="10"/>
  <c r="A44" i="10" s="1"/>
  <c r="B3" i="10"/>
  <c r="B2" i="10"/>
  <c r="B1" i="10"/>
  <c r="E25" i="9"/>
  <c r="B25" i="9"/>
  <c r="E24" i="9"/>
  <c r="E22" i="9"/>
  <c r="E20" i="9"/>
  <c r="E19" i="9"/>
  <c r="L6" i="9"/>
  <c r="K6" i="9"/>
  <c r="J6" i="9"/>
  <c r="I6" i="9"/>
  <c r="H6" i="9"/>
  <c r="G6" i="9"/>
  <c r="F6" i="9"/>
  <c r="L5" i="9"/>
  <c r="K5" i="9"/>
  <c r="J5" i="9"/>
  <c r="I5" i="9"/>
  <c r="H5" i="9"/>
  <c r="G5" i="9"/>
  <c r="F5" i="9"/>
  <c r="B3" i="9"/>
  <c r="B2" i="9"/>
  <c r="B1" i="9"/>
  <c r="K33" i="7"/>
  <c r="L33" i="7" s="1"/>
  <c r="M33" i="7" s="1"/>
  <c r="N33" i="7" s="1"/>
  <c r="O33" i="7" s="1"/>
  <c r="F33" i="7"/>
  <c r="H33" i="7" s="1"/>
  <c r="K32" i="7"/>
  <c r="L32" i="7" s="1"/>
  <c r="M32" i="7" s="1"/>
  <c r="N32" i="7" s="1"/>
  <c r="O32" i="7" s="1"/>
  <c r="K31" i="7"/>
  <c r="L31" i="7" s="1"/>
  <c r="M31" i="7" s="1"/>
  <c r="N31" i="7" s="1"/>
  <c r="O31" i="7" s="1"/>
  <c r="K26" i="7"/>
  <c r="L26" i="7" s="1"/>
  <c r="M26" i="7" s="1"/>
  <c r="N26" i="7" s="1"/>
  <c r="O26" i="7" s="1"/>
  <c r="A26" i="7"/>
  <c r="F24" i="7" s="1"/>
  <c r="H24" i="7" s="1"/>
  <c r="K25" i="7"/>
  <c r="L25" i="7" s="1"/>
  <c r="M25" i="7" s="1"/>
  <c r="N25" i="7" s="1"/>
  <c r="O25" i="7" s="1"/>
  <c r="K24" i="7"/>
  <c r="L24" i="7" s="1"/>
  <c r="M24" i="7" s="1"/>
  <c r="N24" i="7" s="1"/>
  <c r="O24" i="7" s="1"/>
  <c r="K19" i="7"/>
  <c r="L19" i="7" s="1"/>
  <c r="M19" i="7" s="1"/>
  <c r="N19" i="7" s="1"/>
  <c r="O19" i="7" s="1"/>
  <c r="A19" i="7"/>
  <c r="F18" i="7" s="1"/>
  <c r="H18" i="7" s="1"/>
  <c r="K18" i="7"/>
  <c r="L18" i="7" s="1"/>
  <c r="M18" i="7" s="1"/>
  <c r="N18" i="7" s="1"/>
  <c r="O18" i="7" s="1"/>
  <c r="K17" i="7"/>
  <c r="L17" i="7" s="1"/>
  <c r="M17" i="7" s="1"/>
  <c r="N17" i="7" s="1"/>
  <c r="O17" i="7" s="1"/>
  <c r="K12" i="7"/>
  <c r="L12" i="7" s="1"/>
  <c r="M12" i="7" s="1"/>
  <c r="N12" i="7" s="1"/>
  <c r="O12" i="7" s="1"/>
  <c r="A12" i="7"/>
  <c r="F10" i="7" s="1"/>
  <c r="H10" i="7" s="1"/>
  <c r="K11" i="7"/>
  <c r="L11" i="7" s="1"/>
  <c r="M11" i="7" s="1"/>
  <c r="N11" i="7" s="1"/>
  <c r="O11" i="7" s="1"/>
  <c r="K10" i="7"/>
  <c r="L10" i="7" s="1"/>
  <c r="M10" i="7" s="1"/>
  <c r="N10" i="7" s="1"/>
  <c r="O10" i="7" s="1"/>
  <c r="K9" i="7"/>
  <c r="L9" i="7" s="1"/>
  <c r="M9" i="7" s="1"/>
  <c r="N9" i="7" s="1"/>
  <c r="O9" i="7" s="1"/>
  <c r="B3" i="7"/>
  <c r="B2" i="7"/>
  <c r="B1" i="7"/>
  <c r="E10" i="6"/>
  <c r="F10" i="6" s="1"/>
  <c r="G10" i="6" s="1"/>
  <c r="E9" i="6"/>
  <c r="F9" i="6" s="1"/>
  <c r="G9" i="6" s="1"/>
  <c r="B3" i="6"/>
  <c r="B2" i="6"/>
  <c r="B1" i="6"/>
  <c r="C48" i="5"/>
  <c r="C49" i="5" s="1"/>
  <c r="C56" i="5" s="1"/>
  <c r="C43" i="5"/>
  <c r="C42" i="5"/>
  <c r="C41" i="5"/>
  <c r="C39" i="5"/>
  <c r="E9" i="9" s="1"/>
  <c r="C36" i="5"/>
  <c r="C34" i="5"/>
  <c r="C33" i="5"/>
  <c r="H56" i="5" s="1"/>
  <c r="C31" i="5"/>
  <c r="C27" i="5"/>
  <c r="C21" i="5"/>
  <c r="C22" i="5" s="1"/>
  <c r="F53" i="5" s="1"/>
  <c r="B3" i="5"/>
  <c r="B2" i="5"/>
  <c r="B1" i="5"/>
  <c r="F76" i="4"/>
  <c r="G76" i="4" s="1"/>
  <c r="H76" i="4" s="1"/>
  <c r="I76" i="4" s="1"/>
  <c r="J76" i="4" s="1"/>
  <c r="G58" i="4"/>
  <c r="G94" i="1" s="1"/>
  <c r="B50" i="4"/>
  <c r="G40" i="4"/>
  <c r="C23" i="16" s="1"/>
  <c r="G25" i="4"/>
  <c r="C16" i="5" s="1"/>
  <c r="F13" i="4"/>
  <c r="M13" i="4" s="1"/>
  <c r="L8" i="9" s="1"/>
  <c r="F12" i="4"/>
  <c r="M12" i="4" s="1"/>
  <c r="K8" i="9" s="1"/>
  <c r="K9" i="9" s="1"/>
  <c r="F11" i="4"/>
  <c r="M11" i="4" s="1"/>
  <c r="J8" i="9" s="1"/>
  <c r="F10" i="4"/>
  <c r="F9" i="4"/>
  <c r="F8" i="4"/>
  <c r="M8" i="4" s="1"/>
  <c r="G8" i="9" s="1"/>
  <c r="H7" i="4"/>
  <c r="F7" i="4"/>
  <c r="M7" i="4" s="1"/>
  <c r="S6" i="4"/>
  <c r="Q6" i="4"/>
  <c r="P6" i="4"/>
  <c r="O6" i="4"/>
  <c r="A4" i="4"/>
  <c r="B3" i="4"/>
  <c r="B2" i="4"/>
  <c r="B1" i="4"/>
  <c r="O66" i="2"/>
  <c r="P66" i="2" s="1"/>
  <c r="Q66" i="2" s="1"/>
  <c r="R66" i="2" s="1"/>
  <c r="S66" i="2" s="1"/>
  <c r="O65" i="2"/>
  <c r="P65" i="2" s="1"/>
  <c r="Q65" i="2" s="1"/>
  <c r="R65" i="2" s="1"/>
  <c r="S65" i="2" s="1"/>
  <c r="O64" i="2"/>
  <c r="P64" i="2" s="1"/>
  <c r="Q64" i="2" s="1"/>
  <c r="R64" i="2" s="1"/>
  <c r="S64" i="2" s="1"/>
  <c r="O63" i="2"/>
  <c r="P63" i="2" s="1"/>
  <c r="Q63" i="2" s="1"/>
  <c r="R63" i="2" s="1"/>
  <c r="S63" i="2" s="1"/>
  <c r="O62" i="2"/>
  <c r="P62" i="2" s="1"/>
  <c r="Q62" i="2" s="1"/>
  <c r="R62" i="2" s="1"/>
  <c r="S62" i="2" s="1"/>
  <c r="O61" i="2"/>
  <c r="P61" i="2" s="1"/>
  <c r="Q61" i="2" s="1"/>
  <c r="R61" i="2" s="1"/>
  <c r="S61" i="2" s="1"/>
  <c r="O52" i="2"/>
  <c r="P52" i="2" s="1"/>
  <c r="Q52" i="2" s="1"/>
  <c r="R52" i="2" s="1"/>
  <c r="S52" i="2" s="1"/>
  <c r="O51" i="2"/>
  <c r="P51" i="2" s="1"/>
  <c r="Q51" i="2" s="1"/>
  <c r="R51" i="2" s="1"/>
  <c r="S51" i="2" s="1"/>
  <c r="O45" i="2"/>
  <c r="P45" i="2" s="1"/>
  <c r="Q45" i="2" s="1"/>
  <c r="R45" i="2" s="1"/>
  <c r="S45" i="2" s="1"/>
  <c r="O38" i="2"/>
  <c r="P38" i="2" s="1"/>
  <c r="Q38" i="2" s="1"/>
  <c r="R38" i="2" s="1"/>
  <c r="S38" i="2" s="1"/>
  <c r="O37" i="2"/>
  <c r="P37" i="2" s="1"/>
  <c r="Q37" i="2" s="1"/>
  <c r="R37" i="2" s="1"/>
  <c r="S37" i="2" s="1"/>
  <c r="O36" i="2"/>
  <c r="P36" i="2" s="1"/>
  <c r="Q36" i="2" s="1"/>
  <c r="R36" i="2" s="1"/>
  <c r="S36" i="2" s="1"/>
  <c r="O35" i="2"/>
  <c r="P35" i="2" s="1"/>
  <c r="Q35" i="2" s="1"/>
  <c r="R35" i="2" s="1"/>
  <c r="S35" i="2" s="1"/>
  <c r="O34" i="2"/>
  <c r="P34" i="2" s="1"/>
  <c r="Q34" i="2" s="1"/>
  <c r="R34" i="2" s="1"/>
  <c r="S34" i="2" s="1"/>
  <c r="O33" i="2"/>
  <c r="P33" i="2" s="1"/>
  <c r="Q33" i="2" s="1"/>
  <c r="R33" i="2" s="1"/>
  <c r="S33" i="2" s="1"/>
  <c r="O32" i="2"/>
  <c r="P32" i="2" s="1"/>
  <c r="Q32" i="2" s="1"/>
  <c r="R32" i="2" s="1"/>
  <c r="S32" i="2" s="1"/>
  <c r="O31" i="2"/>
  <c r="P31" i="2" s="1"/>
  <c r="Q31" i="2" s="1"/>
  <c r="R31" i="2" s="1"/>
  <c r="S31" i="2" s="1"/>
  <c r="O30" i="2"/>
  <c r="P30" i="2" s="1"/>
  <c r="Q30" i="2" s="1"/>
  <c r="R30" i="2" s="1"/>
  <c r="S30" i="2" s="1"/>
  <c r="O29" i="2"/>
  <c r="P29" i="2" s="1"/>
  <c r="Q29" i="2" s="1"/>
  <c r="R29" i="2" s="1"/>
  <c r="S29" i="2" s="1"/>
  <c r="O28" i="2"/>
  <c r="P28" i="2" s="1"/>
  <c r="Q28" i="2" s="1"/>
  <c r="R28" i="2" s="1"/>
  <c r="S28" i="2" s="1"/>
  <c r="O27" i="2"/>
  <c r="P27" i="2" s="1"/>
  <c r="Q27" i="2" s="1"/>
  <c r="R27" i="2" s="1"/>
  <c r="S27" i="2" s="1"/>
  <c r="O26" i="2"/>
  <c r="P26" i="2" s="1"/>
  <c r="Q26" i="2" s="1"/>
  <c r="R26" i="2" s="1"/>
  <c r="S26" i="2" s="1"/>
  <c r="O25" i="2"/>
  <c r="P25" i="2" s="1"/>
  <c r="Q25" i="2" s="1"/>
  <c r="R25" i="2" s="1"/>
  <c r="S25" i="2" s="1"/>
  <c r="O24" i="2"/>
  <c r="P24" i="2" s="1"/>
  <c r="Q24" i="2" s="1"/>
  <c r="R24" i="2" s="1"/>
  <c r="S24" i="2" s="1"/>
  <c r="O23" i="2"/>
  <c r="P23" i="2" s="1"/>
  <c r="Q23" i="2" s="1"/>
  <c r="R23" i="2" s="1"/>
  <c r="S23" i="2" s="1"/>
  <c r="O22" i="2"/>
  <c r="P22" i="2" s="1"/>
  <c r="Q22" i="2" s="1"/>
  <c r="R22" i="2" s="1"/>
  <c r="S22" i="2" s="1"/>
  <c r="O21" i="2"/>
  <c r="P21" i="2" s="1"/>
  <c r="Q21" i="2" s="1"/>
  <c r="R21" i="2" s="1"/>
  <c r="S21" i="2" s="1"/>
  <c r="O20" i="2"/>
  <c r="P20" i="2" s="1"/>
  <c r="Q20" i="2" s="1"/>
  <c r="R20" i="2" s="1"/>
  <c r="S20" i="2" s="1"/>
  <c r="O19" i="2"/>
  <c r="P19" i="2" s="1"/>
  <c r="Q19" i="2" s="1"/>
  <c r="R19" i="2" s="1"/>
  <c r="S19" i="2" s="1"/>
  <c r="O18" i="2"/>
  <c r="P18" i="2" s="1"/>
  <c r="Q18" i="2" s="1"/>
  <c r="R18" i="2" s="1"/>
  <c r="S18" i="2" s="1"/>
  <c r="O17" i="2"/>
  <c r="P17" i="2" s="1"/>
  <c r="Q17" i="2" s="1"/>
  <c r="R17" i="2" s="1"/>
  <c r="S17" i="2" s="1"/>
  <c r="O16" i="2"/>
  <c r="P16" i="2" s="1"/>
  <c r="Q16" i="2" s="1"/>
  <c r="R16" i="2" s="1"/>
  <c r="S16" i="2" s="1"/>
  <c r="O15" i="2"/>
  <c r="P15" i="2" s="1"/>
  <c r="Q15" i="2" s="1"/>
  <c r="R15" i="2" s="1"/>
  <c r="S15" i="2" s="1"/>
  <c r="O14" i="2"/>
  <c r="P14" i="2" s="1"/>
  <c r="Q14" i="2" s="1"/>
  <c r="R14" i="2" s="1"/>
  <c r="S14" i="2" s="1"/>
  <c r="O13" i="2"/>
  <c r="P13" i="2" s="1"/>
  <c r="Q13" i="2" s="1"/>
  <c r="R13" i="2" s="1"/>
  <c r="S13" i="2" s="1"/>
  <c r="O12" i="2"/>
  <c r="P12" i="2" s="1"/>
  <c r="Q12" i="2" s="1"/>
  <c r="R12" i="2" s="1"/>
  <c r="S12" i="2" s="1"/>
  <c r="O11" i="2"/>
  <c r="P11" i="2" s="1"/>
  <c r="Q11" i="2" s="1"/>
  <c r="R11" i="2" s="1"/>
  <c r="S11" i="2" s="1"/>
  <c r="O10" i="2"/>
  <c r="P10" i="2" s="1"/>
  <c r="Q10" i="2" s="1"/>
  <c r="R10" i="2" s="1"/>
  <c r="S10" i="2" s="1"/>
  <c r="O9" i="2"/>
  <c r="P9" i="2" s="1"/>
  <c r="Q9" i="2" s="1"/>
  <c r="R9" i="2" s="1"/>
  <c r="S9" i="2" s="1"/>
  <c r="B3" i="2"/>
  <c r="B2" i="2"/>
  <c r="B1" i="2"/>
  <c r="G93" i="1"/>
  <c r="G92" i="1"/>
  <c r="G79" i="1"/>
  <c r="G78" i="1"/>
  <c r="L76" i="1"/>
  <c r="L70" i="1"/>
  <c r="L69" i="1"/>
  <c r="L68" i="1"/>
  <c r="G61" i="1"/>
  <c r="G60" i="1"/>
  <c r="F22" i="1"/>
  <c r="S17" i="1"/>
  <c r="R17" i="1"/>
  <c r="P17" i="1"/>
  <c r="K17" i="1"/>
  <c r="K18" i="18" s="1"/>
  <c r="F17" i="1"/>
  <c r="H18" i="18" s="1"/>
  <c r="C17" i="1"/>
  <c r="B17" i="1"/>
  <c r="A17" i="1"/>
  <c r="S16" i="1"/>
  <c r="R16" i="1"/>
  <c r="K16" i="1"/>
  <c r="K17" i="18" s="1"/>
  <c r="F16" i="1"/>
  <c r="H17" i="18" s="1"/>
  <c r="C16" i="1"/>
  <c r="B16" i="1"/>
  <c r="A16" i="1"/>
  <c r="S15" i="1"/>
  <c r="R15" i="1"/>
  <c r="K15" i="1"/>
  <c r="K16" i="18" s="1"/>
  <c r="F15" i="1"/>
  <c r="H16" i="18" s="1"/>
  <c r="C15" i="1"/>
  <c r="B15" i="1"/>
  <c r="A15" i="1"/>
  <c r="S14" i="1"/>
  <c r="P14" i="1"/>
  <c r="K14" i="1"/>
  <c r="K15" i="18" s="1"/>
  <c r="F14" i="1"/>
  <c r="H15" i="18" s="1"/>
  <c r="C14" i="1"/>
  <c r="B14" i="1"/>
  <c r="A14" i="1"/>
  <c r="S13" i="1"/>
  <c r="P13" i="1"/>
  <c r="K13" i="1"/>
  <c r="K14" i="18" s="1"/>
  <c r="F13" i="1"/>
  <c r="H14" i="18" s="1"/>
  <c r="C13" i="1"/>
  <c r="B13" i="1"/>
  <c r="A13" i="1"/>
  <c r="S12" i="1"/>
  <c r="K12" i="1"/>
  <c r="K13" i="18" s="1"/>
  <c r="F12" i="1"/>
  <c r="H13" i="18" s="1"/>
  <c r="C12" i="1"/>
  <c r="B12" i="1"/>
  <c r="A12" i="1"/>
  <c r="S11" i="1"/>
  <c r="P11" i="1"/>
  <c r="K11" i="1"/>
  <c r="K12" i="18" s="1"/>
  <c r="F11" i="1"/>
  <c r="H12" i="18" s="1"/>
  <c r="C11" i="1"/>
  <c r="B11" i="1"/>
  <c r="A11" i="1"/>
  <c r="F5" i="1"/>
  <c r="E5" i="1"/>
  <c r="B3" i="1"/>
  <c r="B2" i="1"/>
  <c r="B1" i="1"/>
  <c r="F11" i="13" l="1"/>
  <c r="G11" i="13" s="1"/>
  <c r="F12" i="14"/>
  <c r="D36" i="15"/>
  <c r="F12" i="16"/>
  <c r="G12" i="16" s="1"/>
  <c r="AB11" i="19"/>
  <c r="AB12" i="19" s="1"/>
  <c r="AB13" i="19" s="1"/>
  <c r="AB14" i="19" s="1"/>
  <c r="AB15" i="19" s="1"/>
  <c r="AB16" i="19" s="1"/>
  <c r="AB17" i="19" s="1"/>
  <c r="AB18" i="19" s="1"/>
  <c r="AB19" i="19" s="1"/>
  <c r="AB20" i="19" s="1"/>
  <c r="AB21" i="19" s="1"/>
  <c r="AB22" i="19" s="1"/>
  <c r="AB23" i="19" s="1"/>
  <c r="D66" i="4" s="1"/>
  <c r="N66" i="4" s="1"/>
  <c r="AI12" i="19"/>
  <c r="AI13" i="19" s="1"/>
  <c r="AI14" i="19" s="1"/>
  <c r="AI15" i="19" s="1"/>
  <c r="AI16" i="19" s="1"/>
  <c r="AI17" i="19" s="1"/>
  <c r="AI18" i="19" s="1"/>
  <c r="AI19" i="19" s="1"/>
  <c r="AI20" i="19" s="1"/>
  <c r="AI21" i="19" s="1"/>
  <c r="AI22" i="19" s="1"/>
  <c r="AI23" i="19" s="1"/>
  <c r="D67" i="4" s="1"/>
  <c r="N67" i="4" s="1"/>
  <c r="C44" i="5"/>
  <c r="A44" i="13"/>
  <c r="F12" i="13"/>
  <c r="B11" i="14"/>
  <c r="F32" i="7"/>
  <c r="H32" i="7" s="1"/>
  <c r="F11" i="14"/>
  <c r="G11" i="14" s="1"/>
  <c r="F13" i="14"/>
  <c r="G13" i="14" s="1"/>
  <c r="G80" i="1"/>
  <c r="D36" i="10"/>
  <c r="C23" i="12"/>
  <c r="B11" i="13"/>
  <c r="F12" i="17"/>
  <c r="G12" i="17" s="1"/>
  <c r="G62" i="1"/>
  <c r="F11" i="12"/>
  <c r="F9" i="7"/>
  <c r="H9" i="7" s="1"/>
  <c r="F11" i="15"/>
  <c r="G11" i="15" s="1"/>
  <c r="F12" i="12"/>
  <c r="J12" i="12" s="1"/>
  <c r="J14" i="12" s="1"/>
  <c r="A45" i="15"/>
  <c r="G11" i="6"/>
  <c r="F11" i="7"/>
  <c r="H11" i="7" s="1"/>
  <c r="F25" i="7"/>
  <c r="H25" i="7" s="1"/>
  <c r="B11" i="10"/>
  <c r="F12" i="10"/>
  <c r="J12" i="10" s="1"/>
  <c r="J14" i="10" s="1"/>
  <c r="A45" i="17"/>
  <c r="F26" i="7"/>
  <c r="H26" i="7" s="1"/>
  <c r="D43" i="12"/>
  <c r="D43" i="13"/>
  <c r="F12" i="15"/>
  <c r="G12" i="15" s="1"/>
  <c r="F11" i="17"/>
  <c r="F22" i="17" s="1"/>
  <c r="L15" i="9" s="1"/>
  <c r="F11" i="10"/>
  <c r="G11" i="10" s="1"/>
  <c r="D36" i="13"/>
  <c r="B11" i="15"/>
  <c r="F17" i="7"/>
  <c r="H17" i="7" s="1"/>
  <c r="F31" i="7"/>
  <c r="H31" i="7" s="1"/>
  <c r="D43" i="10"/>
  <c r="A45" i="10"/>
  <c r="D36" i="12"/>
  <c r="A45" i="14"/>
  <c r="D43" i="16"/>
  <c r="B11" i="17"/>
  <c r="G68" i="1"/>
  <c r="H68" i="1" s="1"/>
  <c r="J46" i="2"/>
  <c r="K46" i="2" s="1"/>
  <c r="G69" i="1"/>
  <c r="H69" i="1" s="1"/>
  <c r="J47" i="2"/>
  <c r="K47" i="2" s="1"/>
  <c r="G70" i="1"/>
  <c r="H70" i="1" s="1"/>
  <c r="J48" i="2"/>
  <c r="K48" i="2" s="1"/>
  <c r="G76" i="1"/>
  <c r="H76" i="1" s="1"/>
  <c r="J54" i="2"/>
  <c r="K54" i="2" s="1"/>
  <c r="N19" i="18"/>
  <c r="V13" i="1"/>
  <c r="W13" i="1"/>
  <c r="K19" i="18"/>
  <c r="L31" i="1"/>
  <c r="F8" i="9"/>
  <c r="H53" i="5"/>
  <c r="G53" i="5"/>
  <c r="S7" i="4"/>
  <c r="F28" i="13" s="1"/>
  <c r="G28" i="13" s="1"/>
  <c r="S8" i="4"/>
  <c r="F28" i="14" s="1"/>
  <c r="G28" i="14" s="1"/>
  <c r="H20" i="7"/>
  <c r="H21" i="7" s="1"/>
  <c r="S9" i="4"/>
  <c r="L9" i="9"/>
  <c r="G9" i="9"/>
  <c r="H50" i="5"/>
  <c r="C18" i="5"/>
  <c r="C35" i="5" s="1"/>
  <c r="C37" i="5" s="1"/>
  <c r="C54" i="5" s="1"/>
  <c r="C23" i="5"/>
  <c r="E21" i="9"/>
  <c r="F13" i="10"/>
  <c r="G13" i="10" s="1"/>
  <c r="V14" i="1"/>
  <c r="J9" i="9"/>
  <c r="F51" i="5"/>
  <c r="H19" i="18"/>
  <c r="W14" i="1"/>
  <c r="C32" i="5"/>
  <c r="G11" i="12"/>
  <c r="F22" i="12"/>
  <c r="A6" i="18"/>
  <c r="A6" i="16"/>
  <c r="A6" i="13"/>
  <c r="A6" i="17"/>
  <c r="A6" i="15"/>
  <c r="A6" i="14"/>
  <c r="A6" i="10"/>
  <c r="K9" i="4"/>
  <c r="K10" i="4"/>
  <c r="F22" i="10"/>
  <c r="A6" i="12"/>
  <c r="C23" i="13"/>
  <c r="F23" i="13" s="1"/>
  <c r="B11" i="16"/>
  <c r="A44" i="16"/>
  <c r="A45" i="16"/>
  <c r="F52" i="5"/>
  <c r="G12" i="10"/>
  <c r="J12" i="13"/>
  <c r="J14" i="13" s="1"/>
  <c r="G12" i="13"/>
  <c r="H23" i="16"/>
  <c r="H29" i="16" s="1"/>
  <c r="H30" i="16" s="1"/>
  <c r="I14" i="9"/>
  <c r="G23" i="12"/>
  <c r="H23" i="12"/>
  <c r="H29" i="12" s="1"/>
  <c r="H30" i="12" s="1"/>
  <c r="C23" i="17"/>
  <c r="F23" i="17" s="1"/>
  <c r="C23" i="15"/>
  <c r="F23" i="15" s="1"/>
  <c r="C23" i="14"/>
  <c r="F23" i="14" s="1"/>
  <c r="C23" i="10"/>
  <c r="F23" i="10" s="1"/>
  <c r="J12" i="14"/>
  <c r="J14" i="14" s="1"/>
  <c r="G12" i="14"/>
  <c r="A44" i="12"/>
  <c r="A45" i="12"/>
  <c r="F11" i="16"/>
  <c r="F22" i="16" s="1"/>
  <c r="B11" i="12"/>
  <c r="D19" i="18"/>
  <c r="F22" i="13"/>
  <c r="D43" i="15"/>
  <c r="F14" i="17"/>
  <c r="F13" i="12"/>
  <c r="G13" i="12" s="1"/>
  <c r="J12" i="17"/>
  <c r="J14" i="17" s="1"/>
  <c r="Q19" i="18"/>
  <c r="D43" i="17"/>
  <c r="D43" i="14"/>
  <c r="G11" i="19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G22" i="19" s="1"/>
  <c r="G23" i="19" s="1"/>
  <c r="D63" i="4" s="1"/>
  <c r="N63" i="4" s="1"/>
  <c r="U11" i="19"/>
  <c r="U12" i="19" s="1"/>
  <c r="U13" i="19" s="1"/>
  <c r="U14" i="19" s="1"/>
  <c r="U15" i="19" s="1"/>
  <c r="U16" i="19" s="1"/>
  <c r="U17" i="19" s="1"/>
  <c r="U18" i="19" s="1"/>
  <c r="U19" i="19" s="1"/>
  <c r="U20" i="19" s="1"/>
  <c r="U21" i="19" s="1"/>
  <c r="U22" i="19" s="1"/>
  <c r="U23" i="19" s="1"/>
  <c r="D65" i="4" s="1"/>
  <c r="N65" i="4" s="1"/>
  <c r="F13" i="17"/>
  <c r="G13" i="17" s="1"/>
  <c r="J12" i="16" l="1"/>
  <c r="J14" i="16" s="1"/>
  <c r="F22" i="14"/>
  <c r="G14" i="14"/>
  <c r="G11" i="17"/>
  <c r="G14" i="17" s="1"/>
  <c r="H34" i="7"/>
  <c r="H35" i="7" s="1"/>
  <c r="G14" i="9"/>
  <c r="G23" i="14"/>
  <c r="H23" i="14"/>
  <c r="H29" i="14" s="1"/>
  <c r="H30" i="14" s="1"/>
  <c r="H33" i="14" s="1"/>
  <c r="F14" i="14"/>
  <c r="F22" i="15"/>
  <c r="H13" i="7"/>
  <c r="H14" i="7" s="1"/>
  <c r="N7" i="4" s="1"/>
  <c r="F19" i="13" s="1"/>
  <c r="G12" i="12"/>
  <c r="G14" i="12" s="1"/>
  <c r="F14" i="12"/>
  <c r="H27" i="7"/>
  <c r="H28" i="7" s="1"/>
  <c r="N10" i="4" s="1"/>
  <c r="F19" i="16" s="1"/>
  <c r="I22" i="17"/>
  <c r="I29" i="17" s="1"/>
  <c r="I30" i="17" s="1"/>
  <c r="G22" i="17"/>
  <c r="J12" i="15"/>
  <c r="J14" i="15" s="1"/>
  <c r="F14" i="10"/>
  <c r="G31" i="1"/>
  <c r="I31" i="1" s="1"/>
  <c r="J11" i="2"/>
  <c r="K11" i="2" s="1"/>
  <c r="G22" i="12"/>
  <c r="I22" i="12"/>
  <c r="I29" i="12" s="1"/>
  <c r="I30" i="12" s="1"/>
  <c r="K15" i="9"/>
  <c r="K17" i="9" s="1"/>
  <c r="K31" i="9" s="1"/>
  <c r="F54" i="5"/>
  <c r="H51" i="5"/>
  <c r="G51" i="5"/>
  <c r="G22" i="14"/>
  <c r="G15" i="9"/>
  <c r="G17" i="9" s="1"/>
  <c r="G31" i="9" s="1"/>
  <c r="I22" i="14"/>
  <c r="I29" i="14" s="1"/>
  <c r="I30" i="14" s="1"/>
  <c r="H23" i="13"/>
  <c r="H29" i="13" s="1"/>
  <c r="H30" i="13" s="1"/>
  <c r="G23" i="13"/>
  <c r="F14" i="9"/>
  <c r="H23" i="10"/>
  <c r="H29" i="10" s="1"/>
  <c r="H30" i="10" s="1"/>
  <c r="G23" i="10"/>
  <c r="J14" i="9"/>
  <c r="G11" i="16"/>
  <c r="G19" i="16"/>
  <c r="E13" i="16"/>
  <c r="F13" i="16" s="1"/>
  <c r="G13" i="16" s="1"/>
  <c r="L10" i="4"/>
  <c r="M10" i="4" s="1"/>
  <c r="E13" i="13"/>
  <c r="F13" i="13" s="1"/>
  <c r="I22" i="13"/>
  <c r="I29" i="13" s="1"/>
  <c r="I30" i="13" s="1"/>
  <c r="F15" i="9"/>
  <c r="G22" i="13"/>
  <c r="H23" i="15"/>
  <c r="H29" i="15" s="1"/>
  <c r="H30" i="15" s="1"/>
  <c r="G23" i="15"/>
  <c r="H14" i="9"/>
  <c r="E13" i="15"/>
  <c r="F13" i="15" s="1"/>
  <c r="L9" i="4"/>
  <c r="M9" i="4" s="1"/>
  <c r="N13" i="4"/>
  <c r="N11" i="4"/>
  <c r="N12" i="4"/>
  <c r="I22" i="16"/>
  <c r="I29" i="16" s="1"/>
  <c r="I30" i="16" s="1"/>
  <c r="G22" i="16"/>
  <c r="I15" i="9"/>
  <c r="I17" i="9" s="1"/>
  <c r="I31" i="9" s="1"/>
  <c r="I33" i="17"/>
  <c r="I34" i="17" s="1"/>
  <c r="I35" i="17" s="1"/>
  <c r="G23" i="17"/>
  <c r="H23" i="17"/>
  <c r="H29" i="17" s="1"/>
  <c r="H30" i="17" s="1"/>
  <c r="L14" i="9"/>
  <c r="L17" i="9" s="1"/>
  <c r="L31" i="9" s="1"/>
  <c r="H52" i="5"/>
  <c r="G52" i="5"/>
  <c r="G22" i="10"/>
  <c r="I22" i="10"/>
  <c r="I29" i="10" s="1"/>
  <c r="I30" i="10" s="1"/>
  <c r="J15" i="9"/>
  <c r="C28" i="5"/>
  <c r="C29" i="5" s="1"/>
  <c r="C53" i="5" s="1"/>
  <c r="C45" i="5"/>
  <c r="C46" i="5" s="1"/>
  <c r="C55" i="5" s="1"/>
  <c r="H49" i="5"/>
  <c r="E10" i="9"/>
  <c r="F10" i="9" s="1"/>
  <c r="C24" i="5"/>
  <c r="C25" i="5" s="1"/>
  <c r="C52" i="5" s="1"/>
  <c r="C51" i="5"/>
  <c r="H33" i="16"/>
  <c r="H34" i="16" s="1"/>
  <c r="H35" i="16" s="1"/>
  <c r="H33" i="12"/>
  <c r="H34" i="12" s="1"/>
  <c r="H35" i="12" s="1"/>
  <c r="G14" i="10"/>
  <c r="F9" i="9"/>
  <c r="N8" i="4" l="1"/>
  <c r="F19" i="14" s="1"/>
  <c r="N9" i="4"/>
  <c r="F19" i="15" s="1"/>
  <c r="G14" i="16"/>
  <c r="H15" i="9"/>
  <c r="H17" i="9" s="1"/>
  <c r="H31" i="9" s="1"/>
  <c r="G22" i="15"/>
  <c r="I22" i="15"/>
  <c r="I29" i="15" s="1"/>
  <c r="I30" i="15" s="1"/>
  <c r="I33" i="15" s="1"/>
  <c r="I34" i="15" s="1"/>
  <c r="I35" i="15" s="1"/>
  <c r="G54" i="5"/>
  <c r="G55" i="5" s="1"/>
  <c r="G57" i="5" s="1"/>
  <c r="G59" i="5" s="1"/>
  <c r="F11" i="9"/>
  <c r="F12" i="9" s="1"/>
  <c r="F30" i="9" s="1"/>
  <c r="F14" i="16"/>
  <c r="H31" i="1"/>
  <c r="I76" i="1"/>
  <c r="I69" i="1"/>
  <c r="I68" i="1"/>
  <c r="I70" i="1"/>
  <c r="H33" i="15"/>
  <c r="H34" i="15" s="1"/>
  <c r="H35" i="15" s="1"/>
  <c r="I33" i="14"/>
  <c r="J10" i="9"/>
  <c r="J11" i="9" s="1"/>
  <c r="J12" i="9" s="1"/>
  <c r="J30" i="9" s="1"/>
  <c r="K10" i="9"/>
  <c r="K11" i="9" s="1"/>
  <c r="K12" i="9" s="1"/>
  <c r="K30" i="9" s="1"/>
  <c r="K32" i="9" s="1"/>
  <c r="G10" i="9"/>
  <c r="G11" i="9" s="1"/>
  <c r="G12" i="9" s="1"/>
  <c r="G30" i="9" s="1"/>
  <c r="G32" i="9" s="1"/>
  <c r="L10" i="9"/>
  <c r="L11" i="9" s="1"/>
  <c r="L12" i="9" s="1"/>
  <c r="L30" i="9" s="1"/>
  <c r="L32" i="9" s="1"/>
  <c r="E11" i="9"/>
  <c r="I33" i="16"/>
  <c r="I34" i="16" s="1"/>
  <c r="I35" i="16" s="1"/>
  <c r="H54" i="5"/>
  <c r="I33" i="10"/>
  <c r="I34" i="10" s="1"/>
  <c r="I35" i="10" s="1"/>
  <c r="J17" i="9"/>
  <c r="J31" i="9" s="1"/>
  <c r="F55" i="5"/>
  <c r="F57" i="5" s="1"/>
  <c r="F59" i="5" s="1"/>
  <c r="I33" i="12"/>
  <c r="I34" i="12" s="1"/>
  <c r="I35" i="12" s="1"/>
  <c r="G19" i="14"/>
  <c r="G29" i="14" s="1"/>
  <c r="H8" i="9"/>
  <c r="M14" i="4"/>
  <c r="I33" i="13"/>
  <c r="I34" i="13" s="1"/>
  <c r="I35" i="13" s="1"/>
  <c r="G13" i="13"/>
  <c r="G14" i="13" s="1"/>
  <c r="F14" i="13"/>
  <c r="G13" i="15"/>
  <c r="G14" i="15" s="1"/>
  <c r="F14" i="15"/>
  <c r="I8" i="9"/>
  <c r="H33" i="10"/>
  <c r="H34" i="10" s="1"/>
  <c r="H35" i="10" s="1"/>
  <c r="F17" i="9"/>
  <c r="F31" i="9" s="1"/>
  <c r="H33" i="17"/>
  <c r="H36" i="12"/>
  <c r="H37" i="12" s="1"/>
  <c r="H44" i="12" s="1"/>
  <c r="H45" i="12" s="1"/>
  <c r="G19" i="15"/>
  <c r="I36" i="17"/>
  <c r="I37" i="17" s="1"/>
  <c r="I44" i="17" s="1"/>
  <c r="I45" i="17" s="1"/>
  <c r="F19" i="17"/>
  <c r="F19" i="12"/>
  <c r="F19" i="10"/>
  <c r="G29" i="16"/>
  <c r="H34" i="14"/>
  <c r="H35" i="14" s="1"/>
  <c r="H36" i="14" s="1"/>
  <c r="H37" i="14" s="1"/>
  <c r="H44" i="14" s="1"/>
  <c r="H45" i="14" s="1"/>
  <c r="H36" i="16"/>
  <c r="H37" i="16" s="1"/>
  <c r="H44" i="16" s="1"/>
  <c r="H45" i="16" s="1"/>
  <c r="C57" i="5"/>
  <c r="G19" i="13"/>
  <c r="G29" i="13" s="1"/>
  <c r="H33" i="13"/>
  <c r="F32" i="9" l="1"/>
  <c r="I36" i="15"/>
  <c r="I37" i="15" s="1"/>
  <c r="I44" i="15" s="1"/>
  <c r="I45" i="15" s="1"/>
  <c r="I39" i="15" s="1"/>
  <c r="G29" i="15"/>
  <c r="J32" i="9"/>
  <c r="J19" i="9" s="1"/>
  <c r="F19" i="9"/>
  <c r="P13" i="18"/>
  <c r="R13" i="18" s="1"/>
  <c r="H39" i="14"/>
  <c r="H42" i="14"/>
  <c r="H41" i="14"/>
  <c r="H40" i="14"/>
  <c r="E15" i="15"/>
  <c r="E15" i="17"/>
  <c r="E15" i="13"/>
  <c r="E15" i="14"/>
  <c r="E15" i="10"/>
  <c r="E15" i="16"/>
  <c r="G23" i="4"/>
  <c r="E15" i="12"/>
  <c r="G19" i="12"/>
  <c r="G29" i="12" s="1"/>
  <c r="F29" i="12"/>
  <c r="K19" i="9"/>
  <c r="F29" i="17"/>
  <c r="G19" i="17"/>
  <c r="G29" i="17" s="1"/>
  <c r="I36" i="10"/>
  <c r="I37" i="10" s="1"/>
  <c r="I44" i="10" s="1"/>
  <c r="I45" i="10" s="1"/>
  <c r="I41" i="15"/>
  <c r="I40" i="17"/>
  <c r="I41" i="17"/>
  <c r="G18" i="18"/>
  <c r="I18" i="18" s="1"/>
  <c r="I42" i="17"/>
  <c r="I39" i="17"/>
  <c r="I36" i="13"/>
  <c r="I37" i="13" s="1"/>
  <c r="I44" i="13" s="1"/>
  <c r="I45" i="13" s="1"/>
  <c r="H36" i="10"/>
  <c r="H37" i="10" s="1"/>
  <c r="H44" i="10" s="1"/>
  <c r="H45" i="10" s="1"/>
  <c r="H34" i="17"/>
  <c r="H35" i="17" s="1"/>
  <c r="H36" i="17" s="1"/>
  <c r="H37" i="17" s="1"/>
  <c r="H44" i="17" s="1"/>
  <c r="H45" i="17" s="1"/>
  <c r="I10" i="9"/>
  <c r="I9" i="9"/>
  <c r="I36" i="16"/>
  <c r="I37" i="16" s="1"/>
  <c r="I44" i="16" s="1"/>
  <c r="I45" i="16" s="1"/>
  <c r="H55" i="5"/>
  <c r="H57" i="5" s="1"/>
  <c r="H59" i="5" s="1"/>
  <c r="H36" i="15"/>
  <c r="H37" i="15" s="1"/>
  <c r="H44" i="15" s="1"/>
  <c r="H45" i="15" s="1"/>
  <c r="G19" i="9"/>
  <c r="H39" i="16"/>
  <c r="H41" i="16"/>
  <c r="H40" i="16"/>
  <c r="P15" i="18"/>
  <c r="R15" i="18" s="1"/>
  <c r="H42" i="16"/>
  <c r="I36" i="12"/>
  <c r="I37" i="12" s="1"/>
  <c r="I44" i="12" s="1"/>
  <c r="I45" i="12" s="1"/>
  <c r="H34" i="13"/>
  <c r="H35" i="13" s="1"/>
  <c r="H36" i="13" s="1"/>
  <c r="H37" i="13" s="1"/>
  <c r="H44" i="13" s="1"/>
  <c r="H45" i="13" s="1"/>
  <c r="H41" i="12"/>
  <c r="P17" i="18"/>
  <c r="R17" i="18" s="1"/>
  <c r="H39" i="12"/>
  <c r="H42" i="12"/>
  <c r="H40" i="12"/>
  <c r="H10" i="9"/>
  <c r="H9" i="9"/>
  <c r="F29" i="10"/>
  <c r="G19" i="10"/>
  <c r="G29" i="10" s="1"/>
  <c r="L19" i="9"/>
  <c r="I34" i="14"/>
  <c r="I35" i="14" s="1"/>
  <c r="I36" i="14" s="1"/>
  <c r="I37" i="14" s="1"/>
  <c r="I44" i="14" s="1"/>
  <c r="I45" i="14" s="1"/>
  <c r="I40" i="15" l="1"/>
  <c r="G14" i="18"/>
  <c r="I14" i="18" s="1"/>
  <c r="I42" i="15"/>
  <c r="I43" i="15" s="1"/>
  <c r="I11" i="9"/>
  <c r="I12" i="9" s="1"/>
  <c r="I30" i="9" s="1"/>
  <c r="I32" i="9" s="1"/>
  <c r="I19" i="9" s="1"/>
  <c r="H43" i="12"/>
  <c r="P12" i="18"/>
  <c r="R12" i="18" s="1"/>
  <c r="H42" i="13"/>
  <c r="H39" i="13"/>
  <c r="H40" i="13"/>
  <c r="H41" i="13"/>
  <c r="G13" i="18"/>
  <c r="I13" i="18" s="1"/>
  <c r="I40" i="14"/>
  <c r="I41" i="14"/>
  <c r="I42" i="14"/>
  <c r="I39" i="14"/>
  <c r="F15" i="13"/>
  <c r="J15" i="13"/>
  <c r="J16" i="13" s="1"/>
  <c r="J30" i="13" s="1"/>
  <c r="J15" i="17"/>
  <c r="J16" i="17" s="1"/>
  <c r="J30" i="17" s="1"/>
  <c r="F15" i="17"/>
  <c r="F15" i="12"/>
  <c r="J15" i="12"/>
  <c r="J16" i="12" s="1"/>
  <c r="J30" i="12" s="1"/>
  <c r="J15" i="15"/>
  <c r="J16" i="15" s="1"/>
  <c r="J30" i="15" s="1"/>
  <c r="F15" i="15"/>
  <c r="G15" i="18"/>
  <c r="I15" i="18" s="1"/>
  <c r="I40" i="16"/>
  <c r="I41" i="16"/>
  <c r="I42" i="16"/>
  <c r="I39" i="16"/>
  <c r="G12" i="18"/>
  <c r="I12" i="18" s="1"/>
  <c r="I39" i="13"/>
  <c r="I41" i="13"/>
  <c r="I40" i="13"/>
  <c r="I42" i="13"/>
  <c r="P14" i="18"/>
  <c r="R14" i="18" s="1"/>
  <c r="H40" i="15"/>
  <c r="H41" i="15"/>
  <c r="H39" i="15"/>
  <c r="H42" i="15"/>
  <c r="H43" i="16"/>
  <c r="P18" i="18"/>
  <c r="R18" i="18" s="1"/>
  <c r="H41" i="17"/>
  <c r="H39" i="17"/>
  <c r="H42" i="17"/>
  <c r="H40" i="17"/>
  <c r="J15" i="16"/>
  <c r="J16" i="16" s="1"/>
  <c r="J30" i="16" s="1"/>
  <c r="F15" i="16"/>
  <c r="J20" i="9"/>
  <c r="J21" i="9" s="1"/>
  <c r="G20" i="9"/>
  <c r="G21" i="9" s="1"/>
  <c r="G26" i="9" s="1"/>
  <c r="G33" i="9" s="1"/>
  <c r="G34" i="9" s="1"/>
  <c r="I43" i="17"/>
  <c r="K20" i="9"/>
  <c r="K21" i="9" s="1"/>
  <c r="K26" i="9" s="1"/>
  <c r="K33" i="9" s="1"/>
  <c r="K34" i="9" s="1"/>
  <c r="J15" i="10"/>
  <c r="J16" i="10" s="1"/>
  <c r="J30" i="10" s="1"/>
  <c r="F15" i="10"/>
  <c r="F20" i="9"/>
  <c r="F21" i="9" s="1"/>
  <c r="L20" i="9"/>
  <c r="L21" i="9" s="1"/>
  <c r="T16" i="1"/>
  <c r="T12" i="1"/>
  <c r="T15" i="1"/>
  <c r="T11" i="1"/>
  <c r="T17" i="1"/>
  <c r="T13" i="1"/>
  <c r="W17" i="1" s="1"/>
  <c r="T14" i="1"/>
  <c r="H11" i="9"/>
  <c r="H12" i="9" s="1"/>
  <c r="H30" i="9" s="1"/>
  <c r="H32" i="9" s="1"/>
  <c r="H43" i="14"/>
  <c r="G17" i="18"/>
  <c r="I17" i="18" s="1"/>
  <c r="I42" i="12"/>
  <c r="I40" i="12"/>
  <c r="I41" i="12"/>
  <c r="I39" i="12"/>
  <c r="P16" i="18"/>
  <c r="R16" i="18" s="1"/>
  <c r="H41" i="10"/>
  <c r="H42" i="10"/>
  <c r="H40" i="10"/>
  <c r="H39" i="10"/>
  <c r="I40" i="10"/>
  <c r="I41" i="10"/>
  <c r="I42" i="10"/>
  <c r="G16" i="18"/>
  <c r="I16" i="18" s="1"/>
  <c r="I39" i="10"/>
  <c r="J15" i="14"/>
  <c r="J16" i="14" s="1"/>
  <c r="J30" i="14" s="1"/>
  <c r="F15" i="14"/>
  <c r="H43" i="10" l="1"/>
  <c r="W11" i="1"/>
  <c r="F26" i="9"/>
  <c r="F33" i="9" s="1"/>
  <c r="F34" i="9" s="1"/>
  <c r="F22" i="9" s="1"/>
  <c r="H43" i="17"/>
  <c r="L26" i="9"/>
  <c r="L33" i="9" s="1"/>
  <c r="L34" i="9" s="1"/>
  <c r="L23" i="9" s="1"/>
  <c r="F25" i="9"/>
  <c r="M17" i="18"/>
  <c r="O17" i="18" s="1"/>
  <c r="K23" i="9"/>
  <c r="K22" i="9"/>
  <c r="K25" i="9"/>
  <c r="K24" i="9"/>
  <c r="M13" i="18"/>
  <c r="O13" i="18" s="1"/>
  <c r="G23" i="9"/>
  <c r="G24" i="9"/>
  <c r="G22" i="9"/>
  <c r="G25" i="9"/>
  <c r="H43" i="15"/>
  <c r="I19" i="18"/>
  <c r="H18" i="1" s="1"/>
  <c r="J33" i="12"/>
  <c r="J34" i="12" s="1"/>
  <c r="J35" i="12" s="1"/>
  <c r="J33" i="17"/>
  <c r="I43" i="12"/>
  <c r="T18" i="1"/>
  <c r="W12" i="1"/>
  <c r="I43" i="16"/>
  <c r="G15" i="12"/>
  <c r="G16" i="12" s="1"/>
  <c r="G30" i="12" s="1"/>
  <c r="F16" i="12"/>
  <c r="F30" i="12" s="1"/>
  <c r="G15" i="10"/>
  <c r="G16" i="10" s="1"/>
  <c r="G30" i="10" s="1"/>
  <c r="F16" i="10"/>
  <c r="F30" i="10" s="1"/>
  <c r="J33" i="10"/>
  <c r="J34" i="10" s="1"/>
  <c r="J35" i="10" s="1"/>
  <c r="J26" i="9"/>
  <c r="J33" i="9" s="1"/>
  <c r="J34" i="9" s="1"/>
  <c r="I20" i="9"/>
  <c r="I21" i="9" s="1"/>
  <c r="J33" i="13"/>
  <c r="J34" i="13" s="1"/>
  <c r="J35" i="13" s="1"/>
  <c r="G15" i="14"/>
  <c r="G16" i="14" s="1"/>
  <c r="G30" i="14" s="1"/>
  <c r="F16" i="14"/>
  <c r="H19" i="9"/>
  <c r="G15" i="16"/>
  <c r="G16" i="16" s="1"/>
  <c r="G30" i="16" s="1"/>
  <c r="F16" i="16"/>
  <c r="G15" i="13"/>
  <c r="G16" i="13" s="1"/>
  <c r="G30" i="13" s="1"/>
  <c r="F16" i="13"/>
  <c r="J33" i="16"/>
  <c r="J34" i="16" s="1"/>
  <c r="J35" i="16" s="1"/>
  <c r="H43" i="13"/>
  <c r="J33" i="14"/>
  <c r="I43" i="10"/>
  <c r="G15" i="15"/>
  <c r="G16" i="15" s="1"/>
  <c r="G30" i="15" s="1"/>
  <c r="F16" i="15"/>
  <c r="I43" i="14"/>
  <c r="I43" i="13"/>
  <c r="J33" i="15"/>
  <c r="J34" i="15" s="1"/>
  <c r="J35" i="15" s="1"/>
  <c r="G15" i="17"/>
  <c r="G16" i="17" s="1"/>
  <c r="G30" i="17" s="1"/>
  <c r="F16" i="17"/>
  <c r="F30" i="17" s="1"/>
  <c r="R19" i="18"/>
  <c r="M18" i="1" s="1"/>
  <c r="F23" i="9" l="1"/>
  <c r="L22" i="9"/>
  <c r="W18" i="1"/>
  <c r="L24" i="9"/>
  <c r="L25" i="9"/>
  <c r="M18" i="18"/>
  <c r="O18" i="18" s="1"/>
  <c r="M12" i="18"/>
  <c r="O12" i="18" s="1"/>
  <c r="F24" i="9"/>
  <c r="I26" i="9"/>
  <c r="I33" i="9" s="1"/>
  <c r="I34" i="9" s="1"/>
  <c r="F33" i="17"/>
  <c r="M16" i="18"/>
  <c r="O16" i="18" s="1"/>
  <c r="J23" i="9"/>
  <c r="J22" i="9"/>
  <c r="J24" i="9"/>
  <c r="J25" i="9"/>
  <c r="F33" i="12"/>
  <c r="J34" i="17"/>
  <c r="J35" i="17" s="1"/>
  <c r="J36" i="17" s="1"/>
  <c r="J37" i="17" s="1"/>
  <c r="J44" i="17" s="1"/>
  <c r="J45" i="17" s="1"/>
  <c r="G33" i="17"/>
  <c r="G34" i="17" s="1"/>
  <c r="G35" i="17" s="1"/>
  <c r="J34" i="14"/>
  <c r="J35" i="14" s="1"/>
  <c r="J36" i="14" s="1"/>
  <c r="J37" i="14" s="1"/>
  <c r="J44" i="14" s="1"/>
  <c r="J45" i="14" s="1"/>
  <c r="G33" i="13"/>
  <c r="G33" i="14"/>
  <c r="G34" i="14" s="1"/>
  <c r="G35" i="14" s="1"/>
  <c r="J36" i="10"/>
  <c r="J37" i="10" s="1"/>
  <c r="J44" i="10" s="1"/>
  <c r="J45" i="10" s="1"/>
  <c r="G33" i="12"/>
  <c r="G34" i="12" s="1"/>
  <c r="G35" i="12" s="1"/>
  <c r="J36" i="12"/>
  <c r="J37" i="12" s="1"/>
  <c r="J44" i="12" s="1"/>
  <c r="J45" i="12" s="1"/>
  <c r="G33" i="10"/>
  <c r="G34" i="10" s="1"/>
  <c r="G35" i="10" s="1"/>
  <c r="J36" i="15"/>
  <c r="J37" i="15" s="1"/>
  <c r="J44" i="15" s="1"/>
  <c r="J45" i="15" s="1"/>
  <c r="G33" i="16"/>
  <c r="G34" i="16" s="1"/>
  <c r="G35" i="16" s="1"/>
  <c r="J36" i="13"/>
  <c r="J37" i="13" s="1"/>
  <c r="J44" i="13" s="1"/>
  <c r="J45" i="13" s="1"/>
  <c r="G33" i="15"/>
  <c r="G34" i="15" s="1"/>
  <c r="G35" i="15" s="1"/>
  <c r="J36" i="16"/>
  <c r="J37" i="16" s="1"/>
  <c r="J44" i="16" s="1"/>
  <c r="J45" i="16" s="1"/>
  <c r="H20" i="9"/>
  <c r="H21" i="9" s="1"/>
  <c r="F33" i="10"/>
  <c r="F34" i="10" s="1"/>
  <c r="F35" i="10" s="1"/>
  <c r="H26" i="9" l="1"/>
  <c r="H33" i="9" s="1"/>
  <c r="H34" i="9" s="1"/>
  <c r="M14" i="18" s="1"/>
  <c r="J41" i="17"/>
  <c r="J39" i="17"/>
  <c r="J40" i="17"/>
  <c r="J42" i="17"/>
  <c r="J42" i="10"/>
  <c r="J39" i="10"/>
  <c r="J41" i="10"/>
  <c r="J40" i="10"/>
  <c r="F36" i="10"/>
  <c r="F37" i="10" s="1"/>
  <c r="F44" i="10" s="1"/>
  <c r="F45" i="10" s="1"/>
  <c r="J41" i="15"/>
  <c r="J42" i="15"/>
  <c r="J39" i="15"/>
  <c r="J40" i="15"/>
  <c r="J40" i="14"/>
  <c r="J41" i="14"/>
  <c r="J42" i="14"/>
  <c r="J39" i="14"/>
  <c r="G36" i="14"/>
  <c r="G37" i="14" s="1"/>
  <c r="G44" i="14" s="1"/>
  <c r="G45" i="14" s="1"/>
  <c r="G36" i="10"/>
  <c r="G37" i="10" s="1"/>
  <c r="G44" i="10" s="1"/>
  <c r="G45" i="10" s="1"/>
  <c r="J42" i="12"/>
  <c r="J40" i="12"/>
  <c r="J41" i="12"/>
  <c r="J39" i="12"/>
  <c r="J46" i="13"/>
  <c r="T13" i="18" s="1"/>
  <c r="J40" i="13"/>
  <c r="J41" i="13"/>
  <c r="J42" i="13"/>
  <c r="J39" i="13"/>
  <c r="J41" i="16"/>
  <c r="J39" i="16"/>
  <c r="J42" i="16"/>
  <c r="J40" i="16"/>
  <c r="G36" i="16"/>
  <c r="G37" i="16" s="1"/>
  <c r="G44" i="16" s="1"/>
  <c r="G45" i="16" s="1"/>
  <c r="G34" i="13"/>
  <c r="G35" i="13" s="1"/>
  <c r="G36" i="13" s="1"/>
  <c r="G37" i="13" s="1"/>
  <c r="G44" i="13" s="1"/>
  <c r="G45" i="13" s="1"/>
  <c r="F34" i="12"/>
  <c r="F35" i="12" s="1"/>
  <c r="F36" i="12" s="1"/>
  <c r="F37" i="12" s="1"/>
  <c r="F44" i="12" s="1"/>
  <c r="F45" i="12" s="1"/>
  <c r="F34" i="17"/>
  <c r="F35" i="17" s="1"/>
  <c r="F36" i="17" s="1"/>
  <c r="F37" i="17" s="1"/>
  <c r="F44" i="17" s="1"/>
  <c r="F45" i="17" s="1"/>
  <c r="G36" i="17"/>
  <c r="G37" i="17" s="1"/>
  <c r="G44" i="17" s="1"/>
  <c r="G45" i="17" s="1"/>
  <c r="G36" i="15"/>
  <c r="G37" i="15" s="1"/>
  <c r="G44" i="15" s="1"/>
  <c r="G45" i="15" s="1"/>
  <c r="M15" i="18"/>
  <c r="O15" i="18" s="1"/>
  <c r="I23" i="9"/>
  <c r="I22" i="9"/>
  <c r="I24" i="9"/>
  <c r="I25" i="9"/>
  <c r="G36" i="12"/>
  <c r="G37" i="12" s="1"/>
  <c r="G44" i="12" s="1"/>
  <c r="G45" i="12" s="1"/>
  <c r="H25" i="9" l="1"/>
  <c r="H24" i="9"/>
  <c r="H23" i="9"/>
  <c r="H22" i="9"/>
  <c r="J43" i="17"/>
  <c r="J43" i="14"/>
  <c r="J12" i="18"/>
  <c r="G42" i="13"/>
  <c r="G46" i="13"/>
  <c r="G40" i="13"/>
  <c r="G39" i="13"/>
  <c r="G41" i="13"/>
  <c r="E17" i="18"/>
  <c r="F17" i="18" s="1"/>
  <c r="F40" i="12"/>
  <c r="F42" i="12"/>
  <c r="F41" i="12"/>
  <c r="F39" i="12"/>
  <c r="F46" i="12"/>
  <c r="F46" i="17"/>
  <c r="F41" i="17"/>
  <c r="E18" i="18"/>
  <c r="F18" i="18" s="1"/>
  <c r="F42" i="17"/>
  <c r="F40" i="17"/>
  <c r="F39" i="17"/>
  <c r="E16" i="18"/>
  <c r="F16" i="18" s="1"/>
  <c r="F46" i="10"/>
  <c r="F40" i="10"/>
  <c r="F41" i="10"/>
  <c r="F39" i="10"/>
  <c r="F42" i="10"/>
  <c r="G39" i="17"/>
  <c r="J18" i="18"/>
  <c r="L18" i="18" s="1"/>
  <c r="S18" i="18" s="1"/>
  <c r="G40" i="17"/>
  <c r="G41" i="17"/>
  <c r="G46" i="17"/>
  <c r="G42" i="17"/>
  <c r="V13" i="18"/>
  <c r="A23" i="18"/>
  <c r="J17" i="18"/>
  <c r="L17" i="18" s="1"/>
  <c r="S17" i="18" s="1"/>
  <c r="G41" i="12"/>
  <c r="G46" i="12"/>
  <c r="G39" i="12"/>
  <c r="G42" i="12"/>
  <c r="G40" i="12"/>
  <c r="G39" i="14"/>
  <c r="G40" i="14"/>
  <c r="G46" i="14"/>
  <c r="G42" i="14"/>
  <c r="G41" i="14"/>
  <c r="J13" i="18"/>
  <c r="L13" i="18" s="1"/>
  <c r="S13" i="18" s="1"/>
  <c r="O12" i="1" s="1"/>
  <c r="J43" i="16"/>
  <c r="J43" i="10"/>
  <c r="J16" i="18"/>
  <c r="L16" i="18" s="1"/>
  <c r="S16" i="18" s="1"/>
  <c r="O17" i="1" s="1"/>
  <c r="G39" i="10"/>
  <c r="G40" i="10"/>
  <c r="G41" i="10"/>
  <c r="G46" i="10"/>
  <c r="G42" i="10"/>
  <c r="J43" i="15"/>
  <c r="J14" i="18"/>
  <c r="L14" i="18" s="1"/>
  <c r="G41" i="15"/>
  <c r="G39" i="15"/>
  <c r="G42" i="15"/>
  <c r="G40" i="15"/>
  <c r="G46" i="15"/>
  <c r="J43" i="12"/>
  <c r="J43" i="13"/>
  <c r="O14" i="18"/>
  <c r="O19" i="18" s="1"/>
  <c r="L18" i="1" s="1"/>
  <c r="M19" i="18"/>
  <c r="G39" i="16"/>
  <c r="G40" i="16"/>
  <c r="G41" i="16"/>
  <c r="J15" i="18"/>
  <c r="L15" i="18" s="1"/>
  <c r="S15" i="18" s="1"/>
  <c r="O14" i="1" s="1"/>
  <c r="G46" i="16"/>
  <c r="G42" i="16"/>
  <c r="F43" i="10" l="1"/>
  <c r="G43" i="13"/>
  <c r="G43" i="17"/>
  <c r="G43" i="12"/>
  <c r="F43" i="17"/>
  <c r="G43" i="15"/>
  <c r="S14" i="18"/>
  <c r="O13" i="1" s="1"/>
  <c r="W17" i="18"/>
  <c r="Q16" i="1" s="1"/>
  <c r="G43" i="16"/>
  <c r="W18" i="18"/>
  <c r="Q17" i="1" s="1"/>
  <c r="V19" i="18"/>
  <c r="P12" i="1"/>
  <c r="G43" i="14"/>
  <c r="F43" i="12"/>
  <c r="G43" i="10"/>
  <c r="W16" i="18"/>
  <c r="Q15" i="1" s="1"/>
  <c r="J19" i="18"/>
  <c r="L12" i="18"/>
  <c r="V11" i="1" l="1"/>
  <c r="P18" i="1"/>
  <c r="N18" i="1"/>
  <c r="L19" i="18"/>
  <c r="K18" i="1" s="1"/>
  <c r="O18" i="1" s="1"/>
  <c r="S12" i="18"/>
  <c r="S19" i="18" l="1"/>
  <c r="O11" i="1"/>
  <c r="O29" i="1"/>
  <c r="L29" i="1" s="1"/>
  <c r="J9" i="2" l="1"/>
  <c r="K9" i="2" s="1"/>
  <c r="G29" i="1"/>
  <c r="H29" i="1" s="1"/>
  <c r="I29" i="1" l="1"/>
  <c r="L48" i="1"/>
  <c r="J28" i="2" s="1"/>
  <c r="K28" i="2" s="1"/>
  <c r="L42" i="1"/>
  <c r="J22" i="2" s="1"/>
  <c r="K22" i="2" s="1"/>
  <c r="L55" i="1"/>
  <c r="J35" i="2" s="1"/>
  <c r="K35" i="2" s="1"/>
  <c r="L40" i="1"/>
  <c r="L53" i="1"/>
  <c r="J33" i="2" s="1"/>
  <c r="K33" i="2" s="1"/>
  <c r="L43" i="1"/>
  <c r="J23" i="2" s="1"/>
  <c r="K23" i="2" s="1"/>
  <c r="L44" i="1"/>
  <c r="L36" i="1"/>
  <c r="L57" i="1"/>
  <c r="J37" i="2" s="1"/>
  <c r="K37" i="2" s="1"/>
  <c r="L45" i="1"/>
  <c r="J25" i="2" s="1"/>
  <c r="K25" i="2" s="1"/>
  <c r="L54" i="1"/>
  <c r="J34" i="2" s="1"/>
  <c r="K34" i="2" s="1"/>
  <c r="L35" i="1"/>
  <c r="L37" i="1"/>
  <c r="J17" i="2" s="1"/>
  <c r="K17" i="2" s="1"/>
  <c r="L51" i="1"/>
  <c r="J31" i="2" s="1"/>
  <c r="K31" i="2" s="1"/>
  <c r="L33" i="1"/>
  <c r="J13" i="2" s="1"/>
  <c r="K13" i="2" s="1"/>
  <c r="L49" i="1"/>
  <c r="L34" i="1"/>
  <c r="J14" i="2" s="1"/>
  <c r="K14" i="2" s="1"/>
  <c r="L41" i="1"/>
  <c r="J21" i="2" s="1"/>
  <c r="K21" i="2" s="1"/>
  <c r="L46" i="1"/>
  <c r="J26" i="2" s="1"/>
  <c r="K26" i="2" s="1"/>
  <c r="L58" i="1"/>
  <c r="J38" i="2" s="1"/>
  <c r="K38" i="2" s="1"/>
  <c r="L30" i="1"/>
  <c r="J10" i="2" s="1"/>
  <c r="K10" i="2" s="1"/>
  <c r="L32" i="1"/>
  <c r="L39" i="1"/>
  <c r="J19" i="2" s="1"/>
  <c r="K19" i="2" s="1"/>
  <c r="L50" i="1"/>
  <c r="J30" i="2" s="1"/>
  <c r="K30" i="2" s="1"/>
  <c r="L47" i="1"/>
  <c r="L52" i="1"/>
  <c r="J32" i="2" s="1"/>
  <c r="K32" i="2" s="1"/>
  <c r="L56" i="1"/>
  <c r="J36" i="2" s="1"/>
  <c r="K36" i="2" s="1"/>
  <c r="L38" i="1"/>
  <c r="J18" i="2" s="1"/>
  <c r="K18" i="2" s="1"/>
  <c r="G54" i="1" l="1"/>
  <c r="I54" i="1" s="1"/>
  <c r="G40" i="1"/>
  <c r="H40" i="1" s="1"/>
  <c r="J20" i="2"/>
  <c r="K20" i="2" s="1"/>
  <c r="G35" i="1"/>
  <c r="H35" i="1" s="1"/>
  <c r="J15" i="2"/>
  <c r="K15" i="2" s="1"/>
  <c r="G47" i="1"/>
  <c r="H47" i="1" s="1"/>
  <c r="J27" i="2"/>
  <c r="K27" i="2" s="1"/>
  <c r="G49" i="1"/>
  <c r="H49" i="1" s="1"/>
  <c r="J29" i="2"/>
  <c r="K29" i="2" s="1"/>
  <c r="G32" i="1"/>
  <c r="H32" i="1" s="1"/>
  <c r="J12" i="2"/>
  <c r="K12" i="2" s="1"/>
  <c r="G36" i="1"/>
  <c r="H36" i="1" s="1"/>
  <c r="J16" i="2"/>
  <c r="K16" i="2" s="1"/>
  <c r="G30" i="1"/>
  <c r="H30" i="1" s="1"/>
  <c r="G44" i="1"/>
  <c r="H44" i="1" s="1"/>
  <c r="J24" i="2"/>
  <c r="K24" i="2" s="1"/>
  <c r="H54" i="1"/>
  <c r="G43" i="1"/>
  <c r="H43" i="1" s="1"/>
  <c r="G51" i="1"/>
  <c r="I51" i="1" s="1"/>
  <c r="G45" i="1"/>
  <c r="H45" i="1" s="1"/>
  <c r="G38" i="1"/>
  <c r="H38" i="1" s="1"/>
  <c r="G46" i="1"/>
  <c r="H46" i="1" s="1"/>
  <c r="G41" i="1"/>
  <c r="H41" i="1" s="1"/>
  <c r="G53" i="1"/>
  <c r="H53" i="1" s="1"/>
  <c r="G52" i="1"/>
  <c r="H52" i="1" s="1"/>
  <c r="G58" i="1"/>
  <c r="H58" i="1" s="1"/>
  <c r="G55" i="1"/>
  <c r="H55" i="1" s="1"/>
  <c r="G39" i="1"/>
  <c r="H39" i="1" s="1"/>
  <c r="G57" i="1"/>
  <c r="H57" i="1" s="1"/>
  <c r="G56" i="1"/>
  <c r="H56" i="1" s="1"/>
  <c r="G34" i="1"/>
  <c r="H34" i="1" s="1"/>
  <c r="G37" i="1"/>
  <c r="H37" i="1" s="1"/>
  <c r="G48" i="1"/>
  <c r="H48" i="1" s="1"/>
  <c r="G33" i="1"/>
  <c r="H33" i="1" s="1"/>
  <c r="G42" i="1"/>
  <c r="H42" i="1" s="1"/>
  <c r="G50" i="1"/>
  <c r="H50" i="1" s="1"/>
  <c r="I43" i="1" l="1"/>
  <c r="I32" i="1"/>
  <c r="K39" i="2"/>
  <c r="I36" i="1"/>
  <c r="I35" i="1"/>
  <c r="I40" i="1"/>
  <c r="I49" i="1"/>
  <c r="I47" i="1"/>
  <c r="I30" i="1"/>
  <c r="I44" i="1"/>
  <c r="H51" i="1"/>
  <c r="H59" i="1" s="1"/>
  <c r="H60" i="1" s="1"/>
  <c r="I42" i="1"/>
  <c r="I46" i="1"/>
  <c r="I52" i="1"/>
  <c r="I34" i="1"/>
  <c r="I50" i="1"/>
  <c r="I48" i="1"/>
  <c r="I55" i="1"/>
  <c r="I37" i="1"/>
  <c r="I57" i="1"/>
  <c r="I58" i="1"/>
  <c r="I41" i="1"/>
  <c r="I56" i="1"/>
  <c r="I38" i="1"/>
  <c r="I33" i="1"/>
  <c r="I39" i="1"/>
  <c r="I53" i="1"/>
  <c r="I45" i="1"/>
  <c r="O8" i="4" l="1"/>
  <c r="O7" i="4"/>
  <c r="O9" i="4"/>
  <c r="H61" i="1"/>
  <c r="H63" i="1" s="1"/>
  <c r="H62" i="1" s="1"/>
  <c r="R12" i="1" l="1"/>
  <c r="F26" i="14"/>
  <c r="F29" i="14" s="1"/>
  <c r="F30" i="14" s="1"/>
  <c r="R11" i="1"/>
  <c r="F26" i="13"/>
  <c r="F29" i="13" s="1"/>
  <c r="F30" i="13" s="1"/>
  <c r="F33" i="13" l="1"/>
  <c r="F34" i="13" s="1"/>
  <c r="F35" i="13" s="1"/>
  <c r="F33" i="14"/>
  <c r="F34" i="14" l="1"/>
  <c r="F35" i="14" s="1"/>
  <c r="F36" i="14" s="1"/>
  <c r="F37" i="14" s="1"/>
  <c r="F44" i="14" s="1"/>
  <c r="F45" i="14" s="1"/>
  <c r="F36" i="13"/>
  <c r="F37" i="13" s="1"/>
  <c r="F44" i="13" s="1"/>
  <c r="F45" i="13" s="1"/>
  <c r="E13" i="18" l="1"/>
  <c r="F13" i="18" s="1"/>
  <c r="W13" i="18" s="1"/>
  <c r="Q12" i="1" s="1"/>
  <c r="F46" i="14"/>
  <c r="F40" i="14"/>
  <c r="F39" i="14"/>
  <c r="F42" i="14"/>
  <c r="F41" i="14"/>
  <c r="F39" i="13"/>
  <c r="F41" i="13"/>
  <c r="F40" i="13"/>
  <c r="F42" i="13"/>
  <c r="E12" i="18"/>
  <c r="F12" i="18" s="1"/>
  <c r="F46" i="13"/>
  <c r="F43" i="13" l="1"/>
  <c r="F43" i="14"/>
  <c r="W12" i="18"/>
  <c r="Q11" i="1" l="1"/>
  <c r="O67" i="1" l="1"/>
  <c r="L67" i="1" s="1"/>
  <c r="G67" i="1" l="1"/>
  <c r="H67" i="1" s="1"/>
  <c r="J45" i="2"/>
  <c r="K45" i="2" s="1"/>
  <c r="K55" i="2" s="1"/>
  <c r="P9" i="4" l="1"/>
  <c r="I67" i="1"/>
  <c r="H77" i="1"/>
  <c r="H78" i="1" l="1"/>
  <c r="H79" i="1" s="1"/>
  <c r="H81" i="1" l="1"/>
  <c r="H80" i="1" s="1"/>
  <c r="R13" i="1"/>
  <c r="F27" i="15"/>
  <c r="F29" i="15" s="1"/>
  <c r="F30" i="15" s="1"/>
  <c r="F33" i="15" l="1"/>
  <c r="F34" i="15" l="1"/>
  <c r="F35" i="15" s="1"/>
  <c r="F36" i="15" s="1"/>
  <c r="F37" i="15" s="1"/>
  <c r="F44" i="15" s="1"/>
  <c r="F45" i="15" s="1"/>
  <c r="E14" i="18" l="1"/>
  <c r="F14" i="18" s="1"/>
  <c r="F46" i="15"/>
  <c r="F40" i="15"/>
  <c r="F41" i="15"/>
  <c r="F39" i="15"/>
  <c r="F42" i="15"/>
  <c r="W14" i="18" l="1"/>
  <c r="F43" i="15"/>
  <c r="O85" i="1"/>
  <c r="L85" i="1" s="1"/>
  <c r="Q13" i="1" l="1"/>
  <c r="G85" i="1"/>
  <c r="J61" i="2"/>
  <c r="K61" i="2" s="1"/>
  <c r="V17" i="1" l="1"/>
  <c r="H85" i="1"/>
  <c r="I85" i="1"/>
  <c r="O87" i="1"/>
  <c r="L87" i="1" s="1"/>
  <c r="O88" i="1"/>
  <c r="L88" i="1" s="1"/>
  <c r="G88" i="1" s="1"/>
  <c r="O89" i="1"/>
  <c r="L89" i="1" s="1"/>
  <c r="G89" i="1" s="1"/>
  <c r="O90" i="1"/>
  <c r="L90" i="1" s="1"/>
  <c r="O86" i="1"/>
  <c r="L86" i="1" s="1"/>
  <c r="J63" i="2" l="1"/>
  <c r="K63" i="2" s="1"/>
  <c r="G87" i="1"/>
  <c r="I87" i="1" s="1"/>
  <c r="G90" i="1"/>
  <c r="I90" i="1" s="1"/>
  <c r="J66" i="2"/>
  <c r="K66" i="2" s="1"/>
  <c r="J65" i="2"/>
  <c r="K65" i="2" s="1"/>
  <c r="J64" i="2"/>
  <c r="K64" i="2" s="1"/>
  <c r="J62" i="2"/>
  <c r="K62" i="2" s="1"/>
  <c r="G86" i="1"/>
  <c r="I88" i="1"/>
  <c r="H88" i="1"/>
  <c r="I89" i="1"/>
  <c r="H89" i="1"/>
  <c r="H90" i="1" l="1"/>
  <c r="H87" i="1"/>
  <c r="K67" i="2"/>
  <c r="H86" i="1"/>
  <c r="I86" i="1"/>
  <c r="Q10" i="4" l="1"/>
  <c r="W20" i="18"/>
  <c r="H91" i="1"/>
  <c r="H92" i="1" s="1"/>
  <c r="H93" i="1" s="1"/>
  <c r="H95" i="1" l="1"/>
  <c r="H94" i="1" s="1"/>
  <c r="F26" i="16"/>
  <c r="F29" i="16" s="1"/>
  <c r="F30" i="16" s="1"/>
  <c r="R14" i="1"/>
  <c r="R18" i="1" s="1"/>
  <c r="F33" i="16" l="1"/>
  <c r="F34" i="16" s="1"/>
  <c r="F35" i="16" s="1"/>
  <c r="F36" i="16" l="1"/>
  <c r="F37" i="16" s="1"/>
  <c r="F44" i="16" s="1"/>
  <c r="F45" i="16" s="1"/>
  <c r="F42" i="16" l="1"/>
  <c r="F40" i="16"/>
  <c r="E15" i="18"/>
  <c r="F15" i="18" s="1"/>
  <c r="F39" i="16"/>
  <c r="F41" i="16"/>
  <c r="F46" i="16"/>
  <c r="W15" i="18" l="1"/>
  <c r="F19" i="18"/>
  <c r="F43" i="16"/>
  <c r="Q14" i="1" l="1"/>
  <c r="W19" i="18"/>
  <c r="W21" i="18" s="1"/>
  <c r="V12" i="1" l="1"/>
  <c r="V18" i="1" s="1"/>
  <c r="Q18" i="1"/>
</calcChain>
</file>

<file path=xl/sharedStrings.xml><?xml version="1.0" encoding="utf-8"?>
<sst xmlns="http://schemas.openxmlformats.org/spreadsheetml/2006/main" count="1448" uniqueCount="664">
  <si>
    <t xml:space="preserve">OCORRÊNCIAS MENSAIS DO FATURAMENTO </t>
  </si>
  <si>
    <t>UTILIZAÇÃO DO GESTOR CONTRATUAL PARA REALIZAÇÃO DO FATURAMENTO MENSAL</t>
  </si>
  <si>
    <t>DEFINIR VERSÃO DE APRESENTAÇÃO:</t>
  </si>
  <si>
    <t>PLANILHA PARA LICITAÇÃO (PRECIFICAÇÃO)</t>
  </si>
  <si>
    <t>DEFINIR BASE DE DESCONTOS/GLOSAS:</t>
  </si>
  <si>
    <t>MÊS CONTÁBIL</t>
  </si>
  <si>
    <r>
      <rPr>
        <b/>
        <sz val="10"/>
        <rFont val="Calibri"/>
        <family val="2"/>
      </rPr>
      <t xml:space="preserve">INSTRUÇÕES DE PREENCHIMENTO
UTILIZAÇÃO EXCLUSIVA FISCAL/GESTOR
PARA AUXILIAR NO VALOR DE FATURAMENTO
Preencher as células destacadas na cor </t>
    </r>
    <r>
      <rPr>
        <b/>
        <sz val="10"/>
        <color rgb="FFFF0000"/>
        <rFont val="Calibri"/>
        <family val="2"/>
      </rPr>
      <t>vermelha</t>
    </r>
    <r>
      <rPr>
        <b/>
        <sz val="10"/>
        <rFont val="Calibri"/>
        <family val="2"/>
      </rPr>
      <t xml:space="preserve"> para realização dos cálculos das demais abas.
Não é necessário preenchimento de outras abas.</t>
    </r>
  </si>
  <si>
    <t>Informar número de Postos que não utilizam V.T.
(Coluna "D")</t>
  </si>
  <si>
    <t>Informar se titular do posto é optante pelo recebimento de V.T.
(Coluna "E")</t>
  </si>
  <si>
    <t>Desconto automático de V.T.
(Coluna "F")</t>
  </si>
  <si>
    <t>Preencher o número de dias (corridos) que o terceirizado que não recebe vt ficou afastado por férias ou faltas
(Coluna "G")</t>
  </si>
  <si>
    <t>Preencher nº de dias úteis em que o optante de V.T realizou trabalho em Home Office OU dias de Recesso Forense / Ponto facultativo
(Coluna "H")</t>
  </si>
  <si>
    <t>Conversão das horas de ausência em dias de ausência
(Coluna "I")</t>
  </si>
  <si>
    <t>Conversão das horas de ausência em dias de ausência
(Coluna "J")</t>
  </si>
  <si>
    <t>Nº dias de faltas comuns sem substituição.
(Coluna "K")</t>
  </si>
  <si>
    <t>Informar número de dias por férias no mês (dias)
(Coluna "L")</t>
  </si>
  <si>
    <t>Desconto de V.A. por dias de recesso forense e/ou ponto facultativo.
(Coluna "M")</t>
  </si>
  <si>
    <t>Nº de dias corridos de férias sem substituição quando o adicional de insalubridade é passado para outra servente do quadro.
(Coluna "N")</t>
  </si>
  <si>
    <t>Somatório de glosas.
(Coluna "O")</t>
  </si>
  <si>
    <t>Somatório de acrésimo por substituição do posto insalubre por outro profissional do quadro.
(Coluna "P")</t>
  </si>
  <si>
    <t>Informativo sobre valor faturado por tipo de função.
(Coluna "Q")</t>
  </si>
  <si>
    <t>Valores correspondentes ao fornecimento de materiais e epis.
(incluindo impostos)
(Coluna "R")</t>
  </si>
  <si>
    <t>Informar código de elemento de despesa
(Coluna "S")</t>
  </si>
  <si>
    <t>INFORMATIVO PARA GESTÃO CONTRATUAL</t>
  </si>
  <si>
    <t>Quant</t>
  </si>
  <si>
    <t>Descrição das Categorias</t>
  </si>
  <si>
    <t>Carga Horária (horas)</t>
  </si>
  <si>
    <t>Nº Postos não optantes pelo recebimento de V.T.</t>
  </si>
  <si>
    <t>Realizar glosa por não fornecimento de V.T.?</t>
  </si>
  <si>
    <t>Dias de
Glosa V.T.
Para Não Optantes</t>
  </si>
  <si>
    <t>Ajuste de V.T para fornecimento para
postos Não Optantes</t>
  </si>
  <si>
    <t>Dias de Home Office OU Recesso para os postos Optantes de V.T.</t>
  </si>
  <si>
    <t>Dias de faltas após conversão das horas
(planilha auxiliar)</t>
  </si>
  <si>
    <t>Quant. Atrasos e Faltas</t>
  </si>
  <si>
    <t>Dias de Férias</t>
  </si>
  <si>
    <t>Dias de Glosas de V.A no Mês</t>
  </si>
  <si>
    <t>*1 Dias de Deslocamento de Insalubridade</t>
  </si>
  <si>
    <t>VALOR TOTAL GLOSADO</t>
  </si>
  <si>
    <t>VALOR TOTAL ACRESCIDO</t>
  </si>
  <si>
    <t>Valor Mensal 
Faturado com aplicação de descontos</t>
  </si>
  <si>
    <t>VALOR TOTAL INSUMOS FORNECIDOS NO MÊS.</t>
  </si>
  <si>
    <t xml:space="preserve">Elemento de Despesa </t>
  </si>
  <si>
    <t>VALOR DE RETENÇÃO CONTA VINCULADA</t>
  </si>
  <si>
    <t>CÓDIGOS ELEMENTO DE DESPESA</t>
  </si>
  <si>
    <t>FATURAMENTO MENSAL</t>
  </si>
  <si>
    <t>RETENÇÃO 
GLOSA CONTA VINCULADA
(VERIFICAR NECESSIDADE)</t>
  </si>
  <si>
    <t>SIM</t>
  </si>
  <si>
    <t>ELEMENTO 2</t>
  </si>
  <si>
    <t>ELEMENTO 1</t>
  </si>
  <si>
    <t>VALOR TOTAL GLOSADOS</t>
  </si>
  <si>
    <t>OBSERVAÇÕES:</t>
  </si>
  <si>
    <t>1. Para apoio ao lançamento de ausências de horas, sugere-se a utilização da planilha complementar abaixo. O preenchimento das horas convertidas deve ocorrer na Coluna "I".</t>
  </si>
  <si>
    <t>Planilha auxiliar para conversão de horas de ausências em dias de faltas. (preenchimento coluna "I")</t>
  </si>
  <si>
    <t>Jornada</t>
  </si>
  <si>
    <t>Total de Horas</t>
  </si>
  <si>
    <t>Total de Minutos</t>
  </si>
  <si>
    <t>Conversão em Dias</t>
  </si>
  <si>
    <t>Obs: Informar a jornada de trabalho do posto analisado. Em sequência, informar as horas completas faltantes e posteriormente os minutos. Ex: 10:25h faltantes - Lançar 10 na célula "D22" e lançar 25 na célula "E22".
Lançar o resultado convertido na coluna "H".</t>
  </si>
  <si>
    <t>2. Na célula “N15” deverá ser informado a quantidade de dias em que o trabalho insalubre foi realizado por outra servente do quadro, durante as férias da Servente de Limpeza 40% insalubre - titular.</t>
  </si>
  <si>
    <t>ITEM</t>
  </si>
  <si>
    <t>DESCRIÇÃO DO MATERIAL DE IMPEZA
SERVENTES DE LIMPEZA</t>
  </si>
  <si>
    <t>GASTO MENSAL</t>
  </si>
  <si>
    <r>
      <rPr>
        <b/>
        <u/>
        <sz val="10"/>
        <rFont val="Calibri"/>
        <family val="2"/>
      </rPr>
      <t xml:space="preserve">ANÁLISE CRÍTICA </t>
    </r>
    <r>
      <rPr>
        <b/>
        <sz val="10"/>
        <rFont val="Calibri"/>
        <family val="2"/>
      </rPr>
      <t xml:space="preserve">SOBRE O FORNECIMENTO DOS MATERIAIS
ESTIMATIVA MENSAL x FORNECIMENTO EFETIVO
</t>
    </r>
    <r>
      <rPr>
        <b/>
        <u/>
        <sz val="10"/>
        <rFont val="Calibri"/>
        <family val="2"/>
      </rPr>
      <t xml:space="preserve">
</t>
    </r>
    <r>
      <rPr>
        <b/>
        <sz val="10"/>
        <rFont val="Calibri"/>
        <family val="2"/>
      </rPr>
      <t>(INFORMAÇÃO COMO PARÂMETRO DE INDICATIVO)</t>
    </r>
  </si>
  <si>
    <t>REFERÊNCIA MENSAL PARA FORNECIMENTO</t>
  </si>
  <si>
    <t>Material</t>
  </si>
  <si>
    <t>Unid.</t>
  </si>
  <si>
    <t>Marcas de Referência</t>
  </si>
  <si>
    <t>QNTDE "REAL" FORNECIDA
NO MÊS</t>
  </si>
  <si>
    <t>Custo Mensal</t>
  </si>
  <si>
    <t>Quantidade Mensal</t>
  </si>
  <si>
    <t>Quantidade Total</t>
  </si>
  <si>
    <t>Periodicidade</t>
  </si>
  <si>
    <t>Divisor</t>
  </si>
  <si>
    <t>Álcool em gel 70% 5L</t>
  </si>
  <si>
    <t>Galão</t>
  </si>
  <si>
    <t>Álcool líquido 70% 1L</t>
  </si>
  <si>
    <t>Cloro, galão 5L</t>
  </si>
  <si>
    <t>Pinho sol ou similar</t>
  </si>
  <si>
    <t>Detergente líquido neutro 500 ml</t>
  </si>
  <si>
    <t>Limpol</t>
  </si>
  <si>
    <t>Condor</t>
  </si>
  <si>
    <t>Daneva</t>
  </si>
  <si>
    <t>Intextil</t>
  </si>
  <si>
    <t>Limpador multiuso limpeza geral, 500ml</t>
  </si>
  <si>
    <t>Veja ou similar</t>
  </si>
  <si>
    <t>Limpador multiuso limpeza pesada, 500ml</t>
  </si>
  <si>
    <t>pacote</t>
  </si>
  <si>
    <t>fardo</t>
  </si>
  <si>
    <t>Nobre ou similar</t>
  </si>
  <si>
    <t>Pato ou similar</t>
  </si>
  <si>
    <t>cento</t>
  </si>
  <si>
    <t>Saco de lixo 100 litros, preto, reforçado</t>
  </si>
  <si>
    <t>Vassoura redonda p/vaso sanitário com suporte</t>
  </si>
  <si>
    <t>DESPESA MENSAL</t>
  </si>
  <si>
    <t>TAXA ADMINISTRATIVA</t>
  </si>
  <si>
    <t>LUCRO</t>
  </si>
  <si>
    <t>TRIBUTOS</t>
  </si>
  <si>
    <t>VALOR TOTAL COM MATERIAIS DE LIMPEZA</t>
  </si>
  <si>
    <t>MATERIAIS DE LIMPEZA COPA
COPEIRA</t>
  </si>
  <si>
    <t>Lã de aço, pacote com 8 unidades</t>
  </si>
  <si>
    <t>Bombril</t>
  </si>
  <si>
    <t>Minuano ou similar</t>
  </si>
  <si>
    <t>Omo ou similar</t>
  </si>
  <si>
    <t>VALOR TOTAL COM MATERIAIS DE COPA</t>
  </si>
  <si>
    <t>DESCRIÇÃO DO MATERIAL DE LIMPEZA DE AUTOMÓVEIS
ZELADOR COM ACÚMULO DE FUNÇÃO</t>
  </si>
  <si>
    <t>Cera automotiva 200gr</t>
  </si>
  <si>
    <t>Shampoo para carro - 1L</t>
  </si>
  <si>
    <t>VALOR TOTAL COM MATERIAIS DE LIMPEZA DE AUTOMÓVEIS</t>
  </si>
  <si>
    <t>LISTA PARA OPÇÕES DE GLOSAS</t>
  </si>
  <si>
    <t>DIAS ÚTEIS (CONTRATO)</t>
  </si>
  <si>
    <t>Obs: Desconto por dias definidos em contrato.</t>
  </si>
  <si>
    <t>Obs: Desconto atualmente aplicado (30 dias corridos).</t>
  </si>
  <si>
    <t>DIAS DO MÊS VIGENTE</t>
  </si>
  <si>
    <t>Informar</t>
  </si>
  <si>
    <t>Obs: Desconto por dias úteis mensais, ocorrência variável, devendo ser informado mensalmente.</t>
  </si>
  <si>
    <t>JORNADA DE TRABALHO</t>
  </si>
  <si>
    <t>DIVISOR DE HORAS</t>
  </si>
  <si>
    <t>LISTA PARA TOTAL DE POSTOS</t>
  </si>
  <si>
    <t>ANEXO X - CUSTO ESTIMATIVO DE MATERIAIS DE LIMPEZA</t>
  </si>
  <si>
    <t>INSTRUÇÕES DE PREENCHIMENTO - Informar/Alterar somente as células destacadas na Cor Amarela, de acordo com o valor unitário da Licitante.</t>
  </si>
  <si>
    <t>VALORES UNITÁRIOS DO CONTRATO, CORRIGIDOS PELO REAJUSTE DE IPCA.</t>
  </si>
  <si>
    <t>DESCRIÇÃO DO MATERIAL</t>
  </si>
  <si>
    <t>OBSERVAÇÕES</t>
  </si>
  <si>
    <t>REFERÊNCIA</t>
  </si>
  <si>
    <t>Preço Unitário</t>
  </si>
  <si>
    <t>Quantidade</t>
  </si>
  <si>
    <t>DIVISOR</t>
  </si>
  <si>
    <t>VALOR INICIAL DO CONTRATO
(Informar após o término da licitação)</t>
  </si>
  <si>
    <t>1º REAJUSTE POR IPCA</t>
  </si>
  <si>
    <t>2º REAJUSTE POR IPCA</t>
  </si>
  <si>
    <t>3º REAJUSTE POR IPCA</t>
  </si>
  <si>
    <t>4º REAJUSTE POR IPCA</t>
  </si>
  <si>
    <t>5º REAJUSTE POR IPCA</t>
  </si>
  <si>
    <t>Mensal</t>
  </si>
  <si>
    <t xml:space="preserve">Balde plástico de 20 litros, com alça metálica </t>
  </si>
  <si>
    <t xml:space="preserve">Sanremo ou similar </t>
  </si>
  <si>
    <t>Anual</t>
  </si>
  <si>
    <t>Desentupidor de pia sanfonado</t>
  </si>
  <si>
    <t xml:space="preserve">Bettanin ou similar </t>
  </si>
  <si>
    <t>Desentupidor de vaso sanitário, com cabo de 50cm</t>
  </si>
  <si>
    <t>Desinfetante bactericida e germicida concentrado, galão 5L</t>
  </si>
  <si>
    <t>Escova de nylon oval, base plástica, multiuso</t>
  </si>
  <si>
    <t xml:space="preserve">Esponja dupla face, primeira qualidade </t>
  </si>
  <si>
    <t>Scotch-Brite ou similar</t>
  </si>
  <si>
    <t>Extensão elétrica, tipo carretel, cabo PP 2x2,5, de 30m</t>
  </si>
  <si>
    <t>Flanela de limpeza branca, 38cm x 58cm, 100% algodão</t>
  </si>
  <si>
    <t>Bimestral</t>
  </si>
  <si>
    <t>Limpa vidros com álcool 500ml</t>
  </si>
  <si>
    <t>Veja  ou similar</t>
  </si>
  <si>
    <t>Luva de látex forrada de boa qualidade</t>
  </si>
  <si>
    <t>Par</t>
  </si>
  <si>
    <t>Pá coletora de lixo, cabo longo de 80cm</t>
  </si>
  <si>
    <t xml:space="preserve">Papel higiênico branco, folha dupla picotada, primeira qualidade, fardo com 64 rolos de 30m </t>
  </si>
  <si>
    <t>Personal, Neve ou similar</t>
  </si>
  <si>
    <t xml:space="preserve">Papel toalha branco, folha dupla interfolhado, 100% celulose, fardo com 1.000 fls, 21cm x 20cm </t>
  </si>
  <si>
    <t>Pedra Sanitária com suporte e rede protetora para vaso sanitário, 25 g</t>
  </si>
  <si>
    <t xml:space="preserve">Rodo de borracha dupla 60cm, cabo de madeira mín. de 1,20m </t>
  </si>
  <si>
    <t>Oliveira Azevedo ou similar</t>
  </si>
  <si>
    <t>Semestral</t>
  </si>
  <si>
    <t xml:space="preserve">Sabonete Líquido Erva Doce galão 5L </t>
  </si>
  <si>
    <t xml:space="preserve">Saco alvejado branco para chão, duplo, 80cm x 60cm, 24 batidas, 100%algodão </t>
  </si>
  <si>
    <t>Saco de lixo 30 litros, preto e azul</t>
  </si>
  <si>
    <t xml:space="preserve">Vassoura de pelo sintético, cepa: 60cm, boa qualidade, cabo de madeira de 1,20m </t>
  </si>
  <si>
    <t>Vassoura limpa teto, com cabo extensor de alumínio de no mín. 4m</t>
  </si>
  <si>
    <t xml:space="preserve">Vassoura piaçava nº 5, boa qualidade, cabo de madeira de 1,20m </t>
  </si>
  <si>
    <t>Vassoura piaçava tipo gari, cepa: 60cm, com cabo de madeira</t>
  </si>
  <si>
    <t>ANEXO X - CUSTO ESTIMATIVO DE MATERIAIS DE LIMPEZA COPA</t>
  </si>
  <si>
    <t>Marca de Referência</t>
  </si>
  <si>
    <t>PREÇO UNITÁRIO</t>
  </si>
  <si>
    <t xml:space="preserve">Balde de 8 litros, com alça metálica </t>
  </si>
  <si>
    <t xml:space="preserve">Coador de Café nº 103, poliéster, reaproveitável </t>
  </si>
  <si>
    <t xml:space="preserve">Detergente líquido neutro 500 ml </t>
  </si>
  <si>
    <t xml:space="preserve">Limpol </t>
  </si>
  <si>
    <r>
      <rPr>
        <sz val="10"/>
        <color rgb="FF000000"/>
        <rFont val="Calibri"/>
        <family val="2"/>
      </rPr>
      <t xml:space="preserve">Escova de nylon </t>
    </r>
    <r>
      <rPr>
        <sz val="10"/>
        <color rgb="FF000000"/>
        <rFont val="Times New Roman"/>
        <family val="1"/>
      </rPr>
      <t>oval, base plástica, multiuso</t>
    </r>
  </si>
  <si>
    <t xml:space="preserve">Condor </t>
  </si>
  <si>
    <r>
      <rPr>
        <sz val="10"/>
        <color rgb="FF000000"/>
        <rFont val="Calibri"/>
        <family val="2"/>
      </rPr>
      <t>Esponja dupla face</t>
    </r>
    <r>
      <rPr>
        <sz val="10"/>
        <color rgb="FF000000"/>
        <rFont val="Times New Roman"/>
        <family val="1"/>
      </rPr>
      <t xml:space="preserve">, primeira qualidade </t>
    </r>
  </si>
  <si>
    <t xml:space="preserve">Scotch-Brite ou similar </t>
  </si>
  <si>
    <t>Pano de prato branco, liso, 100% algodão, tam. mín. 40cm x 60 cm</t>
  </si>
  <si>
    <t>Trimestral</t>
  </si>
  <si>
    <t>Sabão em barra com glicerina, neutro, embalagem com 5 un, de 200g cada</t>
  </si>
  <si>
    <t xml:space="preserve">Sabão em pó 1 Kg, primeira qualidade </t>
  </si>
  <si>
    <t>ANEXO X - CUSTO ESTIMATIVO DE MATERIAIS DE LIMPEZA VEICULAR</t>
  </si>
  <si>
    <t>Estopa para polimento 500g</t>
  </si>
  <si>
    <t>Pct</t>
  </si>
  <si>
    <t xml:space="preserve">Limpa Pneu 1L </t>
  </si>
  <si>
    <t>Silicone automotivo líquido - 250ml</t>
  </si>
  <si>
    <t>Quadrimestral</t>
  </si>
  <si>
    <t>Tribunal Regional Federal da 6ª Região</t>
  </si>
  <si>
    <t>Seção Judiciária de Minas Gerais</t>
  </si>
  <si>
    <t>Subseção Judiciária de Governador Valadares</t>
  </si>
  <si>
    <t>INSTRUÇÕES DE PREENCHIMENTO - ANEXO X - PLANILHAS DE COMPOSIÇÃO DE CUSTOS</t>
  </si>
  <si>
    <t>1.</t>
  </si>
  <si>
    <t>SOMENTE SERÃO ACEITAS MODIFICAÇÕES NAS CÉLULAS DESTACADAS NA COR AMARELA COMO NO EXEMPLO ABAIXO:</t>
  </si>
  <si>
    <t>Células de livre edição.</t>
  </si>
  <si>
    <t>2.</t>
  </si>
  <si>
    <r>
      <rPr>
        <sz val="10"/>
        <rFont val="Calibri"/>
        <family val="2"/>
      </rPr>
      <t xml:space="preserve">As demais células estarão </t>
    </r>
    <r>
      <rPr>
        <b/>
        <sz val="10"/>
        <rFont val="Calibri"/>
        <family val="2"/>
      </rPr>
      <t>bloqueadas</t>
    </r>
    <r>
      <rPr>
        <sz val="10"/>
        <rFont val="Calibri"/>
        <family val="2"/>
      </rPr>
      <t xml:space="preserve"> para edição das licitantes.</t>
    </r>
  </si>
  <si>
    <t>3.</t>
  </si>
  <si>
    <t>As Abas necessárias para o preenchimento estão organizadas em uma sequência lógica, sendo Dados; Encargos; Materiais (limpeza, copa e limpeza de veículos); EPI; Equipamentos; Uniforme.</t>
  </si>
  <si>
    <t>Os nomes das abas estarão abreviados para otimização da planilha.</t>
  </si>
  <si>
    <r>
      <rPr>
        <b/>
        <sz val="10"/>
        <rFont val="Calibri"/>
        <family val="2"/>
      </rPr>
      <t xml:space="preserve">Sugere-se o preenchimento das seguintes abas em sequência: </t>
    </r>
    <r>
      <rPr>
        <sz val="10"/>
        <rFont val="Calibri"/>
        <family val="2"/>
      </rPr>
      <t>Dados, Encargos, Materiais, EPI, Equipamentos e Uniforme, para a realização de cálculos completa da planilha de composição de custos.</t>
    </r>
  </si>
  <si>
    <t>3.1</t>
  </si>
  <si>
    <t>Estas Abas estarão destacadas na Cor Amarela.</t>
  </si>
  <si>
    <t>3.2</t>
  </si>
  <si>
    <t>PREENCHIMENTO ABA "DADOS"</t>
  </si>
  <si>
    <t xml:space="preserve"> - Alterar SOMENTE aqueles destacados na COR AMARELA.</t>
  </si>
  <si>
    <t>3.3</t>
  </si>
  <si>
    <t>PREENCHIMENTO ABA "ENCARGOS"</t>
  </si>
  <si>
    <t xml:space="preserve"> - Informar os percentuais de encargos nas células destacadas em amarelo dispostas na "Coluna C", de acordo com sua descrição "Coluna B".</t>
  </si>
  <si>
    <t xml:space="preserve"> - Atentar-se às observações continuadas ao final do quadro de encargos (Célula "B59"), com as demais instruções cabíveis aos percentuais dispostos nesta Aba.</t>
  </si>
  <si>
    <t>3.4</t>
  </si>
  <si>
    <t>PREENCHIMENTO ABA "MATERIAIS"</t>
  </si>
  <si>
    <t xml:space="preserve"> - Informar os valores unitários de cada item nas células destacadas em amarelo dispostas na "Coluna F", de acordo com sua descrição "Colunas B:E".</t>
  </si>
  <si>
    <t xml:space="preserve"> - Atentar-se para o preenchimento de todos os quadros dispostos nesta Aba, sendo:</t>
  </si>
  <si>
    <t xml:space="preserve"> - O preenchimento das células da Coluna "H" está permitida somente para inserção de Observações, caso necessário.</t>
  </si>
  <si>
    <t>3.5</t>
  </si>
  <si>
    <t>PREENCHIMENTO ABA "EQUIPAMENTOS"</t>
  </si>
  <si>
    <t xml:space="preserve"> - Informar os valores unitários de cada item nas células destacadas em amarelo dispostas na "Coluna D", de acordo com sua descrição "Colunas B:C".</t>
  </si>
  <si>
    <t>3.6</t>
  </si>
  <si>
    <t>PREENCHIMENTO ABA "UNIFORMES"</t>
  </si>
  <si>
    <t xml:space="preserve"> - Informar os valores unitários de cada peça de uniforme nas células destacadas em amarelo dispostas na "Coluna G", de acordo com sua descrição "Colunas B:F".</t>
  </si>
  <si>
    <t xml:space="preserve"> - Atentar-se às descrições complementares dispostas na ABA "Especificações" que visam melhor entendimento dos itens de uniforme solicitados.</t>
  </si>
  <si>
    <t xml:space="preserve"> - Atentar-se às observações adicionais dispostas na ABA "Especificações", ao final do quadro com o detalhamento dos uniformes. (Células "A24:A32")</t>
  </si>
  <si>
    <t>5.</t>
  </si>
  <si>
    <r>
      <rPr>
        <sz val="10"/>
        <rFont val="Calibri"/>
        <family val="2"/>
      </rPr>
      <t xml:space="preserve">Destaca-se que após o preenchimento destas Abas (de acordo com as instruções contidas no item 3), os preços individuais das </t>
    </r>
    <r>
      <rPr>
        <b/>
        <sz val="10"/>
        <rFont val="Calibri"/>
        <family val="2"/>
      </rPr>
      <t>categorias</t>
    </r>
    <r>
      <rPr>
        <sz val="10"/>
        <rFont val="Calibri"/>
        <family val="2"/>
      </rPr>
      <t xml:space="preserve"> profissionais serão refletidos automaticamente para as suas abas correspondentes (Serv Ins, Serv, Copeira, Zel ac. e Aux).</t>
    </r>
  </si>
  <si>
    <t>5.1</t>
  </si>
  <si>
    <r>
      <rPr>
        <b/>
        <sz val="10"/>
        <rFont val="Calibri"/>
        <family val="2"/>
      </rPr>
      <t>Não será necessário realizar nenhuma alteração nas abas contendo o detalhamento de custos de cada categoria profissional.</t>
    </r>
    <r>
      <rPr>
        <sz val="10"/>
        <rFont val="Calibri"/>
        <family val="2"/>
      </rPr>
      <t xml:space="preserve"> Estas abas conterão apenas o reflexo dos dados preenchidos nas abas anteriores (conforme explicação nº 3).</t>
    </r>
  </si>
  <si>
    <t>5.2</t>
  </si>
  <si>
    <t>Estas abas estão destacadas na Cor Cinza.</t>
  </si>
  <si>
    <t>6.</t>
  </si>
  <si>
    <r>
      <rPr>
        <sz val="10"/>
        <rFont val="Calibri"/>
        <family val="2"/>
      </rPr>
      <t>A Aba "</t>
    </r>
    <r>
      <rPr>
        <b/>
        <sz val="10"/>
        <rFont val="Calibri"/>
        <family val="2"/>
      </rPr>
      <t>Resumo</t>
    </r>
    <r>
      <rPr>
        <sz val="10"/>
        <rFont val="Calibri"/>
        <family val="2"/>
      </rPr>
      <t>" contém o detalhamento dos custos unitários por categoria profissional, além de conter o preço final da proposta.</t>
    </r>
  </si>
  <si>
    <t>6.1</t>
  </si>
  <si>
    <r>
      <rPr>
        <sz val="10"/>
        <rFont val="Calibri"/>
        <family val="2"/>
      </rPr>
      <t xml:space="preserve">Para efeitos de lance/oferta, as licitantes devem considerar o valor da célula "T17", da Aba "Resumo", correspondente ao </t>
    </r>
    <r>
      <rPr>
        <b/>
        <sz val="10"/>
        <rFont val="Calibri"/>
        <family val="2"/>
      </rPr>
      <t>VALOR MENSAL.</t>
    </r>
  </si>
  <si>
    <t>6.2</t>
  </si>
  <si>
    <t>Esta aba está destacada na Cor Azul.</t>
  </si>
  <si>
    <t>7.</t>
  </si>
  <si>
    <r>
      <rPr>
        <sz val="10"/>
        <rFont val="Calibri"/>
        <family val="2"/>
      </rPr>
      <t>A Aba "</t>
    </r>
    <r>
      <rPr>
        <b/>
        <sz val="10"/>
        <rFont val="Calibri"/>
        <family val="2"/>
      </rPr>
      <t>Custo Estimado Substituto</t>
    </r>
    <r>
      <rPr>
        <sz val="10"/>
        <rFont val="Calibri"/>
        <family val="2"/>
      </rPr>
      <t>" contém valores estimados com os profissionais substitutos do titular em férias.</t>
    </r>
  </si>
  <si>
    <t>7.1</t>
  </si>
  <si>
    <t>Não será necessário realizar nenhuma alteração nesta aba, pois conterá apenas o reflexo dos dados preenchidos nas abas anteriores (conforme explicação nº 3).</t>
  </si>
  <si>
    <t>7.2</t>
  </si>
  <si>
    <t>ANEXO X - PLANILHA DE CUSTO E FORMAÇÃO DE PREÇO MENSAL ESTIMATIVO - PLANILHA DE DADOS</t>
  </si>
  <si>
    <t>Elemento de Despesa</t>
  </si>
  <si>
    <t>Quantidade de Postos</t>
  </si>
  <si>
    <t>Carga Horária
(Horas)</t>
  </si>
  <si>
    <t>*OBS 1 -
Salário Base I (Piso Para 220h/m)
(R$)</t>
  </si>
  <si>
    <t>Salário Base II
(Conforme Jornada Contratada)
(R$)</t>
  </si>
  <si>
    <t xml:space="preserve">
Insalubridade
Grau de Risco
(%)</t>
  </si>
  <si>
    <t>Valor Insalubridade
(R$)</t>
  </si>
  <si>
    <t>*OBS 2 -
Acúmulo de Função / Acréscimo Salarial
(%)</t>
  </si>
  <si>
    <t>*OBS 3 -
Tempo de Execução de Atividades em Acúmulo
(%)</t>
  </si>
  <si>
    <t>*OBS 4 -
Base Para Cálculo de Acúmulo de Função
(R$)</t>
  </si>
  <si>
    <t>Valor Acúmulo de Função
(R$)</t>
  </si>
  <si>
    <t>Remuneração Total
(Grupo A)
(R$)</t>
  </si>
  <si>
    <t>Uniforme
(R$)</t>
  </si>
  <si>
    <t>Material de Limpeza Rateado
(R$)</t>
  </si>
  <si>
    <t>Material de Copa Rateado
(R$)</t>
  </si>
  <si>
    <t xml:space="preserve"> Material de Limpeza  Veicular
(R$)</t>
  </si>
  <si>
    <t>Depreciação Rateada
(R$)</t>
  </si>
  <si>
    <t>CÓDIGO DE ELEMENTO DE DESPESA
(CONTROLE DA CONTRATANTE)</t>
  </si>
  <si>
    <t>RATEIO
INSUMOS</t>
  </si>
  <si>
    <t>Servente de Limpeza 40% Insalubridade</t>
  </si>
  <si>
    <t xml:space="preserve">Servente de Limpeza  </t>
  </si>
  <si>
    <t>Servente ac. Copeira</t>
  </si>
  <si>
    <t>Assistente Administrativo</t>
  </si>
  <si>
    <t>OBS 1: Inserir piso salarial correspondente à jornada de 220h mensais.      OBS 2: Informar % de acúmulo de função.</t>
  </si>
  <si>
    <t>OBS 3: Informar % do tempo de acúmulo de função.   OBS 4: Informar salário base.</t>
  </si>
  <si>
    <t>TOTAL</t>
  </si>
  <si>
    <t>DADOS DA PROPOSTA</t>
  </si>
  <si>
    <t>Data de apresentação da proposta</t>
  </si>
  <si>
    <t>ABERTURA DA PROPOSTA</t>
  </si>
  <si>
    <t>Informar data de abertura do certame / data final para cadastro da proposta comercial.</t>
  </si>
  <si>
    <t>Sindicato utilizado</t>
  </si>
  <si>
    <t>SETHAC-GV e SEAC/MG</t>
  </si>
  <si>
    <t>Informar o sindicato utilizado pela Licitante.</t>
  </si>
  <si>
    <t>Número de registro da CCT - Código MTE</t>
  </si>
  <si>
    <t>MG000439/2024</t>
  </si>
  <si>
    <t>Informar o número de registro da Convenção Coletiva de Tralbalho utilizada no processo licitatório, junto ao Ministério do Trabalho e Emprego.</t>
  </si>
  <si>
    <t>Vigência da CCT utilizada</t>
  </si>
  <si>
    <t>01/01/2024 à 31/12/2024</t>
  </si>
  <si>
    <t>Informar a vigência da Convenção Coletiva de Trabalho utilizada no processo licitatório.</t>
  </si>
  <si>
    <t>Data base da categoria</t>
  </si>
  <si>
    <t>1º de Janeiro</t>
  </si>
  <si>
    <t>Informar a data base da Convenção Coletiva de Trabalho utilizada no processo licitatório.</t>
  </si>
  <si>
    <t>ENCARGOS SOCIAIS E TRABALHISTAS</t>
  </si>
  <si>
    <t>-</t>
  </si>
  <si>
    <t>Percentual de Encargos (TOTAL)</t>
  </si>
  <si>
    <t>SAT - Seguro Acidentes Trabalho</t>
  </si>
  <si>
    <t>RAT (Atividade Principal)</t>
  </si>
  <si>
    <t>Informar percentual correspondente à atividade preponderante da Licitante.</t>
  </si>
  <si>
    <t>FAP (Conforme FapWeb)</t>
  </si>
  <si>
    <t>Informar Fator extraído do documento FapWeb da Licitante.</t>
  </si>
  <si>
    <t>SALÁRIO BASE PARE CÁLCULO DE INSALUBRIDADE</t>
  </si>
  <si>
    <t>Informar base salarial para fins de cálculo de Insalubridade.</t>
  </si>
  <si>
    <t>BENEFÍCIOS</t>
  </si>
  <si>
    <t>Seguro de Vida em Grupo</t>
  </si>
  <si>
    <t>Inserir valor unitário mensal.</t>
  </si>
  <si>
    <t>Programa de Assistência Familiar - PAF</t>
  </si>
  <si>
    <t>Vale Transporte</t>
  </si>
  <si>
    <t>Valor da tarifa</t>
  </si>
  <si>
    <t>Inserir o valor unitário da tarifa.</t>
  </si>
  <si>
    <t>Número de Tarifas por dia</t>
  </si>
  <si>
    <t>Inserir a quantidade de tarifas diárias.</t>
  </si>
  <si>
    <t>Número de dias para fornecimento</t>
  </si>
  <si>
    <t>Número de dias utilizados para a precificação. Número determinado em edital. Não será permitido alteração.</t>
  </si>
  <si>
    <t>Custeio do trabalhador (participação legal)</t>
  </si>
  <si>
    <t>Inserir percentual de participação do trabalhador.</t>
  </si>
  <si>
    <t>Vale Alimentação</t>
  </si>
  <si>
    <t>Valor Unitário do Ticket</t>
  </si>
  <si>
    <t>Inserir valor unitário do Ticket.</t>
  </si>
  <si>
    <t>Outros (inserir somente com a justificativa legal)</t>
  </si>
  <si>
    <t>Inserir valor unitário mensal, quando preenchido, e apresentar as justificativas legais para inclusão.</t>
  </si>
  <si>
    <t>MONTANTE C</t>
  </si>
  <si>
    <t>Despesas Administrativas</t>
  </si>
  <si>
    <t>Informar percentual da Licitante.</t>
  </si>
  <si>
    <t>Lucro</t>
  </si>
  <si>
    <t>MONTANTE D</t>
  </si>
  <si>
    <t>OBS:</t>
  </si>
  <si>
    <t>Opção Tributária</t>
  </si>
  <si>
    <t>LUCRO REAL</t>
  </si>
  <si>
    <t>Informar opção tributária da Licitante. Atentar-se às observações do "Montante D".</t>
  </si>
  <si>
    <t>COFINS</t>
  </si>
  <si>
    <t>Informar percentual da Licitante. Atentar-se às observações do "Montante D".</t>
  </si>
  <si>
    <t>PIS/PASEP</t>
  </si>
  <si>
    <t>ISSQN</t>
  </si>
  <si>
    <t>Informar percentual do código tributário municipal, local da execução das atividades.</t>
  </si>
  <si>
    <t>Informar o tipo de tributo e apresentar as justificativas legais para inclusão. Informar percentual da Licitante. Atentar-se às observações do "Montante D".</t>
  </si>
  <si>
    <t>Soma dos tributos</t>
  </si>
  <si>
    <t>PREVISÃO DE REAJUSTE IPCA - 12 (DOZE) MESES DE CONTRATO - INFORMATIVO PARA SER UTILIZADO DURANTE A GESTÃO CONTRATUAL</t>
  </si>
  <si>
    <t>UNIFORME</t>
  </si>
  <si>
    <t>MATERIAIS
DIVERSOS</t>
  </si>
  <si>
    <t>EPI COVID</t>
  </si>
  <si>
    <t>SEG VIDA</t>
  </si>
  <si>
    <t>FATOR DE APLICAÇÃO
(2 CASAS DECIMAIS)</t>
  </si>
  <si>
    <t>DATA DE APROVAÇÃO IPCA</t>
  </si>
  <si>
    <t>DOCUMENTO RELACIONADO ID</t>
  </si>
  <si>
    <t>1º REAJUSTE IPCA</t>
  </si>
  <si>
    <t>Percentual (%) aprovado</t>
  </si>
  <si>
    <t>Aplicar reajuste após solicitação da contratada?</t>
  </si>
  <si>
    <t>NÃO</t>
  </si>
  <si>
    <t>2º REAJUSTE IPCA</t>
  </si>
  <si>
    <t>3º REAJUSTE IPCA</t>
  </si>
  <si>
    <t>4º REAJUSTE IPCA</t>
  </si>
  <si>
    <t>5º REAJUSTE IPCA</t>
  </si>
  <si>
    <t>CONTROLE DE REAJUSTE IPCA - UNIFORME</t>
  </si>
  <si>
    <t>APLICAR
VALOR</t>
  </si>
  <si>
    <t>INICIAL</t>
  </si>
  <si>
    <t>CONTROLE DE REAJUSTE IPCA - MATERIAIS DIVERSOS</t>
  </si>
  <si>
    <t>CONTROLE DE REAJUSTE IPCA - EPI COVID</t>
  </si>
  <si>
    <t>CONTROLE DE REAJUSTE IPCA - SEGURO DE VIDA</t>
  </si>
  <si>
    <t>VALOR INICIAL DO CONTRATO</t>
  </si>
  <si>
    <t>HISTÓRICO - CONTROLE DE CONTRATO - VERSÃO DE PLANILHA DE CUSTOS</t>
  </si>
  <si>
    <t>Planilha / Proposta comercial - Início do contrato (Licitação)</t>
  </si>
  <si>
    <t>PLANILHA - ID</t>
  </si>
  <si>
    <t>Obs: Planiha apresentada e aceita durante a fase de lances.</t>
  </si>
  <si>
    <t>1º Termo Aditivo</t>
  </si>
  <si>
    <t>Obs: Planilha ajustada com o acréscimo de 1 posto "X" - 200h.</t>
  </si>
  <si>
    <t>1º Termo de Apostilamento</t>
  </si>
  <si>
    <t>Obs: Repactuação CCT 2024 / Alteração do salário mínimo nacional.</t>
  </si>
  <si>
    <t>INFORMAR TERMO ADITIVO / APOSTILAMENTO / ALTERAÇÃO CONTRATUAL</t>
  </si>
  <si>
    <t>Obs: Descrever alerações. EX: Como é realizado no Extrato.</t>
  </si>
  <si>
    <t>Planilha de Encargos Sociais e Trabalhistas</t>
  </si>
  <si>
    <t>ANEXO X</t>
  </si>
  <si>
    <t>INSTRUÇÕES DE PREENCHIMENTO - Informar/Alterar somente as células destacadas na Cor Amarela, de acordo com o percentual da Licitante.</t>
  </si>
  <si>
    <t>QUADRO RESUMO</t>
  </si>
  <si>
    <t>DESCRIÇÃO</t>
  </si>
  <si>
    <t>PERCENTUAL</t>
  </si>
  <si>
    <t>Grupo A</t>
  </si>
  <si>
    <t>Encargos Previdenciários, FGTS e Outras Contribuições</t>
  </si>
  <si>
    <t>PREVIDÊNCIA SOCIAL - INSS</t>
  </si>
  <si>
    <t>SESI ou SESC</t>
  </si>
  <si>
    <t>SENAI ou SENAC</t>
  </si>
  <si>
    <t>INCRA</t>
  </si>
  <si>
    <t>Salário Educação</t>
  </si>
  <si>
    <t>FGTS</t>
  </si>
  <si>
    <t>SAT - Seguro Acidentes Trabalho - (RAT x FAP)</t>
  </si>
  <si>
    <t xml:space="preserve">  Alterar FAP e RAT na aba "DADOS"</t>
  </si>
  <si>
    <t>SEBRAE</t>
  </si>
  <si>
    <t>Total Grupo A - Encargos previdenciários, FGTS e Outras Contribuições</t>
  </si>
  <si>
    <t>Grupo B</t>
  </si>
  <si>
    <t>Grupo B.1</t>
  </si>
  <si>
    <t>13º Salário</t>
  </si>
  <si>
    <t>Adicional de Férias</t>
  </si>
  <si>
    <t>Subtotal</t>
  </si>
  <si>
    <t>Incidência do Grupo A sobre 13º salário e adicional de férias</t>
  </si>
  <si>
    <t>Total Grupo B.1 - 13º salário e adicional de férias</t>
  </si>
  <si>
    <t>Grupo B.2</t>
  </si>
  <si>
    <t>Afastamento Maternidade</t>
  </si>
  <si>
    <t>Licença Maternidade</t>
  </si>
  <si>
    <t>Incidência do Grupo A sobre o afastamento maternidade</t>
  </si>
  <si>
    <t>Total Grupo B.2 - Afastamento maternidade</t>
  </si>
  <si>
    <t>Grupo B.3</t>
  </si>
  <si>
    <t>Provisão para Rescisão</t>
  </si>
  <si>
    <t>Aviso Prévio Indenizado</t>
  </si>
  <si>
    <t>Incidência do FGTS sobre o Aviso Prévio Indenizado</t>
  </si>
  <si>
    <t>Multa do FGTS do Aviso Prévio Indenizado</t>
  </si>
  <si>
    <t>Aviso Prévio Trabalhado</t>
  </si>
  <si>
    <t xml:space="preserve">Incidência do Grupo A sobre o Aviso Prévio Trabalhado </t>
  </si>
  <si>
    <t xml:space="preserve">Multa do FGTS do Aviso Prévio Trabalhado </t>
  </si>
  <si>
    <t>Total Grupo B.3 - Provisão para rescisão</t>
  </si>
  <si>
    <t>Grupo B.4</t>
  </si>
  <si>
    <t>Composição do Custo de Reposição do Profissional Ausente</t>
  </si>
  <si>
    <t>Remuneração do profissional substituto</t>
  </si>
  <si>
    <t>Ausência por doença</t>
  </si>
  <si>
    <t>Licença Paternidade</t>
  </si>
  <si>
    <t>Ausências Legais</t>
  </si>
  <si>
    <t>Ausência por acidente de trabalho</t>
  </si>
  <si>
    <t>PERCENTUAIS PARA CONTINGENCIAMENTO DE ENCARGOS TRABALHISTAS A SEREM APLICADOS SOBRE A NOTA FISCAL (UTILIZAÇÃO DURANTE A VIGÊNCIA CONTRATUAL)</t>
  </si>
  <si>
    <t>Incidência do submódulo 4.1 sobre custo de reposição</t>
  </si>
  <si>
    <t>Total Grupo B.4 - Custo de reposição do profissional ausente</t>
  </si>
  <si>
    <t>Título</t>
  </si>
  <si>
    <t>VARIAÇÃO RAT AJUSTADO 0,50% A 6%</t>
  </si>
  <si>
    <t>Grupo C</t>
  </si>
  <si>
    <t>Outros (especificar)</t>
  </si>
  <si>
    <t>EMPRESAS</t>
  </si>
  <si>
    <t>Indenização Adicional</t>
  </si>
  <si>
    <t xml:space="preserve">Grupo </t>
  </si>
  <si>
    <t>Mínimo</t>
  </si>
  <si>
    <t>Máximo</t>
  </si>
  <si>
    <t>LICITANTE</t>
  </si>
  <si>
    <t>Total Grupo C - Indenização Adicional</t>
  </si>
  <si>
    <t>SUBMÓDULO E.1 - da IN 02/2008 MPOG:</t>
  </si>
  <si>
    <t>Quadro Resumo - Encargos Sociais e Trabalhistas</t>
  </si>
  <si>
    <t>SAT (RATxFAP):</t>
  </si>
  <si>
    <t>13º salário</t>
  </si>
  <si>
    <t>13º Salário + Adicional de Férias</t>
  </si>
  <si>
    <t>Férias</t>
  </si>
  <si>
    <t>1/3 constitucional</t>
  </si>
  <si>
    <t>Custo de Rescisão</t>
  </si>
  <si>
    <t>Custo de Reposição do profissional Ausente</t>
  </si>
  <si>
    <t>Incidência do Grupo A (*)</t>
  </si>
  <si>
    <t>Multa do FGTS</t>
  </si>
  <si>
    <t>Total dos Encargos Sociais Trabalhistas</t>
  </si>
  <si>
    <t>Encargos a contingenciar</t>
  </si>
  <si>
    <t>Taxa da conta-corrente vinculada (inciso II art. 2º IN 001/2013</t>
  </si>
  <si>
    <t>1. Não deverá haver alteração nos itens 9(9,09%), 10(3,03%), 13(3,49%) e 16(9,09%) dos percentuais acima, considerando que a Justiça Federal segue as diretrizes da IN 1/2016, de 20 de janeiro de 2016, do CJF, bem como o disposto no Art. 12 da Lei 13.932/2019, com vigência a partir de 01/01/2020.</t>
  </si>
  <si>
    <t>Total a contingenciar</t>
  </si>
  <si>
    <t>ANEXO X - CUSTO ESTIMATIVO DE PREÇOS DE EQUIPAMENTOS</t>
  </si>
  <si>
    <t>Valores em R$</t>
  </si>
  <si>
    <t>Item</t>
  </si>
  <si>
    <t>Especificação</t>
  </si>
  <si>
    <t>Quant.</t>
  </si>
  <si>
    <t>Valor Unitário</t>
  </si>
  <si>
    <t>Valor Total</t>
  </si>
  <si>
    <t>Depreciação 10% ao Ano</t>
  </si>
  <si>
    <t>Repasse Mensal</t>
  </si>
  <si>
    <t xml:space="preserve">RELAÇÃO DE MÁQUINAS E EQUIPAMENTOS SERVENTE </t>
  </si>
  <si>
    <t xml:space="preserve">Escada extensível de alumínio - Tipo Degraus: 2x13, Capacidade: 150 KG, Tipo Sapata: Borracha Antiderrapante, Quantidade Degraus: 26 unid., Altura Fechada: 4,16M, Altura Aberta: 3,89M, Altura Estendida: 6,88M, Rodízios na Parte Superior </t>
  </si>
  <si>
    <t xml:space="preserve">Lavadora de alta pressão, Especificações mínimas - Pressão: 1.800 PSI, Vazão: 360 L/H, Tensão: 127V, Potência: 1.700W, Mangueira: 10 metros </t>
  </si>
  <si>
    <t xml:space="preserve">Total da Depreciação de Máquinas e Equipamentos de Servente </t>
  </si>
  <si>
    <t>ANEXO X - CUSTO ESTIMATIVO DE PREÇOS DOS UNIFORMES</t>
  </si>
  <si>
    <t>Serviços de Limpeza e Conservação</t>
  </si>
  <si>
    <t>CATEGORIA</t>
  </si>
  <si>
    <t>QUANT.</t>
  </si>
  <si>
    <t>DESCRIÇÃO DE UNIFORME</t>
  </si>
  <si>
    <t>CORES</t>
  </si>
  <si>
    <t>TOTAL DO QUANTITATIVO</t>
  </si>
  <si>
    <t xml:space="preserve">Servente </t>
  </si>
  <si>
    <t>Calça</t>
  </si>
  <si>
    <t>Calça de brim leve misto, Material: 67% Algodão / 33% Poliéster, Modelo: Unissex, Quantidade Bolsos: 4 (quatro), Tipo Cós: Com Elástico, Tamanho: Variado, com elástico na cintura e cordão</t>
  </si>
  <si>
    <t>Azul marinho</t>
  </si>
  <si>
    <t>Camisa</t>
  </si>
  <si>
    <t xml:space="preserve">Material: Malha PV, Tipo Manga: Curta, Tipo Colarinho: Gola Careca ou Redonda, Tamanho: Variado, Sem Bolso, Tipo Camisa: Lisa, com identificação da empresa </t>
  </si>
  <si>
    <t>Azul</t>
  </si>
  <si>
    <t>TOTAL DE POSTOS</t>
  </si>
  <si>
    <t>Calçado</t>
  </si>
  <si>
    <t xml:space="preserve">Botina de segurança, Material: couro curtido ao cromo, Modelo: cano curto, sem ponteira e confortável, com elástico nas laterais, que atenda às exigências das Normas de Segurança do Trabalho vigentes </t>
  </si>
  <si>
    <t>Preta</t>
  </si>
  <si>
    <t xml:space="preserve">Bota em PVC, Material: PVC - Cloreto De Polivinila, Tipo Cano: Médio, Material Sola: Borracha Antiderrapante, Tipo Uso: Serviços Gerais, que atenda às normas de Segurança do Trabalho vigentes </t>
  </si>
  <si>
    <t>Soma</t>
  </si>
  <si>
    <t xml:space="preserve">CÁLCULO VALOR DO REPASSE MENSAL SERVENTE DE LIMPEZA </t>
  </si>
  <si>
    <t>Jaleco</t>
  </si>
  <si>
    <t xml:space="preserve">Jaleco Feminino, Material: Brim Leve, Quantidade Bolsos: 2, Tipo: Médio, Com Gola, Quantidade Botões: 5 UN, Tipo Manga: Curta, Logotipo bordado </t>
  </si>
  <si>
    <t>Branco</t>
  </si>
  <si>
    <t>Touca</t>
  </si>
  <si>
    <t>Touca protetora em tecido e tela, lavável</t>
  </si>
  <si>
    <t>CÁLCULO VALOR DO REPASSE MENSAL ACÚMULO DE COPEIRA</t>
  </si>
  <si>
    <t>Zelador</t>
  </si>
  <si>
    <t>Material: jeans tradicional, com zíper e botão para fechamento no cós; 4 (quatro) bolsos.</t>
  </si>
  <si>
    <t>Azul Marinho</t>
  </si>
  <si>
    <t xml:space="preserve">Malha Piquet 100% algodão, Gola Polo, Tipo Manga: Curta, Abertura com 2 (dois) botões, Logotipo bordado </t>
  </si>
  <si>
    <t xml:space="preserve">Botina de segurança, Material: couro curtido ao cromo, Modelo: cano curto, sem ponteira e confortável, com cadarço, que atenda às exigências das Normas de Segurança do Trabalho vigentes </t>
  </si>
  <si>
    <t>CÁLCULO VALOR DO REPASSE MENSAL  DE ZELADOR</t>
  </si>
  <si>
    <t>Material: jeans com elastano, com zíper e botão para fechamento no cós; 4 (quatro) bolsos. Tamanho: Variado, Aplicação: Uniforme escritório</t>
  </si>
  <si>
    <t xml:space="preserve">Malha Piquet 100% algodão, Gola Polo, Tipo Manga: Curta, Abertura com 2 (dois) botões, Logotipo bordado, Tipo Uso: Uniforme escritório </t>
  </si>
  <si>
    <t>Branca</t>
  </si>
  <si>
    <t>Tênis esporte, material sintético, cano baixo, marca Olympikus ou similar</t>
  </si>
  <si>
    <t>Preto ou Banco</t>
  </si>
  <si>
    <t>CÁLCULO VALOR DO REPASSE MENSAL ASSISTENTE ADMINISTRATIVO / AUXILIAR JUDICIÁRIO</t>
  </si>
  <si>
    <t xml:space="preserve">ANEXO X - PLANILHA DE CUSTO E FORMAÇÃO DE PREÇO MENSAL ESTIMATIVO DO PROFISSIONAL SUBSTITUTO DO TITULAR EM FÉRIAS </t>
  </si>
  <si>
    <t xml:space="preserve">DESCRIÇÃO </t>
  </si>
  <si>
    <t>Percentual</t>
  </si>
  <si>
    <t>4.5</t>
  </si>
  <si>
    <t>Valor em R$</t>
  </si>
  <si>
    <t>Módulo 1 - Total da Remuneração</t>
  </si>
  <si>
    <t>A</t>
  </si>
  <si>
    <t>G</t>
  </si>
  <si>
    <t>Total do Custo MENSAL de Reposição do Profissional Ausente em Férias</t>
  </si>
  <si>
    <t>Total do Custo ANUAL de Reposição do Profissional Ausente em Férias</t>
  </si>
  <si>
    <t>Módulo 2 - Benefícios Mensais e Diários</t>
  </si>
  <si>
    <t>Vale-Alimentação</t>
  </si>
  <si>
    <t>B</t>
  </si>
  <si>
    <t>Vale-Transporte</t>
  </si>
  <si>
    <t>C</t>
  </si>
  <si>
    <t>Outros (sem concessão do intervalo intrajornada)</t>
  </si>
  <si>
    <t>Total de Benefícios Mensais e Diários</t>
  </si>
  <si>
    <t>Módulo 5 - Custos Indiretos, Lucros e Tributos</t>
  </si>
  <si>
    <t>Custos Indiretos (Despesas Operacionais e Administrativas)</t>
  </si>
  <si>
    <t>Tributos</t>
  </si>
  <si>
    <t>C.1</t>
  </si>
  <si>
    <t>Tributos Federais (PIS E COFINS)</t>
  </si>
  <si>
    <t>C.2</t>
  </si>
  <si>
    <t>Tributos Estaduais (especificar)</t>
  </si>
  <si>
    <t>C.3</t>
  </si>
  <si>
    <t>Tributos Municipais (ISS)</t>
  </si>
  <si>
    <t>C.4</t>
  </si>
  <si>
    <t>Total dos Custos Indiretos e Tributos</t>
  </si>
  <si>
    <t>CUSTO TOTAL DO PROFISSIONAL SUBSTITUTO</t>
  </si>
  <si>
    <t>Resumo do Custo Por Empregado Substituto do Titular em Férias</t>
  </si>
  <si>
    <t>Mão de Obra Vinculada à Execução Contratual  (Valor Por Empregado)</t>
  </si>
  <si>
    <t>Módulo 1 - Composição Remuneração * 12 (Anual)</t>
  </si>
  <si>
    <t>Subtotal (A+B)</t>
  </si>
  <si>
    <t>E</t>
  </si>
  <si>
    <t>Módulo 5 - Custos Indiretos, Tributos e Lucro</t>
  </si>
  <si>
    <t xml:space="preserve">Valor Total Mensal Por Empregado Substituto do Titular em Férias </t>
  </si>
  <si>
    <t>Planilha de Custo e Formação de Preço Mensal Por Categoria Profissional</t>
  </si>
  <si>
    <t>COM MATERIAL</t>
  </si>
  <si>
    <t>SEM MATERIAL</t>
  </si>
  <si>
    <t>CUSTO DE VALE ALIMENTAÇÃO</t>
  </si>
  <si>
    <t>CUSTO DE VALE-TRANSPORTE</t>
  </si>
  <si>
    <t>CUSTO INSALUBRIDADE</t>
  </si>
  <si>
    <t>33390.37.02 - Limpeza e Conservação</t>
  </si>
  <si>
    <t>MONTANTE "A" - Mão de Obra</t>
  </si>
  <si>
    <t>Função</t>
  </si>
  <si>
    <t>Carga Horária Mensal</t>
  </si>
  <si>
    <t xml:space="preserve"> Salário Base</t>
  </si>
  <si>
    <t>Adicional de Insalubridade</t>
  </si>
  <si>
    <t>Adicional Acúmulo de Função</t>
  </si>
  <si>
    <t>TOTAL DA REMUNERAÇÃO</t>
  </si>
  <si>
    <t xml:space="preserve">Encargos sociais e trabalhistas                         </t>
  </si>
  <si>
    <t>Total do Montante "A" ( Mão de Obra)</t>
  </si>
  <si>
    <t>MONTANTE "B" - INSUMOS</t>
  </si>
  <si>
    <t>Itens</t>
  </si>
  <si>
    <t>Valores Unitarios</t>
  </si>
  <si>
    <t>Uniforme</t>
  </si>
  <si>
    <t xml:space="preserve">Seguro de vida  </t>
  </si>
  <si>
    <t>Material de Limpeza</t>
  </si>
  <si>
    <t>Material de Copa</t>
  </si>
  <si>
    <t>Depreciação de Equipamentos</t>
  </si>
  <si>
    <t>Total do Montante "B" (Insumos)</t>
  </si>
  <si>
    <t>Montante "A" + Montante "B"</t>
  </si>
  <si>
    <t>MONTANTE "C" - DEMAIS COMPONENTES</t>
  </si>
  <si>
    <t>ITENS</t>
  </si>
  <si>
    <t>Despesas administrativas/operacionais</t>
  </si>
  <si>
    <t>Base de cálculo do lucro</t>
  </si>
  <si>
    <t>Total do Montante "C" (Demais componentes)</t>
  </si>
  <si>
    <t>Montante "A" + Montante "B" + Montante "C"</t>
  </si>
  <si>
    <t>MONTANTE "D" - TRIBUTOS</t>
  </si>
  <si>
    <t>Total do Montante "D" (Tributos)</t>
  </si>
  <si>
    <t>FATOR K</t>
  </si>
  <si>
    <t>Deslocamento Insalubridade</t>
  </si>
  <si>
    <t>ANEXO X - PLANILHA DE CUSTO E FORMAÇÃO DE PREÇO MENSAL ESTIMATIVO INTEGRAL - RESUMO</t>
  </si>
  <si>
    <t xml:space="preserve">MÊS: </t>
  </si>
  <si>
    <t>VALORES EM R$</t>
  </si>
  <si>
    <t>ELEMENTO DE DESPESA</t>
  </si>
  <si>
    <t>CATEGORIA PROFISSIONAL</t>
  </si>
  <si>
    <t>TOTAL DO FATURAMENTO MENSAL</t>
  </si>
  <si>
    <t>CUSTO MENSAL</t>
  </si>
  <si>
    <t>GLOSA VALE TRANSPORTE</t>
  </si>
  <si>
    <t>GLOSA DE ATRASOS, FALTAS E DESCONTO DO TITULAR EM FÉRIAS (sem material)</t>
  </si>
  <si>
    <t>GLOSA VALE ALIMENTAÇÃO</t>
  </si>
  <si>
    <t>TOTAL GLOSAS</t>
  </si>
  <si>
    <t>ACRÉSCIMO DE INSALUBRIDADE</t>
  </si>
  <si>
    <t>Homem-Mês</t>
  </si>
  <si>
    <t>Custo Mensal  do vale-transporte da categoria com Encargos</t>
  </si>
  <si>
    <t xml:space="preserve">GLOSA </t>
  </si>
  <si>
    <t>Glosa de Atrasos e Faltas</t>
  </si>
  <si>
    <t>Desconto Mensal do Titular em Férias sem substituição</t>
  </si>
  <si>
    <t>Desconto de Vale Alimentação em recesso forense ou ponto facultativo.</t>
  </si>
  <si>
    <t>Total da Glosa de Atrasos, Faltas, Desconto do Titular em Férias sem substituição e Desconto de V.A para recessos.</t>
  </si>
  <si>
    <t>PAGAMENTO INSALUBRIDADE EM SUBSTITUIÇÃO</t>
  </si>
  <si>
    <t>Custo Unitário da categoria</t>
  </si>
  <si>
    <t>Custo Mensal da categoria</t>
  </si>
  <si>
    <t>Dias de afastamento</t>
  </si>
  <si>
    <t>Valor da Glosa do vale transporte da categoria</t>
  </si>
  <si>
    <t>Custo Homem-Mês               (sem material)</t>
  </si>
  <si>
    <t>Valor da Glosa de Atrasos e Faltas</t>
  </si>
  <si>
    <t>Custo Unitário da categoria Planilha de Férias</t>
  </si>
  <si>
    <t xml:space="preserve">Valor do Desconto Mensal </t>
  </si>
  <si>
    <t>Custo Mensal  do vale alimentação da categoria com Encargos</t>
  </si>
  <si>
    <t>Dias de Recesso e/ou ponto facultativo</t>
  </si>
  <si>
    <t>Valor da Glosa do vale alimentação da categoria</t>
  </si>
  <si>
    <t>Valor Insalubridade por dia</t>
  </si>
  <si>
    <t>Quantidade de Dias</t>
  </si>
  <si>
    <t>Valor Devido</t>
  </si>
  <si>
    <t>339037-02</t>
  </si>
  <si>
    <t xml:space="preserve">TOTAL DO FATURAMENTO MENSAL </t>
  </si>
  <si>
    <t>Valor para Lance - Registro de oferta</t>
  </si>
  <si>
    <t>VALOR DO MATERIAL</t>
  </si>
  <si>
    <t>TOTAL DO FATURAMENTO ANUAL</t>
  </si>
  <si>
    <t>Subseção Judiciária de Sete Lagoas</t>
  </si>
  <si>
    <t>Período:</t>
  </si>
  <si>
    <t xml:space="preserve">ÍNDICE </t>
  </si>
  <si>
    <t>IPCA/ IBGE</t>
  </si>
  <si>
    <t>DIAS</t>
  </si>
  <si>
    <t>Pró-rata</t>
  </si>
  <si>
    <t>VALOR ATUAL</t>
  </si>
  <si>
    <t>ANO</t>
  </si>
  <si>
    <t>MÊS</t>
  </si>
  <si>
    <t>ÍNDICE %</t>
  </si>
  <si>
    <t>%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</si>
  <si>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</si>
  <si>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</si>
  <si>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</si>
  <si>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</si>
  <si>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</si>
  <si>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</si>
  <si>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</si>
  <si>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</si>
  <si>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</si>
  <si>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</si>
  <si>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</si>
  <si>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</si>
  <si>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INDICE ACUMULADO</t>
  </si>
  <si>
    <t>ANEXO X - CUSTO ESTIMATIVO DE PREÇOS DE EPI</t>
  </si>
  <si>
    <t>Total de EPI - Servente</t>
  </si>
  <si>
    <t xml:space="preserve">RELAÇÃO DE EPI SERVENTE </t>
  </si>
  <si>
    <t>EPI</t>
  </si>
  <si>
    <t xml:space="preserve"> - Materiais de Copa (Células "G45:54)</t>
  </si>
  <si>
    <t xml:space="preserve"> - Materiais de Limpeza (Células "G9:38)</t>
  </si>
  <si>
    <t xml:space="preserve"> - Materiais de Limpeza Veicular (Células G61:66)</t>
  </si>
  <si>
    <t>3.7</t>
  </si>
  <si>
    <t>PREENCHIMENTO ABA "EPI"</t>
  </si>
  <si>
    <t xml:space="preserve"> - Informar os valores unitários na "Coluna D"</t>
  </si>
  <si>
    <t xml:space="preserve"> - Informar o percentual de acúmulo de função a ser aplicado. (Célula "I9:I10").</t>
  </si>
  <si>
    <t xml:space="preserve"> - Informar o salário base para cálculo da atividade acumulada. (Célula "K9:K10").</t>
  </si>
  <si>
    <t xml:space="preserve"> - Informar os Dados da Apresentação da Proposta e relacionados à Convenção Coletiva de Trabalho. Tais informações não interferem na execução de cálculos, servem apenas para instruir o processo da análise da proposta. (Células "E17:E21").</t>
  </si>
  <si>
    <t>SALÁRIO MINÍMO NACIONAL</t>
  </si>
  <si>
    <t xml:space="preserve"> - Incluir outros custos não previstos previamente, bem como descrevê-los, em caso de previsão legal, devendo ser apresentadas justificativas para a inserção. (Células "B43" e "G43").</t>
  </si>
  <si>
    <t>33390.37.01 - Serviços Administrativos</t>
  </si>
  <si>
    <t>339037-01</t>
  </si>
  <si>
    <t>2. Na célula “R13” deverá ser informado a quantidade de dias em que o trabalho insalubre foi realizado por outra servente do quadro, durante as férias da titular.</t>
  </si>
  <si>
    <t xml:space="preserve"> - Informar piso salarial de cada categoria, correspondente à jornada de 220h. (Células "E7":"E13").</t>
  </si>
  <si>
    <t xml:space="preserve"> - Informar o percentual correspondente ao RAT, conforme atividade principal da licitante. (Célula "G26").</t>
  </si>
  <si>
    <t xml:space="preserve"> - Informar o fator correspondente ao FAP, conforme extraído do relatório FapWeb. (Célula "G27").</t>
  </si>
  <si>
    <t xml:space="preserve"> - Informar o valor do salário mínimo nacional vigente (base de cálculo para a cotação de insalubridade). (Célula "G30").</t>
  </si>
  <si>
    <t xml:space="preserve"> - Informar o valor unitário do Seguro de Vida, nos casos exigidos, conforme legislação vigente. (Célula "G33").</t>
  </si>
  <si>
    <t xml:space="preserve"> - Informar o valor unitário do Programa de Assistência Familiar - PAF, nos casos exigidos, conforme legislação vigente. (Célula "G34").</t>
  </si>
  <si>
    <t xml:space="preserve"> - Informar o valor unitário da tarifa de transporte público vigente à data de apresentação da proposta, conforme legislação vigente. (Célula "G35").</t>
  </si>
  <si>
    <t xml:space="preserve"> - Informar o quantitativo unitário diário de tarifas de transporte público (ex.: 1 tarifa para ida e 1 tarifa para volta = Total de 2 tarifas). (Célula "G36").</t>
  </si>
  <si>
    <t xml:space="preserve"> - Informar o percentual de desconto à título de participação do trabalhador em relação ao fornecimento de vale transporte, nos casos exigidos, conforme legislação vigente. (Célula "G38").</t>
  </si>
  <si>
    <t xml:space="preserve"> - Informar o valor unitário do ticket de Vale Alimentação, nos casos exigidos, conforme legislação vigente. (Célula "G39").</t>
  </si>
  <si>
    <t xml:space="preserve"> - Informar o percentual de desconto à título de participação do trabalhador em relação ao fornecimento de Vale Alimentação, nos casos exigidos, conforme legislação vigente. (Célula "G41").</t>
  </si>
  <si>
    <t xml:space="preserve"> - Incluir outros custos não previstos previamente, bem como descrevê-los, em caso de previsão legal, devendo ser apresentadas justificativas para a inserção. (Células "B42" e "G42").</t>
  </si>
  <si>
    <t xml:space="preserve"> - Informar o percentual relativo às Despesas Administrativas da licitante. (Células "G46").</t>
  </si>
  <si>
    <t xml:space="preserve"> - Informar o percentual relativo ao Lucro da licitante. (Células "G47").</t>
  </si>
  <si>
    <t xml:space="preserve"> - Informar a opção tributária da licitante (Células "F53") conforme legislação vigente, OBSERVANDO as instruções contantes na Célula "B51".</t>
  </si>
  <si>
    <t xml:space="preserve"> - Informar o percentual da alíquota COFINS (Células "G54") conforme legislação vigente, OBSERVANDO as instruções contantes na Célula "B51".</t>
  </si>
  <si>
    <t xml:space="preserve"> - Informar o percentual da alíquota PIS/PASEP (Células "G55") conforme legislação vigente, OBSERVANDO as instruções contantes na Célula "B51".</t>
  </si>
  <si>
    <t xml:space="preserve"> - Informar o percentual da alíquota ISSQN (Células "G56") conforme legislação vigente, OBSERVANDO as instruções contantes na Célula "B51".</t>
  </si>
  <si>
    <t xml:space="preserve"> - Incluir outros impostos não inseridos previamente, bem como descrevê-los, em caso de previsão legal, devendo ser apresentadas justificativas para a inserção. (Células "B57" e "G57").</t>
  </si>
  <si>
    <t>RELAÇÃO DE EPI ZELADOR</t>
  </si>
  <si>
    <t>Óculos de sergurança, Material: Policarbonato, incolor, atendendo às normas  de segurança</t>
  </si>
  <si>
    <t>Total de EPI - Zelador</t>
  </si>
  <si>
    <t>Servente acúmulo Copeira</t>
  </si>
  <si>
    <t>Zelador acúmulo Lavador de Carro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</si>
</sst>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\-??_-;_-@_-"/>
    <numFmt numFmtId="165" formatCode="_-&quot;R$ &quot;* #,##0.00_-;&quot;-R$ &quot;* #,##0.00_-;_-&quot;R$ &quot;* \-??_-;_-@_-"/>
    <numFmt numFmtId="166" formatCode="_(* #,##0.00_);_(* \(#,##0.00\);_(* \-??_);_(@_)"/>
    <numFmt numFmtId="167" formatCode="#,##0_ ;\-#,##0\ "/>
    <numFmt numFmtId="168" formatCode="d/m/yyyy"/>
    <numFmt numFmtId="169" formatCode="0.0000"/>
    <numFmt numFmtId="170" formatCode="* #,##0.00\ ;* \(#,##0.00\);* \-#\ ;@\ "/>
  </numFmts>
  <fonts count="44" x14ac:knownFonts="1">
    <font>
      <sz val="11"/>
      <color rgb="FF000000"/>
      <name val="Calibri"/>
      <family val="2"/>
    </font>
    <font>
      <sz val="11"/>
      <name val="Calibri"/>
      <family val="2"/>
    </font>
    <font>
      <sz val="10"/>
      <color rgb="FF333333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0"/>
      <color rgb="FFFF0000"/>
      <name val="Calibri"/>
      <family val="2"/>
    </font>
    <font>
      <sz val="11"/>
      <color rgb="FF808080"/>
      <name val="Calibri"/>
      <family val="2"/>
    </font>
    <font>
      <b/>
      <i/>
      <u/>
      <sz val="11"/>
      <name val="Calibri"/>
      <family val="2"/>
    </font>
    <font>
      <sz val="11"/>
      <color rgb="FFFF0000"/>
      <name val="Calibri"/>
      <family val="2"/>
    </font>
    <font>
      <b/>
      <u/>
      <sz val="10"/>
      <name val="Calibri"/>
      <family val="2"/>
    </font>
    <font>
      <b/>
      <sz val="14"/>
      <name val="Calibri"/>
      <family val="2"/>
    </font>
    <font>
      <b/>
      <sz val="6"/>
      <name val="Calibri"/>
      <family val="2"/>
    </font>
    <font>
      <b/>
      <sz val="9"/>
      <name val="Calibri"/>
      <family val="2"/>
    </font>
    <font>
      <sz val="10"/>
      <name val="Times New Roman"/>
      <family val="1"/>
    </font>
    <font>
      <b/>
      <sz val="12"/>
      <name val="Calibri"/>
      <family val="2"/>
    </font>
    <font>
      <sz val="10"/>
      <color rgb="FF000000"/>
      <name val="Calibri"/>
      <family val="2"/>
    </font>
    <font>
      <sz val="10"/>
      <color rgb="FF000000"/>
      <name val="Times New Roman"/>
      <family val="1"/>
    </font>
    <font>
      <sz val="8"/>
      <name val="Calibri"/>
      <family val="2"/>
    </font>
    <font>
      <sz val="10"/>
      <color rgb="FFFFFFFF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333333"/>
      <name val="Calibri"/>
      <family val="2"/>
    </font>
    <font>
      <b/>
      <sz val="11"/>
      <color rgb="FF333333"/>
      <name val="Calibri"/>
      <family val="2"/>
    </font>
    <font>
      <b/>
      <sz val="9"/>
      <color rgb="FF333333"/>
      <name val="Calibri"/>
      <family val="2"/>
    </font>
    <font>
      <b/>
      <sz val="10"/>
      <color rgb="FF000000"/>
      <name val="Calibri"/>
      <family val="2"/>
    </font>
    <font>
      <b/>
      <sz val="8"/>
      <name val="Calibri"/>
      <family val="2"/>
    </font>
    <font>
      <b/>
      <sz val="9"/>
      <color rgb="FFFF0000"/>
      <name val="Calibri"/>
      <family val="2"/>
    </font>
    <font>
      <b/>
      <sz val="12"/>
      <color rgb="FFBFBFBF"/>
      <name val="Calibri"/>
      <family val="2"/>
    </font>
    <font>
      <b/>
      <sz val="10"/>
      <color rgb="FFC00000"/>
      <name val="Calibri"/>
      <family val="2"/>
    </font>
    <font>
      <sz val="10"/>
      <color rgb="FFC00000"/>
      <name val="Calibri"/>
      <family val="2"/>
    </font>
    <font>
      <b/>
      <sz val="12"/>
      <color rgb="FFCCFFCC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10"/>
      <color rgb="FFFFFFFF"/>
      <name val="Calibri"/>
      <family val="2"/>
    </font>
    <font>
      <sz val="14"/>
      <name val="Calibri"/>
      <family val="2"/>
    </font>
    <font>
      <b/>
      <sz val="12.5"/>
      <name val="Calibri"/>
      <family val="2"/>
    </font>
    <font>
      <b/>
      <sz val="8"/>
      <color rgb="FFFF0000"/>
      <name val="Calibri"/>
      <family val="2"/>
    </font>
    <font>
      <sz val="11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8CBAD"/>
        <bgColor rgb="FFFFC7CE"/>
      </patternFill>
    </fill>
    <fill>
      <patternFill patternType="solid">
        <fgColor rgb="FFFFFFCC"/>
        <bgColor rgb="FFFFF2CC"/>
      </patternFill>
    </fill>
    <fill>
      <patternFill patternType="solid">
        <fgColor rgb="FFDCE6F2"/>
        <bgColor rgb="FFDEEBF7"/>
      </patternFill>
    </fill>
    <fill>
      <patternFill patternType="solid">
        <fgColor rgb="FFF2DCDB"/>
        <bgColor rgb="FFD9D9D9"/>
      </patternFill>
    </fill>
    <fill>
      <patternFill patternType="solid">
        <fgColor rgb="FF606060"/>
        <bgColor rgb="FF767171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CE6F2"/>
      </patternFill>
    </fill>
    <fill>
      <patternFill patternType="solid">
        <fgColor rgb="FFDEEBF7"/>
        <bgColor rgb="FFDCE6F2"/>
      </patternFill>
    </fill>
    <fill>
      <patternFill patternType="solid">
        <fgColor rgb="FFC0C0C0"/>
        <bgColor rgb="FFBFBFBF"/>
      </patternFill>
    </fill>
    <fill>
      <patternFill patternType="solid">
        <fgColor rgb="FFF2F2F2"/>
        <bgColor rgb="FFDEEBF7"/>
      </patternFill>
    </fill>
    <fill>
      <patternFill patternType="solid">
        <fgColor rgb="FF3366CC"/>
        <bgColor rgb="FF0066CC"/>
      </patternFill>
    </fill>
    <fill>
      <patternFill patternType="solid">
        <fgColor rgb="FF767171"/>
        <bgColor rgb="FF808080"/>
      </patternFill>
    </fill>
    <fill>
      <patternFill patternType="solid">
        <fgColor rgb="FF10243E"/>
        <bgColor rgb="FF333333"/>
      </patternFill>
    </fill>
    <fill>
      <patternFill patternType="solid">
        <fgColor rgb="FFBDD7EE"/>
        <bgColor rgb="FFD9D9D9"/>
      </patternFill>
    </fill>
    <fill>
      <patternFill patternType="solid">
        <fgColor rgb="FFFFF2CC"/>
        <bgColor rgb="FFFFFFCC"/>
      </patternFill>
    </fill>
    <fill>
      <patternFill patternType="solid">
        <fgColor rgb="FF808080"/>
        <bgColor rgb="FF767171"/>
      </patternFill>
    </fill>
    <fill>
      <patternFill patternType="solid">
        <fgColor rgb="FFADB9CA"/>
        <bgColor rgb="FFBFBFBF"/>
      </patternFill>
    </fill>
    <fill>
      <patternFill patternType="solid">
        <fgColor rgb="FF00B0F0"/>
        <bgColor rgb="FF33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249977111117893"/>
        <bgColor rgb="FFFFD966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64" fontId="43" fillId="0" borderId="0" applyBorder="0" applyProtection="0"/>
    <xf numFmtId="165" fontId="43" fillId="0" borderId="0" applyBorder="0" applyProtection="0"/>
    <xf numFmtId="9" fontId="43" fillId="0" borderId="0" applyBorder="0" applyProtection="0"/>
    <xf numFmtId="170" fontId="19" fillId="0" borderId="0" applyBorder="0" applyProtection="0"/>
  </cellStyleXfs>
  <cellXfs count="7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5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0" fontId="11" fillId="6" borderId="18" xfId="0" applyFont="1" applyFill="1" applyBorder="1" applyAlignment="1" applyProtection="1">
      <alignment horizontal="center" vertical="center"/>
      <protection locked="0"/>
    </xf>
    <xf numFmtId="0" fontId="11" fillId="6" borderId="4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horizontal="center" vertical="center"/>
      <protection locked="0"/>
    </xf>
    <xf numFmtId="2" fontId="11" fillId="6" borderId="17" xfId="0" applyNumberFormat="1" applyFont="1" applyFill="1" applyBorder="1" applyAlignment="1" applyProtection="1">
      <alignment horizontal="center" vertical="center"/>
      <protection locked="0"/>
    </xf>
    <xf numFmtId="2" fontId="9" fillId="0" borderId="20" xfId="0" applyNumberFormat="1" applyFont="1" applyBorder="1" applyAlignment="1">
      <alignment horizontal="center" vertical="center"/>
    </xf>
    <xf numFmtId="0" fontId="11" fillId="6" borderId="21" xfId="0" applyFont="1" applyFill="1" applyBorder="1" applyAlignment="1" applyProtection="1">
      <alignment horizontal="center" vertical="center"/>
      <protection locked="0"/>
    </xf>
    <xf numFmtId="164" fontId="12" fillId="7" borderId="21" xfId="0" applyNumberFormat="1" applyFont="1" applyFill="1" applyBorder="1" applyAlignment="1">
      <alignment horizontal="center" vertical="center"/>
    </xf>
    <xf numFmtId="165" fontId="9" fillId="0" borderId="22" xfId="0" applyNumberFormat="1" applyFont="1" applyBorder="1" applyAlignment="1">
      <alignment horizontal="center" vertical="center"/>
    </xf>
    <xf numFmtId="164" fontId="12" fillId="7" borderId="4" xfId="0" applyNumberFormat="1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vertical="center"/>
    </xf>
    <xf numFmtId="0" fontId="11" fillId="6" borderId="23" xfId="0" applyFont="1" applyFill="1" applyBorder="1" applyAlignment="1" applyProtection="1">
      <alignment horizontal="center" vertical="center"/>
      <protection locked="0"/>
    </xf>
    <xf numFmtId="0" fontId="11" fillId="6" borderId="24" xfId="0" applyFont="1" applyFill="1" applyBorder="1" applyAlignment="1" applyProtection="1">
      <alignment horizontal="center" vertical="center"/>
      <protection locked="0"/>
    </xf>
    <xf numFmtId="165" fontId="7" fillId="5" borderId="26" xfId="0" applyNumberFormat="1" applyFont="1" applyFill="1" applyBorder="1" applyAlignment="1">
      <alignment horizontal="center" vertical="center"/>
    </xf>
    <xf numFmtId="165" fontId="7" fillId="5" borderId="28" xfId="0" applyNumberFormat="1" applyFont="1" applyFill="1" applyBorder="1" applyAlignment="1">
      <alignment horizontal="center" vertical="center"/>
    </xf>
    <xf numFmtId="165" fontId="7" fillId="5" borderId="9" xfId="0" applyNumberFormat="1" applyFont="1" applyFill="1" applyBorder="1" applyAlignment="1">
      <alignment horizontal="center" vertical="center"/>
    </xf>
    <xf numFmtId="165" fontId="7" fillId="5" borderId="24" xfId="0" applyNumberFormat="1" applyFont="1" applyFill="1" applyBorder="1" applyAlignment="1">
      <alignment horizontal="center" vertical="center"/>
    </xf>
    <xf numFmtId="165" fontId="7" fillId="5" borderId="29" xfId="0" applyNumberFormat="1" applyFont="1" applyFill="1" applyBorder="1" applyAlignment="1">
      <alignment horizontal="center" vertical="center"/>
    </xf>
    <xf numFmtId="165" fontId="7" fillId="5" borderId="30" xfId="0" applyNumberFormat="1" applyFont="1" applyFill="1" applyBorder="1" applyAlignment="1">
      <alignment horizontal="center" vertical="center"/>
    </xf>
    <xf numFmtId="165" fontId="7" fillId="5" borderId="31" xfId="0" applyNumberFormat="1" applyFont="1" applyFill="1" applyBorder="1" applyAlignment="1">
      <alignment horizontal="center" vertical="center"/>
    </xf>
    <xf numFmtId="165" fontId="7" fillId="5" borderId="25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5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1" fillId="0" borderId="0" xfId="2" applyFont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7" fillId="5" borderId="20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/>
      <protection locked="0"/>
    </xf>
    <xf numFmtId="166" fontId="9" fillId="0" borderId="14" xfId="0" applyNumberFormat="1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167" fontId="9" fillId="0" borderId="12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8" borderId="17" xfId="0" applyNumberFormat="1" applyFont="1" applyFill="1" applyBorder="1" applyAlignment="1">
      <alignment horizontal="center" vertical="center"/>
    </xf>
    <xf numFmtId="165" fontId="7" fillId="5" borderId="14" xfId="2" applyFont="1" applyFill="1" applyBorder="1" applyAlignment="1" applyProtection="1">
      <alignment horizontal="center" vertical="center"/>
    </xf>
    <xf numFmtId="10" fontId="7" fillId="5" borderId="22" xfId="0" applyNumberFormat="1" applyFont="1" applyFill="1" applyBorder="1" applyAlignment="1">
      <alignment horizontal="center" vertical="center"/>
    </xf>
    <xf numFmtId="165" fontId="7" fillId="5" borderId="20" xfId="2" applyFont="1" applyFill="1" applyBorder="1" applyAlignment="1" applyProtection="1">
      <alignment horizontal="center" vertical="center"/>
    </xf>
    <xf numFmtId="165" fontId="7" fillId="5" borderId="31" xfId="2" applyFont="1" applyFill="1" applyBorder="1" applyAlignment="1" applyProtection="1">
      <alignment horizontal="center" vertical="center"/>
    </xf>
    <xf numFmtId="165" fontId="7" fillId="5" borderId="35" xfId="2" applyFont="1" applyFill="1" applyBorder="1" applyAlignment="1" applyProtection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0" fontId="1" fillId="0" borderId="4" xfId="0" applyFont="1" applyBorder="1"/>
    <xf numFmtId="3" fontId="1" fillId="0" borderId="19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9" fillId="0" borderId="1" xfId="0" applyFont="1" applyBorder="1"/>
    <xf numFmtId="0" fontId="2" fillId="0" borderId="2" xfId="0" applyFont="1" applyBorder="1" applyAlignment="1">
      <alignment vertical="center"/>
    </xf>
    <xf numFmtId="0" fontId="9" fillId="0" borderId="2" xfId="0" applyFont="1" applyBorder="1"/>
    <xf numFmtId="0" fontId="9" fillId="0" borderId="3" xfId="0" applyFont="1" applyBorder="1"/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4" fontId="9" fillId="0" borderId="4" xfId="0" applyNumberFormat="1" applyFont="1" applyBorder="1" applyAlignment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167" fontId="9" fillId="0" borderId="4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0" fontId="9" fillId="2" borderId="20" xfId="0" applyFont="1" applyFill="1" applyBorder="1" applyAlignment="1" applyProtection="1">
      <alignment vertical="center"/>
      <protection locked="0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165" fontId="11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8" fillId="11" borderId="1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4" fillId="0" borderId="17" xfId="0" applyFont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165" fontId="9" fillId="0" borderId="30" xfId="0" applyNumberFormat="1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3" fillId="0" borderId="1" xfId="0" applyFont="1" applyBorder="1"/>
    <xf numFmtId="0" fontId="23" fillId="0" borderId="3" xfId="0" applyFont="1" applyBorder="1"/>
    <xf numFmtId="0" fontId="15" fillId="0" borderId="0" xfId="0" applyFont="1" applyAlignment="1">
      <alignment horizontal="left"/>
    </xf>
    <xf numFmtId="0" fontId="9" fillId="2" borderId="9" xfId="0" applyFont="1" applyFill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9" fillId="2" borderId="0" xfId="0" applyFont="1" applyFill="1"/>
    <xf numFmtId="0" fontId="7" fillId="0" borderId="0" xfId="0" applyFont="1"/>
    <xf numFmtId="0" fontId="9" fillId="12" borderId="0" xfId="0" applyFont="1" applyFill="1"/>
    <xf numFmtId="0" fontId="24" fillId="13" borderId="0" xfId="0" applyFont="1" applyFill="1"/>
    <xf numFmtId="0" fontId="9" fillId="12" borderId="0" xfId="0" applyFont="1" applyFill="1" applyAlignment="1">
      <alignment vertical="center"/>
    </xf>
    <xf numFmtId="0" fontId="9" fillId="8" borderId="0" xfId="0" applyFont="1" applyFill="1" applyAlignment="1">
      <alignment vertic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165" fontId="9" fillId="0" borderId="0" xfId="0" applyNumberFormat="1" applyFont="1"/>
    <xf numFmtId="0" fontId="1" fillId="0" borderId="0" xfId="0" applyFont="1" applyAlignment="1">
      <alignment vertical="center"/>
    </xf>
    <xf numFmtId="168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9" fillId="9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169" fontId="6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4" fontId="1" fillId="2" borderId="4" xfId="1" applyNumberFormat="1" applyFont="1" applyFill="1" applyBorder="1" applyAlignment="1" applyProtection="1">
      <alignment horizontal="center" vertical="center"/>
      <protection locked="0"/>
    </xf>
    <xf numFmtId="4" fontId="1" fillId="0" borderId="4" xfId="1" applyNumberFormat="1" applyFont="1" applyBorder="1" applyAlignment="1" applyProtection="1">
      <alignment horizontal="center" vertical="center"/>
    </xf>
    <xf numFmtId="10" fontId="1" fillId="0" borderId="4" xfId="3" applyNumberFormat="1" applyFont="1" applyBorder="1" applyAlignment="1" applyProtection="1">
      <alignment horizontal="center" vertical="center"/>
    </xf>
    <xf numFmtId="4" fontId="5" fillId="0" borderId="4" xfId="1" applyNumberFormat="1" applyFont="1" applyBorder="1" applyAlignment="1" applyProtection="1">
      <alignment horizontal="center" vertical="center"/>
    </xf>
    <xf numFmtId="164" fontId="12" fillId="7" borderId="4" xfId="1" applyFont="1" applyFill="1" applyBorder="1" applyAlignment="1" applyProtection="1">
      <alignment horizontal="center" vertical="center"/>
    </xf>
    <xf numFmtId="10" fontId="1" fillId="2" borderId="4" xfId="3" applyNumberFormat="1" applyFont="1" applyFill="1" applyBorder="1" applyAlignment="1" applyProtection="1">
      <alignment horizontal="center" vertical="center"/>
      <protection locked="0"/>
    </xf>
    <xf numFmtId="2" fontId="1" fillId="0" borderId="4" xfId="3" applyNumberFormat="1" applyFont="1" applyBorder="1" applyAlignment="1" applyProtection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2" fontId="1" fillId="14" borderId="4" xfId="3" applyNumberFormat="1" applyFont="1" applyFill="1" applyBorder="1" applyAlignment="1" applyProtection="1">
      <alignment horizontal="center" vertical="center"/>
    </xf>
    <xf numFmtId="0" fontId="5" fillId="0" borderId="12" xfId="0" applyFont="1" applyBorder="1" applyAlignment="1">
      <alignment horizontal="center" vertical="center"/>
    </xf>
    <xf numFmtId="4" fontId="5" fillId="0" borderId="12" xfId="1" applyNumberFormat="1" applyFont="1" applyBorder="1" applyAlignment="1" applyProtection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1" fillId="0" borderId="44" xfId="0" applyFont="1" applyBorder="1" applyAlignment="1">
      <alignment vertical="center"/>
    </xf>
    <xf numFmtId="10" fontId="5" fillId="0" borderId="4" xfId="3" applyNumberFormat="1" applyFont="1" applyBorder="1" applyAlignment="1" applyProtection="1">
      <alignment horizontal="center" vertic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164" fontId="1" fillId="0" borderId="22" xfId="1" applyFont="1" applyBorder="1" applyAlignment="1" applyProtection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44" xfId="0" applyFont="1" applyBorder="1" applyAlignment="1">
      <alignment horizontal="center" vertical="center"/>
    </xf>
    <xf numFmtId="4" fontId="26" fillId="0" borderId="4" xfId="0" applyNumberFormat="1" applyFont="1" applyBorder="1" applyAlignment="1">
      <alignment horizontal="center" vertical="center"/>
    </xf>
    <xf numFmtId="10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0" xfId="1" applyFont="1" applyBorder="1" applyProtection="1"/>
    <xf numFmtId="10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5" fillId="9" borderId="4" xfId="0" applyFont="1" applyFill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1" fillId="0" borderId="34" xfId="0" applyFont="1" applyBorder="1"/>
    <xf numFmtId="0" fontId="1" fillId="0" borderId="12" xfId="0" applyFont="1" applyBorder="1"/>
    <xf numFmtId="0" fontId="2" fillId="0" borderId="1" xfId="0" applyFont="1" applyBorder="1"/>
    <xf numFmtId="0" fontId="2" fillId="0" borderId="41" xfId="0" applyFont="1" applyBorder="1" applyAlignment="1">
      <alignment vertical="center"/>
    </xf>
    <xf numFmtId="0" fontId="2" fillId="0" borderId="3" xfId="0" applyFont="1" applyBorder="1"/>
    <xf numFmtId="0" fontId="2" fillId="0" borderId="42" xfId="0" applyFont="1" applyBorder="1" applyAlignment="1">
      <alignment vertical="center"/>
    </xf>
    <xf numFmtId="0" fontId="10" fillId="0" borderId="3" xfId="0" applyFont="1" applyBorder="1"/>
    <xf numFmtId="0" fontId="28" fillId="0" borderId="17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9" fillId="9" borderId="17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10" fontId="10" fillId="2" borderId="20" xfId="0" applyNumberFormat="1" applyFont="1" applyFill="1" applyBorder="1" applyAlignment="1" applyProtection="1">
      <alignment horizontal="center" vertical="center"/>
      <protection locked="0"/>
    </xf>
    <xf numFmtId="10" fontId="10" fillId="0" borderId="20" xfId="0" applyNumberFormat="1" applyFont="1" applyBorder="1" applyAlignment="1">
      <alignment horizontal="center" vertical="center"/>
    </xf>
    <xf numFmtId="2" fontId="0" fillId="0" borderId="0" xfId="0" applyNumberFormat="1"/>
    <xf numFmtId="10" fontId="29" fillId="9" borderId="20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0" fontId="24" fillId="15" borderId="20" xfId="3" applyNumberFormat="1" applyFont="1" applyFill="1" applyBorder="1" applyAlignment="1" applyProtection="1">
      <alignment horizontal="center" vertical="center"/>
    </xf>
    <xf numFmtId="10" fontId="18" fillId="0" borderId="20" xfId="0" applyNumberFormat="1" applyFont="1" applyBorder="1" applyAlignment="1">
      <alignment horizontal="center" vertical="center"/>
    </xf>
    <xf numFmtId="10" fontId="21" fillId="0" borderId="14" xfId="0" applyNumberFormat="1" applyFont="1" applyBorder="1" applyAlignment="1">
      <alignment horizontal="center" vertical="center"/>
    </xf>
    <xf numFmtId="10" fontId="30" fillId="0" borderId="20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9" fillId="16" borderId="17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 wrapText="1"/>
    </xf>
    <xf numFmtId="0" fontId="8" fillId="16" borderId="20" xfId="0" applyFont="1" applyFill="1" applyBorder="1" applyAlignment="1">
      <alignment horizontal="center" vertical="center" wrapText="1"/>
    </xf>
    <xf numFmtId="10" fontId="9" fillId="16" borderId="4" xfId="0" applyNumberFormat="1" applyFont="1" applyFill="1" applyBorder="1" applyAlignment="1">
      <alignment horizontal="center" vertical="center"/>
    </xf>
    <xf numFmtId="10" fontId="11" fillId="16" borderId="20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10" fontId="10" fillId="0" borderId="4" xfId="0" applyNumberFormat="1" applyFont="1" applyBorder="1" applyAlignment="1">
      <alignment horizontal="center" vertical="center"/>
    </xf>
    <xf numFmtId="0" fontId="18" fillId="16" borderId="17" xfId="0" applyFont="1" applyFill="1" applyBorder="1" applyAlignment="1">
      <alignment horizontal="center" vertical="center" wrapText="1"/>
    </xf>
    <xf numFmtId="10" fontId="18" fillId="16" borderId="4" xfId="0" applyNumberFormat="1" applyFont="1" applyFill="1" applyBorder="1" applyAlignment="1">
      <alignment horizontal="center" vertical="center"/>
    </xf>
    <xf numFmtId="10" fontId="18" fillId="16" borderId="20" xfId="0" applyNumberFormat="1" applyFont="1" applyFill="1" applyBorder="1" applyAlignment="1">
      <alignment horizontal="center" vertical="center"/>
    </xf>
    <xf numFmtId="10" fontId="10" fillId="0" borderId="47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10" fontId="18" fillId="0" borderId="4" xfId="0" applyNumberFormat="1" applyFont="1" applyBorder="1" applyAlignment="1">
      <alignment horizontal="center" vertical="center"/>
    </xf>
    <xf numFmtId="10" fontId="32" fillId="0" borderId="47" xfId="0" applyNumberFormat="1" applyFont="1" applyBorder="1" applyAlignment="1">
      <alignment horizontal="center" vertical="center"/>
    </xf>
    <xf numFmtId="0" fontId="24" fillId="15" borderId="3" xfId="0" applyFont="1" applyFill="1" applyBorder="1" applyAlignment="1">
      <alignment horizontal="left" vertical="center"/>
    </xf>
    <xf numFmtId="0" fontId="24" fillId="15" borderId="0" xfId="0" applyFont="1" applyFill="1"/>
    <xf numFmtId="0" fontId="24" fillId="15" borderId="42" xfId="0" applyFont="1" applyFill="1" applyBorder="1"/>
    <xf numFmtId="10" fontId="10" fillId="0" borderId="4" xfId="0" applyNumberFormat="1" applyFont="1" applyBorder="1" applyAlignment="1">
      <alignment horizontal="center" vertical="center" wrapText="1"/>
    </xf>
    <xf numFmtId="10" fontId="10" fillId="0" borderId="20" xfId="0" applyNumberFormat="1" applyFont="1" applyBorder="1" applyAlignment="1">
      <alignment horizontal="center" vertical="center" wrapText="1"/>
    </xf>
    <xf numFmtId="0" fontId="18" fillId="16" borderId="25" xfId="0" applyFont="1" applyFill="1" applyBorder="1" applyAlignment="1">
      <alignment horizontal="center" vertical="center" wrapText="1"/>
    </xf>
    <xf numFmtId="10" fontId="18" fillId="16" borderId="30" xfId="0" applyNumberFormat="1" applyFont="1" applyFill="1" applyBorder="1" applyAlignment="1">
      <alignment horizontal="center" vertical="center"/>
    </xf>
    <xf numFmtId="10" fontId="32" fillId="16" borderId="3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41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42" xfId="0" applyFont="1" applyBorder="1"/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9" fontId="33" fillId="0" borderId="42" xfId="0" applyNumberFormat="1" applyFont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 wrapText="1"/>
    </xf>
    <xf numFmtId="4" fontId="7" fillId="9" borderId="4" xfId="0" applyNumberFormat="1" applyFont="1" applyFill="1" applyBorder="1" applyAlignment="1">
      <alignment horizontal="center" vertical="center" wrapText="1"/>
    </xf>
    <xf numFmtId="4" fontId="7" fillId="9" borderId="20" xfId="0" applyNumberFormat="1" applyFont="1" applyFill="1" applyBorder="1" applyAlignment="1">
      <alignment horizontal="center" vertical="center" wrapText="1"/>
    </xf>
    <xf numFmtId="0" fontId="7" fillId="0" borderId="17" xfId="1" applyNumberFormat="1" applyFont="1" applyBorder="1" applyAlignment="1" applyProtection="1">
      <alignment horizontal="center" vertical="center"/>
    </xf>
    <xf numFmtId="0" fontId="19" fillId="0" borderId="18" xfId="0" applyFont="1" applyBorder="1" applyAlignment="1">
      <alignment horizontal="left" vertical="center" wrapText="1"/>
    </xf>
    <xf numFmtId="0" fontId="9" fillId="0" borderId="4" xfId="1" applyNumberFormat="1" applyFont="1" applyBorder="1" applyAlignment="1" applyProtection="1">
      <alignment horizontal="center" vertical="center"/>
    </xf>
    <xf numFmtId="4" fontId="9" fillId="2" borderId="4" xfId="1" applyNumberFormat="1" applyFont="1" applyFill="1" applyBorder="1" applyAlignment="1" applyProtection="1">
      <alignment horizontal="center" vertical="center"/>
      <protection locked="0"/>
    </xf>
    <xf numFmtId="4" fontId="9" fillId="0" borderId="4" xfId="1" applyNumberFormat="1" applyFont="1" applyBorder="1" applyAlignment="1" applyProtection="1">
      <alignment horizontal="center" vertical="center"/>
    </xf>
    <xf numFmtId="4" fontId="9" fillId="0" borderId="20" xfId="1" applyNumberFormat="1" applyFont="1" applyBorder="1" applyAlignment="1" applyProtection="1">
      <alignment horizontal="center" vertical="center"/>
    </xf>
    <xf numFmtId="164" fontId="19" fillId="0" borderId="4" xfId="1" applyFont="1" applyBorder="1" applyAlignment="1" applyProtection="1">
      <alignment horizontal="left" vertical="center" wrapText="1"/>
    </xf>
    <xf numFmtId="4" fontId="30" fillId="9" borderId="31" xfId="1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3" fillId="0" borderId="50" xfId="0" applyFont="1" applyBorder="1" applyAlignment="1">
      <alignment horizontal="left" vertical="center"/>
    </xf>
    <xf numFmtId="0" fontId="23" fillId="0" borderId="32" xfId="0" applyFont="1" applyBorder="1" applyAlignment="1">
      <alignment horizontal="left"/>
    </xf>
    <xf numFmtId="1" fontId="23" fillId="0" borderId="32" xfId="0" applyNumberFormat="1" applyFont="1" applyBorder="1" applyAlignment="1">
      <alignment horizontal="center"/>
    </xf>
    <xf numFmtId="0" fontId="23" fillId="0" borderId="32" xfId="0" applyFont="1" applyBorder="1"/>
    <xf numFmtId="0" fontId="1" fillId="0" borderId="32" xfId="0" applyFont="1" applyBorder="1"/>
    <xf numFmtId="1" fontId="1" fillId="0" borderId="32" xfId="0" applyNumberFormat="1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4" fontId="1" fillId="0" borderId="51" xfId="0" applyNumberFormat="1" applyFont="1" applyBorder="1" applyAlignment="1">
      <alignment horizontal="center"/>
    </xf>
    <xf numFmtId="0" fontId="2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/>
    </xf>
    <xf numFmtId="1" fontId="23" fillId="0" borderId="0" xfId="0" applyNumberFormat="1" applyFont="1" applyAlignment="1">
      <alignment horizontal="center"/>
    </xf>
    <xf numFmtId="0" fontId="23" fillId="0" borderId="0" xfId="0" applyFont="1"/>
    <xf numFmtId="4" fontId="1" fillId="0" borderId="42" xfId="0" applyNumberFormat="1" applyFont="1" applyBorder="1" applyAlignment="1">
      <alignment horizontal="center"/>
    </xf>
    <xf numFmtId="0" fontId="23" fillId="0" borderId="0" xfId="0" applyFont="1" applyAlignment="1">
      <alignment horizontal="left" vertical="center"/>
    </xf>
    <xf numFmtId="1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" fontId="1" fillId="0" borderId="42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2" xfId="0" applyFont="1" applyBorder="1" applyAlignment="1">
      <alignment horizontal="left" vertical="center"/>
    </xf>
    <xf numFmtId="1" fontId="1" fillId="0" borderId="52" xfId="0" applyNumberFormat="1" applyFont="1" applyBorder="1" applyAlignment="1">
      <alignment horizontal="center" vertical="center"/>
    </xf>
    <xf numFmtId="2" fontId="1" fillId="0" borderId="52" xfId="0" applyNumberFormat="1" applyFont="1" applyBorder="1" applyAlignment="1">
      <alignment horizontal="center" vertical="center"/>
    </xf>
    <xf numFmtId="4" fontId="1" fillId="0" borderId="47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/>
    </xf>
    <xf numFmtId="1" fontId="9" fillId="0" borderId="4" xfId="1" applyNumberFormat="1" applyFont="1" applyBorder="1" applyAlignment="1" applyProtection="1">
      <alignment horizontal="center" vertical="center"/>
    </xf>
    <xf numFmtId="0" fontId="9" fillId="0" borderId="4" xfId="0" applyFont="1" applyBorder="1" applyAlignment="1">
      <alignment vertical="center" wrapText="1"/>
    </xf>
    <xf numFmtId="1" fontId="9" fillId="0" borderId="19" xfId="1" applyNumberFormat="1" applyFont="1" applyBorder="1" applyAlignment="1" applyProtection="1">
      <alignment horizontal="center" vertical="center"/>
    </xf>
    <xf numFmtId="2" fontId="1" fillId="17" borderId="4" xfId="0" applyNumberFormat="1" applyFont="1" applyFill="1" applyBorder="1" applyAlignment="1" applyProtection="1">
      <alignment horizontal="center" vertical="center"/>
      <protection locked="0"/>
    </xf>
    <xf numFmtId="4" fontId="9" fillId="0" borderId="47" xfId="1" applyNumberFormat="1" applyFont="1" applyBorder="1" applyAlignment="1" applyProtection="1">
      <alignment horizontal="center" vertical="center"/>
    </xf>
    <xf numFmtId="165" fontId="35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4" fontId="7" fillId="0" borderId="20" xfId="1" applyNumberFormat="1" applyFont="1" applyBorder="1" applyAlignment="1" applyProtection="1">
      <alignment horizontal="center" vertical="center"/>
    </xf>
    <xf numFmtId="2" fontId="20" fillId="9" borderId="54" xfId="0" applyNumberFormat="1" applyFont="1" applyFill="1" applyBorder="1" applyAlignment="1">
      <alignment horizontal="center" vertical="center"/>
    </xf>
    <xf numFmtId="1" fontId="9" fillId="0" borderId="0" xfId="1" applyNumberFormat="1" applyFont="1" applyBorder="1" applyAlignment="1" applyProtection="1">
      <alignment horizontal="center" vertical="center"/>
    </xf>
    <xf numFmtId="2" fontId="9" fillId="0" borderId="0" xfId="1" applyNumberFormat="1" applyFont="1" applyBorder="1" applyAlignment="1" applyProtection="1">
      <alignment horizontal="center" vertical="center"/>
    </xf>
    <xf numFmtId="4" fontId="9" fillId="0" borderId="42" xfId="1" applyNumberFormat="1" applyFont="1" applyBorder="1" applyAlignment="1" applyProtection="1">
      <alignment horizontal="center" vertical="center"/>
    </xf>
    <xf numFmtId="0" fontId="34" fillId="5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1" fontId="9" fillId="0" borderId="12" xfId="1" applyNumberFormat="1" applyFont="1" applyBorder="1" applyAlignment="1" applyProtection="1">
      <alignment horizontal="center" vertical="center"/>
    </xf>
    <xf numFmtId="0" fontId="21" fillId="0" borderId="12" xfId="0" applyFont="1" applyBorder="1" applyAlignment="1">
      <alignment vertical="center" wrapText="1"/>
    </xf>
    <xf numFmtId="1" fontId="3" fillId="0" borderId="17" xfId="0" applyNumberFormat="1" applyFont="1" applyBorder="1" applyAlignment="1">
      <alignment horizontal="center" vertical="center"/>
    </xf>
    <xf numFmtId="4" fontId="7" fillId="0" borderId="31" xfId="1" applyNumberFormat="1" applyFont="1" applyBorder="1" applyAlignment="1" applyProtection="1">
      <alignment horizontal="center" vertical="center"/>
    </xf>
    <xf numFmtId="0" fontId="20" fillId="0" borderId="0" xfId="0" applyFont="1" applyAlignment="1">
      <alignment horizontal="left" vertical="center"/>
    </xf>
    <xf numFmtId="1" fontId="20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4" fontId="20" fillId="0" borderId="42" xfId="1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>
      <alignment horizontal="center" vertical="center" wrapText="1"/>
    </xf>
    <xf numFmtId="4" fontId="7" fillId="0" borderId="28" xfId="1" applyNumberFormat="1" applyFont="1" applyBorder="1" applyAlignment="1" applyProtection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0" fillId="0" borderId="0" xfId="0" applyFont="1"/>
    <xf numFmtId="0" fontId="10" fillId="0" borderId="42" xfId="0" applyFont="1" applyBorder="1"/>
    <xf numFmtId="0" fontId="3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" fontId="38" fillId="8" borderId="4" xfId="0" applyNumberFormat="1" applyFont="1" applyFill="1" applyBorder="1" applyAlignment="1" applyProtection="1">
      <alignment horizontal="center" vertical="center"/>
      <protection locked="0"/>
    </xf>
    <xf numFmtId="1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/>
    </xf>
    <xf numFmtId="0" fontId="39" fillId="18" borderId="5" xfId="0" applyFont="1" applyFill="1" applyBorder="1" applyAlignment="1">
      <alignment horizontal="center" vertical="center"/>
    </xf>
    <xf numFmtId="4" fontId="39" fillId="18" borderId="7" xfId="0" applyNumberFormat="1" applyFont="1" applyFill="1" applyBorder="1" applyAlignment="1">
      <alignment vertical="center"/>
    </xf>
    <xf numFmtId="4" fontId="39" fillId="18" borderId="8" xfId="0" applyNumberFormat="1" applyFont="1" applyFill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9" fillId="8" borderId="12" xfId="4" applyNumberFormat="1" applyFont="1" applyFill="1" applyBorder="1" applyAlignment="1" applyProtection="1">
      <alignment vertical="center"/>
    </xf>
    <xf numFmtId="4" fontId="9" fillId="8" borderId="14" xfId="4" applyNumberFormat="1" applyFont="1" applyFill="1" applyBorder="1" applyAlignment="1" applyProtection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10" fontId="21" fillId="0" borderId="4" xfId="0" applyNumberFormat="1" applyFont="1" applyBorder="1" applyAlignment="1">
      <alignment horizontal="center" vertical="center"/>
    </xf>
    <xf numFmtId="4" fontId="9" fillId="8" borderId="4" xfId="4" applyNumberFormat="1" applyFont="1" applyFill="1" applyBorder="1" applyAlignment="1" applyProtection="1">
      <alignment vertical="center"/>
    </xf>
    <xf numFmtId="4" fontId="9" fillId="8" borderId="20" xfId="4" applyNumberFormat="1" applyFont="1" applyFill="1" applyBorder="1" applyAlignment="1" applyProtection="1">
      <alignment vertical="center"/>
    </xf>
    <xf numFmtId="10" fontId="30" fillId="0" borderId="4" xfId="0" applyNumberFormat="1" applyFont="1" applyBorder="1" applyAlignment="1">
      <alignment horizontal="center" vertical="center"/>
    </xf>
    <xf numFmtId="4" fontId="7" fillId="8" borderId="4" xfId="4" applyNumberFormat="1" applyFont="1" applyFill="1" applyBorder="1" applyAlignment="1" applyProtection="1">
      <alignment horizontal="right" vertical="center"/>
    </xf>
    <xf numFmtId="4" fontId="7" fillId="8" borderId="20" xfId="4" applyNumberFormat="1" applyFont="1" applyFill="1" applyBorder="1" applyAlignment="1" applyProtection="1">
      <alignment horizontal="right" vertical="center"/>
    </xf>
    <xf numFmtId="0" fontId="30" fillId="9" borderId="17" xfId="0" applyFont="1" applyFill="1" applyBorder="1" applyAlignment="1" applyProtection="1">
      <alignment horizontal="center" vertical="center"/>
      <protection locked="0"/>
    </xf>
    <xf numFmtId="0" fontId="30" fillId="9" borderId="4" xfId="0" applyFont="1" applyFill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4" fontId="9" fillId="0" borderId="4" xfId="0" applyNumberFormat="1" applyFont="1" applyBorder="1" applyAlignment="1" applyProtection="1">
      <alignment vertical="center"/>
      <protection locked="0"/>
    </xf>
    <xf numFmtId="4" fontId="9" fillId="0" borderId="19" xfId="0" applyNumberFormat="1" applyFont="1" applyBorder="1" applyAlignment="1" applyProtection="1">
      <alignment vertical="center"/>
      <protection locked="0"/>
    </xf>
    <xf numFmtId="4" fontId="9" fillId="0" borderId="20" xfId="0" applyNumberFormat="1" applyFont="1" applyBorder="1" applyAlignment="1" applyProtection="1">
      <alignment vertical="center"/>
      <protection locked="0"/>
    </xf>
    <xf numFmtId="4" fontId="30" fillId="0" borderId="4" xfId="0" applyNumberFormat="1" applyFont="1" applyBorder="1" applyAlignment="1" applyProtection="1">
      <alignment vertical="center"/>
      <protection locked="0"/>
    </xf>
    <xf numFmtId="4" fontId="30" fillId="0" borderId="20" xfId="0" applyNumberFormat="1" applyFont="1" applyBorder="1" applyAlignment="1" applyProtection="1">
      <alignment vertical="center"/>
      <protection locked="0"/>
    </xf>
    <xf numFmtId="10" fontId="30" fillId="9" borderId="4" xfId="0" applyNumberFormat="1" applyFont="1" applyFill="1" applyBorder="1" applyAlignment="1">
      <alignment horizontal="center" vertical="center"/>
    </xf>
    <xf numFmtId="10" fontId="9" fillId="0" borderId="4" xfId="0" applyNumberFormat="1" applyFont="1" applyBorder="1" applyAlignment="1" applyProtection="1">
      <alignment vertical="center"/>
      <protection locked="0"/>
    </xf>
    <xf numFmtId="4" fontId="9" fillId="8" borderId="4" xfId="0" applyNumberFormat="1" applyFont="1" applyFill="1" applyBorder="1" applyAlignment="1">
      <alignment horizontal="right" vertical="center"/>
    </xf>
    <xf numFmtId="4" fontId="9" fillId="8" borderId="20" xfId="0" applyNumberFormat="1" applyFont="1" applyFill="1" applyBorder="1" applyAlignment="1">
      <alignment horizontal="right" vertical="center"/>
    </xf>
    <xf numFmtId="0" fontId="30" fillId="0" borderId="17" xfId="0" applyFont="1" applyBorder="1" applyAlignment="1" applyProtection="1">
      <alignment horizontal="center" vertical="center"/>
      <protection locked="0"/>
    </xf>
    <xf numFmtId="10" fontId="30" fillId="0" borderId="4" xfId="0" applyNumberFormat="1" applyFont="1" applyBorder="1" applyAlignment="1" applyProtection="1">
      <alignment vertical="center"/>
      <protection locked="0"/>
    </xf>
    <xf numFmtId="4" fontId="30" fillId="8" borderId="4" xfId="0" applyNumberFormat="1" applyFont="1" applyFill="1" applyBorder="1" applyAlignment="1" applyProtection="1">
      <alignment horizontal="right" vertical="center"/>
      <protection locked="0"/>
    </xf>
    <xf numFmtId="4" fontId="30" fillId="8" borderId="20" xfId="0" applyNumberFormat="1" applyFont="1" applyFill="1" applyBorder="1" applyAlignment="1" applyProtection="1">
      <alignment horizontal="right" vertical="center"/>
      <protection locked="0"/>
    </xf>
    <xf numFmtId="0" fontId="9" fillId="8" borderId="17" xfId="0" applyFont="1" applyFill="1" applyBorder="1" applyAlignment="1" applyProtection="1">
      <alignment horizontal="center" vertical="center"/>
      <protection locked="0"/>
    </xf>
    <xf numFmtId="0" fontId="30" fillId="0" borderId="48" xfId="0" applyFont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4" fontId="30" fillId="0" borderId="18" xfId="0" applyNumberFormat="1" applyFont="1" applyBorder="1" applyAlignment="1" applyProtection="1">
      <alignment horizontal="right" vertical="center"/>
      <protection locked="0"/>
    </xf>
    <xf numFmtId="4" fontId="30" fillId="0" borderId="56" xfId="0" applyNumberFormat="1" applyFont="1" applyBorder="1" applyAlignment="1" applyProtection="1">
      <alignment horizontal="right" vertical="center"/>
      <protection locked="0"/>
    </xf>
    <xf numFmtId="0" fontId="30" fillId="9" borderId="11" xfId="0" applyFont="1" applyFill="1" applyBorder="1" applyAlignment="1">
      <alignment vertical="center"/>
    </xf>
    <xf numFmtId="0" fontId="30" fillId="9" borderId="12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4" fontId="21" fillId="8" borderId="4" xfId="0" applyNumberFormat="1" applyFont="1" applyFill="1" applyBorder="1" applyAlignment="1">
      <alignment vertical="center"/>
    </xf>
    <xf numFmtId="4" fontId="21" fillId="8" borderId="20" xfId="0" applyNumberFormat="1" applyFont="1" applyFill="1" applyBorder="1" applyAlignment="1">
      <alignment vertical="center"/>
    </xf>
    <xf numFmtId="0" fontId="30" fillId="0" borderId="4" xfId="0" applyFont="1" applyBorder="1" applyAlignment="1">
      <alignment vertical="center"/>
    </xf>
    <xf numFmtId="4" fontId="30" fillId="8" borderId="4" xfId="0" applyNumberFormat="1" applyFont="1" applyFill="1" applyBorder="1" applyAlignment="1">
      <alignment vertical="center"/>
    </xf>
    <xf numFmtId="4" fontId="30" fillId="8" borderId="20" xfId="0" applyNumberFormat="1" applyFont="1" applyFill="1" applyBorder="1" applyAlignment="1">
      <alignment vertical="center"/>
    </xf>
    <xf numFmtId="0" fontId="9" fillId="0" borderId="48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4" fontId="21" fillId="8" borderId="18" xfId="0" applyNumberFormat="1" applyFont="1" applyFill="1" applyBorder="1" applyAlignment="1">
      <alignment vertical="center"/>
    </xf>
    <xf numFmtId="4" fontId="21" fillId="8" borderId="56" xfId="0" applyNumberFormat="1" applyFont="1" applyFill="1" applyBorder="1" applyAlignment="1">
      <alignment vertical="center"/>
    </xf>
    <xf numFmtId="0" fontId="30" fillId="9" borderId="5" xfId="0" applyFont="1" applyFill="1" applyBorder="1" applyAlignment="1">
      <alignment vertical="center"/>
    </xf>
    <xf numFmtId="0" fontId="30" fillId="9" borderId="7" xfId="0" applyFont="1" applyFill="1" applyBorder="1" applyAlignment="1">
      <alignment vertical="center"/>
    </xf>
    <xf numFmtId="4" fontId="30" fillId="9" borderId="7" xfId="0" applyNumberFormat="1" applyFont="1" applyFill="1" applyBorder="1" applyAlignment="1">
      <alignment vertical="center"/>
    </xf>
    <xf numFmtId="4" fontId="30" fillId="9" borderId="8" xfId="0" applyNumberFormat="1" applyFont="1" applyFill="1" applyBorder="1" applyAlignment="1">
      <alignment vertical="center"/>
    </xf>
    <xf numFmtId="4" fontId="9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/>
    </xf>
    <xf numFmtId="4" fontId="9" fillId="0" borderId="41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4" fontId="9" fillId="0" borderId="0" xfId="0" applyNumberFormat="1" applyFont="1" applyAlignment="1">
      <alignment horizontal="center" vertical="center"/>
    </xf>
    <xf numFmtId="4" fontId="9" fillId="0" borderId="42" xfId="0" applyNumberFormat="1" applyFont="1" applyBorder="1" applyAlignment="1">
      <alignment horizontal="center"/>
    </xf>
    <xf numFmtId="0" fontId="9" fillId="9" borderId="54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1" fontId="9" fillId="0" borderId="4" xfId="0" applyNumberFormat="1" applyFont="1" applyBorder="1" applyAlignment="1" applyProtection="1">
      <alignment horizontal="center" vertical="center"/>
      <protection locked="0"/>
    </xf>
    <xf numFmtId="4" fontId="9" fillId="9" borderId="4" xfId="0" applyNumberFormat="1" applyFont="1" applyFill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vertical="center" wrapText="1"/>
      <protection locked="0"/>
    </xf>
    <xf numFmtId="10" fontId="9" fillId="0" borderId="18" xfId="0" applyNumberFormat="1" applyFont="1" applyBorder="1" applyAlignment="1" applyProtection="1">
      <alignment horizontal="center" vertical="center"/>
      <protection locked="0"/>
    </xf>
    <xf numFmtId="4" fontId="9" fillId="9" borderId="18" xfId="0" applyNumberFormat="1" applyFont="1" applyFill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4" fontId="9" fillId="0" borderId="56" xfId="0" applyNumberFormat="1" applyFont="1" applyBorder="1" applyAlignment="1">
      <alignment horizontal="center" vertical="center"/>
    </xf>
    <xf numFmtId="4" fontId="7" fillId="9" borderId="4" xfId="0" applyNumberFormat="1" applyFont="1" applyFill="1" applyBorder="1" applyAlignment="1">
      <alignment horizontal="center" vertical="center"/>
    </xf>
    <xf numFmtId="4" fontId="7" fillId="9" borderId="20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 applyProtection="1">
      <alignment horizontal="center" vertical="center"/>
      <protection locked="0"/>
    </xf>
    <xf numFmtId="4" fontId="7" fillId="9" borderId="7" xfId="0" applyNumberFormat="1" applyFont="1" applyFill="1" applyBorder="1" applyAlignment="1">
      <alignment horizontal="center" vertical="center"/>
    </xf>
    <xf numFmtId="4" fontId="7" fillId="9" borderId="8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2" fontId="9" fillId="0" borderId="4" xfId="0" applyNumberFormat="1" applyFont="1" applyBorder="1" applyAlignment="1">
      <alignment horizontal="center" vertical="center"/>
    </xf>
    <xf numFmtId="2" fontId="9" fillId="0" borderId="4" xfId="1" applyNumberFormat="1" applyFont="1" applyBorder="1" applyAlignment="1" applyProtection="1">
      <alignment horizontal="center" vertical="center"/>
    </xf>
    <xf numFmtId="10" fontId="9" fillId="0" borderId="4" xfId="3" applyNumberFormat="1" applyFont="1" applyBorder="1" applyAlignment="1" applyProtection="1">
      <alignment horizontal="center" vertical="center"/>
    </xf>
    <xf numFmtId="4" fontId="9" fillId="0" borderId="4" xfId="1" applyNumberFormat="1" applyFont="1" applyBorder="1" applyAlignment="1" applyProtection="1">
      <alignment horizontal="center" vertical="center"/>
      <protection locked="0"/>
    </xf>
    <xf numFmtId="166" fontId="9" fillId="0" borderId="0" xfId="0" applyNumberFormat="1" applyFont="1" applyAlignment="1">
      <alignment vertical="center"/>
    </xf>
    <xf numFmtId="2" fontId="9" fillId="0" borderId="18" xfId="1" applyNumberFormat="1" applyFont="1" applyBorder="1" applyAlignment="1" applyProtection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9" fillId="0" borderId="52" xfId="0" applyFont="1" applyBorder="1" applyAlignment="1">
      <alignment vertical="center"/>
    </xf>
    <xf numFmtId="10" fontId="9" fillId="0" borderId="4" xfId="0" applyNumberFormat="1" applyFont="1" applyBorder="1" applyAlignment="1">
      <alignment horizontal="center" vertical="center"/>
    </xf>
    <xf numFmtId="4" fontId="9" fillId="0" borderId="52" xfId="0" applyNumberFormat="1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10" fontId="9" fillId="0" borderId="18" xfId="0" applyNumberFormat="1" applyFont="1" applyBorder="1" applyAlignment="1">
      <alignment horizontal="center" vertical="center"/>
    </xf>
    <xf numFmtId="4" fontId="9" fillId="0" borderId="32" xfId="0" applyNumberFormat="1" applyFont="1" applyBorder="1" applyAlignment="1">
      <alignment vertical="center"/>
    </xf>
    <xf numFmtId="0" fontId="7" fillId="9" borderId="60" xfId="0" applyFont="1" applyFill="1" applyBorder="1" applyAlignment="1">
      <alignment vertical="center"/>
    </xf>
    <xf numFmtId="0" fontId="7" fillId="9" borderId="61" xfId="0" applyFont="1" applyFill="1" applyBorder="1" applyAlignment="1">
      <alignment vertical="center"/>
    </xf>
    <xf numFmtId="10" fontId="7" fillId="9" borderId="7" xfId="0" applyNumberFormat="1" applyFont="1" applyFill="1" applyBorder="1" applyAlignment="1">
      <alignment horizontal="center" vertical="center"/>
    </xf>
    <xf numFmtId="4" fontId="7" fillId="9" borderId="7" xfId="0" applyNumberFormat="1" applyFont="1" applyFill="1" applyBorder="1" applyAlignment="1">
      <alignment vertical="center"/>
    </xf>
    <xf numFmtId="4" fontId="7" fillId="9" borderId="62" xfId="0" applyNumberFormat="1" applyFont="1" applyFill="1" applyBorder="1" applyAlignment="1">
      <alignment horizontal="center" vertical="center"/>
    </xf>
    <xf numFmtId="4" fontId="7" fillId="9" borderId="28" xfId="0" applyNumberFormat="1" applyFont="1" applyFill="1" applyBorder="1" applyAlignment="1">
      <alignment horizontal="center" vertical="center"/>
    </xf>
    <xf numFmtId="10" fontId="7" fillId="9" borderId="18" xfId="0" applyNumberFormat="1" applyFont="1" applyFill="1" applyBorder="1" applyAlignment="1">
      <alignment horizontal="center" vertical="center"/>
    </xf>
    <xf numFmtId="4" fontId="7" fillId="9" borderId="18" xfId="0" applyNumberFormat="1" applyFont="1" applyFill="1" applyBorder="1" applyAlignment="1">
      <alignment horizontal="center" vertical="center"/>
    </xf>
    <xf numFmtId="4" fontId="7" fillId="9" borderId="59" xfId="0" applyNumberFormat="1" applyFont="1" applyFill="1" applyBorder="1" applyAlignment="1">
      <alignment horizontal="center" vertical="center"/>
    </xf>
    <xf numFmtId="4" fontId="7" fillId="9" borderId="63" xfId="0" applyNumberFormat="1" applyFont="1" applyFill="1" applyBorder="1" applyAlignment="1">
      <alignment horizontal="center" vertical="center"/>
    </xf>
    <xf numFmtId="4" fontId="20" fillId="9" borderId="4" xfId="0" applyNumberFormat="1" applyFont="1" applyFill="1" applyBorder="1" applyAlignment="1">
      <alignment horizontal="center" vertical="center"/>
    </xf>
    <xf numFmtId="4" fontId="20" fillId="9" borderId="20" xfId="0" applyNumberFormat="1" applyFont="1" applyFill="1" applyBorder="1" applyAlignment="1">
      <alignment horizontal="center" vertical="center"/>
    </xf>
    <xf numFmtId="164" fontId="9" fillId="0" borderId="0" xfId="0" applyNumberFormat="1" applyFont="1"/>
    <xf numFmtId="2" fontId="20" fillId="9" borderId="30" xfId="0" applyNumberFormat="1" applyFont="1" applyFill="1" applyBorder="1" applyAlignment="1">
      <alignment horizontal="center" vertical="center"/>
    </xf>
    <xf numFmtId="165" fontId="7" fillId="10" borderId="31" xfId="2" applyFont="1" applyFill="1" applyBorder="1" applyAlignment="1" applyProtection="1">
      <alignment horizontal="center" vertical="center"/>
    </xf>
    <xf numFmtId="10" fontId="9" fillId="0" borderId="4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1" fillId="0" borderId="2" xfId="0" applyFont="1" applyBorder="1"/>
    <xf numFmtId="0" fontId="1" fillId="0" borderId="41" xfId="0" applyFont="1" applyBorder="1"/>
    <xf numFmtId="0" fontId="1" fillId="0" borderId="3" xfId="0" applyFont="1" applyBorder="1"/>
    <xf numFmtId="0" fontId="1" fillId="0" borderId="42" xfId="0" applyFont="1" applyBorder="1"/>
    <xf numFmtId="0" fontId="40" fillId="0" borderId="0" xfId="0" applyFont="1" applyAlignment="1">
      <alignment vertical="center"/>
    </xf>
    <xf numFmtId="0" fontId="6" fillId="9" borderId="60" xfId="0" applyFont="1" applyFill="1" applyBorder="1" applyAlignment="1">
      <alignment vertical="center"/>
    </xf>
    <xf numFmtId="0" fontId="41" fillId="9" borderId="61" xfId="0" applyFont="1" applyFill="1" applyBorder="1" applyAlignment="1">
      <alignment vertical="center"/>
    </xf>
    <xf numFmtId="0" fontId="16" fillId="9" borderId="61" xfId="0" applyFont="1" applyFill="1" applyBorder="1" applyAlignment="1">
      <alignment vertical="center"/>
    </xf>
    <xf numFmtId="0" fontId="20" fillId="9" borderId="61" xfId="0" applyFont="1" applyFill="1" applyBorder="1" applyAlignment="1">
      <alignment vertical="center"/>
    </xf>
    <xf numFmtId="0" fontId="6" fillId="9" borderId="61" xfId="0" applyFont="1" applyFill="1" applyBorder="1" applyAlignment="1">
      <alignment vertical="center"/>
    </xf>
    <xf numFmtId="0" fontId="5" fillId="9" borderId="2" xfId="0" applyFont="1" applyFill="1" applyBorder="1" applyAlignment="1">
      <alignment horizontal="center" vertical="center" wrapText="1"/>
    </xf>
    <xf numFmtId="0" fontId="9" fillId="9" borderId="25" xfId="0" applyFont="1" applyFill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 vertical="center" wrapText="1"/>
    </xf>
    <xf numFmtId="0" fontId="9" fillId="9" borderId="25" xfId="0" applyFont="1" applyFill="1" applyBorder="1" applyAlignment="1">
      <alignment horizontal="center" vertical="center"/>
    </xf>
    <xf numFmtId="0" fontId="9" fillId="9" borderId="30" xfId="0" applyFont="1" applyFill="1" applyBorder="1" applyAlignment="1">
      <alignment horizontal="center" vertical="center" wrapText="1"/>
    </xf>
    <xf numFmtId="0" fontId="9" fillId="9" borderId="67" xfId="0" applyFont="1" applyFill="1" applyBorder="1" applyAlignment="1">
      <alignment horizontal="center"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9" fillId="9" borderId="56" xfId="0" applyFont="1" applyFill="1" applyBorder="1" applyAlignment="1">
      <alignment horizontal="center" vertical="center" wrapText="1"/>
    </xf>
    <xf numFmtId="0" fontId="9" fillId="9" borderId="68" xfId="0" applyFont="1" applyFill="1" applyBorder="1" applyAlignment="1">
      <alignment horizontal="center" vertical="center" wrapText="1"/>
    </xf>
    <xf numFmtId="0" fontId="9" fillId="9" borderId="58" xfId="0" applyFont="1" applyFill="1" applyBorder="1" applyAlignment="1">
      <alignment horizontal="center" vertical="center" wrapText="1"/>
    </xf>
    <xf numFmtId="0" fontId="10" fillId="9" borderId="67" xfId="0" applyFont="1" applyFill="1" applyBorder="1" applyAlignment="1">
      <alignment horizontal="center" vertical="center" wrapText="1"/>
    </xf>
    <xf numFmtId="0" fontId="9" fillId="9" borderId="3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33" xfId="0" applyNumberFormat="1" applyFont="1" applyBorder="1" applyAlignment="1">
      <alignment horizontal="center" vertical="center"/>
    </xf>
    <xf numFmtId="164" fontId="5" fillId="0" borderId="39" xfId="1" applyFont="1" applyBorder="1" applyAlignment="1" applyProtection="1">
      <alignment horizontal="center" vertical="center"/>
    </xf>
    <xf numFmtId="164" fontId="5" fillId="0" borderId="40" xfId="1" applyFont="1" applyBorder="1" applyAlignment="1" applyProtection="1">
      <alignment horizontal="center" vertical="center"/>
    </xf>
    <xf numFmtId="4" fontId="1" fillId="0" borderId="46" xfId="0" applyNumberFormat="1" applyFont="1" applyBorder="1" applyAlignment="1">
      <alignment horizontal="center" vertical="center"/>
    </xf>
    <xf numFmtId="164" fontId="5" fillId="0" borderId="34" xfId="1" applyFont="1" applyBorder="1" applyAlignment="1" applyProtection="1">
      <alignment horizontal="center" vertical="center"/>
    </xf>
    <xf numFmtId="164" fontId="5" fillId="0" borderId="35" xfId="1" applyFont="1" applyBorder="1" applyAlignment="1" applyProtection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164" fontId="5" fillId="0" borderId="12" xfId="1" applyFont="1" applyBorder="1" applyAlignment="1" applyProtection="1">
      <alignment horizontal="center" vertical="center"/>
    </xf>
    <xf numFmtId="164" fontId="1" fillId="0" borderId="12" xfId="1" applyFont="1" applyBorder="1" applyAlignment="1" applyProtection="1">
      <alignment horizontal="center" vertical="center"/>
    </xf>
    <xf numFmtId="164" fontId="5" fillId="0" borderId="13" xfId="1" applyFont="1" applyBorder="1" applyAlignment="1" applyProtection="1">
      <alignment horizontal="center" vertical="center"/>
    </xf>
    <xf numFmtId="164" fontId="5" fillId="0" borderId="69" xfId="1" applyFont="1" applyBorder="1" applyAlignment="1" applyProtection="1">
      <alignment horizontal="center" vertical="center"/>
    </xf>
    <xf numFmtId="164" fontId="5" fillId="9" borderId="11" xfId="1" applyFont="1" applyFill="1" applyBorder="1" applyAlignment="1" applyProtection="1">
      <alignment horizontal="center" vertical="center"/>
    </xf>
    <xf numFmtId="164" fontId="5" fillId="9" borderId="12" xfId="1" applyFont="1" applyFill="1" applyBorder="1" applyAlignment="1" applyProtection="1">
      <alignment horizontal="center" vertical="center"/>
    </xf>
    <xf numFmtId="164" fontId="5" fillId="9" borderId="14" xfId="1" applyFont="1" applyFill="1" applyBorder="1" applyAlignment="1" applyProtection="1">
      <alignment horizontal="center" vertical="center"/>
    </xf>
    <xf numFmtId="165" fontId="1" fillId="0" borderId="70" xfId="2" applyFont="1" applyBorder="1" applyAlignment="1" applyProtection="1">
      <alignment horizontal="right" vertical="center"/>
    </xf>
    <xf numFmtId="4" fontId="1" fillId="0" borderId="17" xfId="0" applyNumberFormat="1" applyFont="1" applyBorder="1" applyAlignment="1">
      <alignment horizontal="center" vertical="center"/>
    </xf>
    <xf numFmtId="164" fontId="5" fillId="0" borderId="4" xfId="1" applyFont="1" applyBorder="1" applyAlignment="1" applyProtection="1">
      <alignment horizontal="center" vertical="center"/>
    </xf>
    <xf numFmtId="164" fontId="5" fillId="0" borderId="20" xfId="1" applyFont="1" applyBorder="1" applyAlignment="1" applyProtection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164" fontId="5" fillId="0" borderId="14" xfId="1" applyFont="1" applyBorder="1" applyAlignment="1" applyProtection="1">
      <alignment horizontal="center" vertical="center"/>
    </xf>
    <xf numFmtId="164" fontId="1" fillId="0" borderId="4" xfId="1" applyFont="1" applyBorder="1" applyAlignment="1" applyProtection="1">
      <alignment horizontal="center" vertical="center"/>
    </xf>
    <xf numFmtId="164" fontId="1" fillId="0" borderId="20" xfId="1" applyFont="1" applyBorder="1" applyAlignment="1" applyProtection="1">
      <alignment horizontal="center" vertical="center"/>
    </xf>
    <xf numFmtId="164" fontId="5" fillId="9" borderId="17" xfId="1" applyFont="1" applyFill="1" applyBorder="1" applyAlignment="1" applyProtection="1">
      <alignment horizontal="center" vertical="center"/>
    </xf>
    <xf numFmtId="164" fontId="5" fillId="9" borderId="4" xfId="1" applyFont="1" applyFill="1" applyBorder="1" applyAlignment="1" applyProtection="1">
      <alignment horizontal="center" vertical="center"/>
    </xf>
    <xf numFmtId="164" fontId="5" fillId="9" borderId="20" xfId="1" applyFont="1" applyFill="1" applyBorder="1" applyAlignment="1" applyProtection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4" fontId="1" fillId="0" borderId="48" xfId="0" applyNumberFormat="1" applyFont="1" applyBorder="1" applyAlignment="1">
      <alignment horizontal="center" vertical="center"/>
    </xf>
    <xf numFmtId="164" fontId="5" fillId="0" borderId="59" xfId="1" applyFont="1" applyBorder="1" applyAlignment="1" applyProtection="1">
      <alignment horizontal="center" vertical="center"/>
    </xf>
    <xf numFmtId="4" fontId="1" fillId="0" borderId="71" xfId="0" applyNumberFormat="1" applyFont="1" applyBorder="1" applyAlignment="1">
      <alignment horizontal="center" vertical="center"/>
    </xf>
    <xf numFmtId="164" fontId="5" fillId="9" borderId="48" xfId="1" applyFont="1" applyFill="1" applyBorder="1" applyAlignment="1" applyProtection="1">
      <alignment horizontal="center" vertical="center"/>
    </xf>
    <xf numFmtId="164" fontId="5" fillId="9" borderId="18" xfId="1" applyFont="1" applyFill="1" applyBorder="1" applyAlignment="1" applyProtection="1">
      <alignment horizontal="center" vertical="center"/>
    </xf>
    <xf numFmtId="164" fontId="5" fillId="9" borderId="63" xfId="1" applyFont="1" applyFill="1" applyBorder="1" applyAlignment="1" applyProtection="1">
      <alignment horizontal="center" vertical="center"/>
    </xf>
    <xf numFmtId="4" fontId="1" fillId="0" borderId="59" xfId="0" applyNumberFormat="1" applyFont="1" applyBorder="1" applyAlignment="1">
      <alignment horizontal="center" vertical="center"/>
    </xf>
    <xf numFmtId="4" fontId="1" fillId="0" borderId="44" xfId="0" applyNumberFormat="1" applyFont="1" applyBorder="1" applyAlignment="1">
      <alignment horizontal="center" vertical="center"/>
    </xf>
    <xf numFmtId="164" fontId="5" fillId="0" borderId="30" xfId="1" applyFont="1" applyBorder="1" applyAlignment="1" applyProtection="1">
      <alignment horizontal="center" vertical="center"/>
    </xf>
    <xf numFmtId="4" fontId="1" fillId="0" borderId="68" xfId="0" applyNumberFormat="1" applyFont="1" applyBorder="1" applyAlignment="1">
      <alignment horizontal="center" vertical="center"/>
    </xf>
    <xf numFmtId="164" fontId="5" fillId="9" borderId="25" xfId="1" applyFont="1" applyFill="1" applyBorder="1" applyAlignment="1" applyProtection="1">
      <alignment horizontal="center" vertical="center"/>
    </xf>
    <xf numFmtId="164" fontId="5" fillId="9" borderId="30" xfId="1" applyFont="1" applyFill="1" applyBorder="1" applyAlignment="1" applyProtection="1">
      <alignment horizontal="center" vertical="center"/>
    </xf>
    <xf numFmtId="164" fontId="5" fillId="9" borderId="31" xfId="1" applyFont="1" applyFill="1" applyBorder="1" applyAlignment="1" applyProtection="1">
      <alignment horizontal="center" vertical="center"/>
    </xf>
    <xf numFmtId="1" fontId="20" fillId="9" borderId="5" xfId="0" applyNumberFormat="1" applyFont="1" applyFill="1" applyBorder="1" applyAlignment="1">
      <alignment horizontal="center" vertical="center"/>
    </xf>
    <xf numFmtId="4" fontId="20" fillId="9" borderId="7" xfId="0" applyNumberFormat="1" applyFont="1" applyFill="1" applyBorder="1" applyAlignment="1">
      <alignment horizontal="center" vertical="center"/>
    </xf>
    <xf numFmtId="4" fontId="20" fillId="9" borderId="6" xfId="0" applyNumberFormat="1" applyFont="1" applyFill="1" applyBorder="1" applyAlignment="1">
      <alignment horizontal="center" vertical="center"/>
    </xf>
    <xf numFmtId="4" fontId="20" fillId="9" borderId="5" xfId="0" applyNumberFormat="1" applyFont="1" applyFill="1" applyBorder="1" applyAlignment="1">
      <alignment horizontal="center" vertical="center"/>
    </xf>
    <xf numFmtId="164" fontId="20" fillId="9" borderId="10" xfId="1" applyFont="1" applyFill="1" applyBorder="1" applyAlignment="1" applyProtection="1">
      <alignment horizontal="center" vertical="center"/>
    </xf>
    <xf numFmtId="4" fontId="20" fillId="9" borderId="10" xfId="0" applyNumberFormat="1" applyFont="1" applyFill="1" applyBorder="1" applyAlignment="1">
      <alignment horizontal="center" vertical="center"/>
    </xf>
    <xf numFmtId="4" fontId="20" fillId="9" borderId="8" xfId="0" applyNumberFormat="1" applyFont="1" applyFill="1" applyBorder="1" applyAlignment="1">
      <alignment horizontal="center" vertical="center"/>
    </xf>
    <xf numFmtId="164" fontId="20" fillId="9" borderId="60" xfId="1" applyFont="1" applyFill="1" applyBorder="1" applyAlignment="1" applyProtection="1">
      <alignment horizontal="center" vertical="center"/>
    </xf>
    <xf numFmtId="164" fontId="20" fillId="9" borderId="5" xfId="1" applyFont="1" applyFill="1" applyBorder="1" applyAlignment="1" applyProtection="1">
      <alignment horizontal="center" vertical="center"/>
    </xf>
    <xf numFmtId="165" fontId="20" fillId="20" borderId="64" xfId="2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vertical="center"/>
    </xf>
    <xf numFmtId="165" fontId="20" fillId="9" borderId="9" xfId="2" applyFont="1" applyFill="1" applyBorder="1" applyAlignment="1" applyProtection="1">
      <alignment vertical="center"/>
    </xf>
    <xf numFmtId="0" fontId="9" fillId="0" borderId="0" xfId="0" applyFont="1" applyAlignment="1">
      <alignment vertical="top"/>
    </xf>
    <xf numFmtId="0" fontId="18" fillId="0" borderId="19" xfId="0" applyFont="1" applyBorder="1" applyAlignment="1">
      <alignment horizontal="right" vertical="center"/>
    </xf>
    <xf numFmtId="0" fontId="31" fillId="11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0" fontId="31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/>
    </xf>
    <xf numFmtId="0" fontId="23" fillId="0" borderId="12" xfId="0" applyFont="1" applyBorder="1" applyAlignment="1">
      <alignment horizontal="center" vertical="center"/>
    </xf>
    <xf numFmtId="10" fontId="31" fillId="0" borderId="12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10" fontId="42" fillId="8" borderId="4" xfId="0" applyNumberFormat="1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168" fontId="1" fillId="0" borderId="4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 wrapText="1"/>
    </xf>
    <xf numFmtId="0" fontId="7" fillId="21" borderId="4" xfId="0" applyFont="1" applyFill="1" applyBorder="1" applyAlignment="1">
      <alignment horizontal="center" vertical="center"/>
    </xf>
    <xf numFmtId="4" fontId="7" fillId="21" borderId="4" xfId="0" applyNumberFormat="1" applyFont="1" applyFill="1" applyBorder="1" applyAlignment="1">
      <alignment horizontal="center" vertical="center"/>
    </xf>
    <xf numFmtId="0" fontId="7" fillId="21" borderId="4" xfId="0" applyFont="1" applyFill="1" applyBorder="1" applyAlignment="1">
      <alignment horizontal="center"/>
    </xf>
    <xf numFmtId="4" fontId="7" fillId="21" borderId="4" xfId="0" applyNumberFormat="1" applyFont="1" applyFill="1" applyBorder="1" applyAlignment="1">
      <alignment horizontal="center"/>
    </xf>
    <xf numFmtId="0" fontId="26" fillId="21" borderId="4" xfId="0" applyFont="1" applyFill="1" applyBorder="1" applyAlignment="1">
      <alignment horizontal="center"/>
    </xf>
    <xf numFmtId="4" fontId="26" fillId="21" borderId="4" xfId="0" applyNumberFormat="1" applyFont="1" applyFill="1" applyBorder="1" applyAlignment="1">
      <alignment horizontal="center"/>
    </xf>
    <xf numFmtId="165" fontId="9" fillId="0" borderId="4" xfId="2" applyFont="1" applyBorder="1" applyAlignment="1" applyProtection="1">
      <alignment horizontal="center" vertical="center"/>
    </xf>
    <xf numFmtId="165" fontId="9" fillId="0" borderId="20" xfId="2" applyFont="1" applyBorder="1" applyAlignment="1" applyProtection="1">
      <alignment horizontal="center" vertical="center"/>
    </xf>
    <xf numFmtId="165" fontId="6" fillId="23" borderId="49" xfId="2" applyFont="1" applyFill="1" applyBorder="1" applyAlignment="1" applyProtection="1">
      <alignment vertical="center"/>
    </xf>
    <xf numFmtId="0" fontId="21" fillId="0" borderId="4" xfId="0" applyFont="1" applyBorder="1" applyAlignment="1">
      <alignment wrapText="1"/>
    </xf>
    <xf numFmtId="10" fontId="1" fillId="14" borderId="4" xfId="3" applyNumberFormat="1" applyFont="1" applyFill="1" applyBorder="1" applyAlignment="1" applyProtection="1">
      <alignment horizontal="center" vertical="center"/>
    </xf>
    <xf numFmtId="4" fontId="1" fillId="14" borderId="4" xfId="1" applyNumberFormat="1" applyFont="1" applyFill="1" applyBorder="1" applyAlignment="1" applyProtection="1">
      <alignment horizontal="center" vertical="center"/>
    </xf>
    <xf numFmtId="3" fontId="1" fillId="0" borderId="4" xfId="0" applyNumberFormat="1" applyFont="1" applyBorder="1" applyAlignment="1" applyProtection="1">
      <alignment horizontal="center" vertical="center"/>
      <protection locked="0"/>
    </xf>
    <xf numFmtId="49" fontId="38" fillId="8" borderId="55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39" xfId="0" applyNumberFormat="1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7" fillId="0" borderId="48" xfId="1" applyNumberFormat="1" applyFont="1" applyBorder="1" applyAlignment="1" applyProtection="1">
      <alignment horizontal="center" vertical="center"/>
    </xf>
    <xf numFmtId="0" fontId="19" fillId="0" borderId="68" xfId="0" applyFont="1" applyBorder="1" applyAlignment="1">
      <alignment vertical="center" wrapText="1"/>
    </xf>
    <xf numFmtId="0" fontId="9" fillId="0" borderId="68" xfId="1" applyNumberFormat="1" applyFont="1" applyBorder="1" applyAlignment="1" applyProtection="1">
      <alignment horizontal="center" vertical="center"/>
    </xf>
    <xf numFmtId="4" fontId="9" fillId="2" borderId="68" xfId="1" applyNumberFormat="1" applyFont="1" applyFill="1" applyBorder="1" applyAlignment="1" applyProtection="1">
      <alignment horizontal="center" vertical="center"/>
      <protection locked="0"/>
    </xf>
    <xf numFmtId="4" fontId="20" fillId="9" borderId="28" xfId="1" applyNumberFormat="1" applyFont="1" applyFill="1" applyBorder="1" applyAlignment="1" applyProtection="1">
      <alignment horizontal="center" vertical="center"/>
    </xf>
    <xf numFmtId="4" fontId="0" fillId="0" borderId="20" xfId="0" applyNumberFormat="1" applyBorder="1" applyAlignment="1">
      <alignment horizont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 wrapText="1"/>
    </xf>
    <xf numFmtId="0" fontId="7" fillId="24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165" fontId="7" fillId="5" borderId="2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right" vertical="center" wrapText="1"/>
    </xf>
    <xf numFmtId="0" fontId="7" fillId="5" borderId="25" xfId="0" applyFont="1" applyFill="1" applyBorder="1" applyAlignment="1">
      <alignment horizontal="right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7" fillId="5" borderId="33" xfId="0" applyFont="1" applyFill="1" applyBorder="1" applyAlignment="1">
      <alignment horizontal="right" vertical="center" wrapText="1"/>
    </xf>
    <xf numFmtId="0" fontId="9" fillId="0" borderId="30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9" fillId="9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/>
      <protection locked="0"/>
    </xf>
    <xf numFmtId="2" fontId="1" fillId="12" borderId="4" xfId="0" applyNumberFormat="1" applyFont="1" applyFill="1" applyBorder="1" applyAlignment="1">
      <alignment horizontal="center" vertical="center"/>
    </xf>
    <xf numFmtId="168" fontId="1" fillId="0" borderId="4" xfId="0" applyNumberFormat="1" applyFont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0" fontId="1" fillId="0" borderId="46" xfId="0" applyFont="1" applyBorder="1" applyAlignment="1">
      <alignment horizontal="center"/>
    </xf>
    <xf numFmtId="0" fontId="1" fillId="0" borderId="30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27" fillId="9" borderId="43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wrapText="1"/>
    </xf>
    <xf numFmtId="0" fontId="7" fillId="9" borderId="21" xfId="0" applyFont="1" applyFill="1" applyBorder="1" applyAlignment="1">
      <alignment horizontal="center" vertical="center"/>
    </xf>
    <xf numFmtId="0" fontId="29" fillId="9" borderId="20" xfId="0" applyFont="1" applyFill="1" applyBorder="1" applyAlignment="1">
      <alignment horizontal="left" vertical="center"/>
    </xf>
    <xf numFmtId="0" fontId="29" fillId="9" borderId="17" xfId="0" applyFont="1" applyFill="1" applyBorder="1" applyAlignment="1">
      <alignment horizontal="left" vertical="center"/>
    </xf>
    <xf numFmtId="0" fontId="29" fillId="9" borderId="21" xfId="0" applyFont="1" applyFill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31" fillId="16" borderId="36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9" fillId="9" borderId="21" xfId="0" applyFont="1" applyFill="1" applyBorder="1" applyAlignment="1">
      <alignment horizontal="center" vertical="center"/>
    </xf>
    <xf numFmtId="0" fontId="29" fillId="9" borderId="48" xfId="0" applyFont="1" applyFill="1" applyBorder="1" applyAlignment="1">
      <alignment horizontal="left" vertical="center"/>
    </xf>
    <xf numFmtId="0" fontId="24" fillId="15" borderId="49" xfId="0" applyFont="1" applyFill="1" applyBorder="1" applyAlignment="1">
      <alignment horizontal="justify" wrapText="1"/>
    </xf>
    <xf numFmtId="0" fontId="17" fillId="9" borderId="17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16" fillId="9" borderId="43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 wrapText="1"/>
    </xf>
    <xf numFmtId="0" fontId="7" fillId="22" borderId="18" xfId="0" applyFont="1" applyFill="1" applyBorder="1" applyAlignment="1">
      <alignment horizontal="center" vertical="center" wrapText="1"/>
    </xf>
    <xf numFmtId="0" fontId="7" fillId="22" borderId="59" xfId="0" applyFont="1" applyFill="1" applyBorder="1" applyAlignment="1">
      <alignment horizontal="center" vertical="center" wrapText="1"/>
    </xf>
    <xf numFmtId="0" fontId="7" fillId="22" borderId="12" xfId="0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18" fillId="9" borderId="59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22" borderId="18" xfId="0" applyFont="1" applyFill="1" applyBorder="1" applyAlignment="1">
      <alignment horizontal="center" vertical="center"/>
    </xf>
    <xf numFmtId="0" fontId="18" fillId="22" borderId="12" xfId="0" applyFont="1" applyFill="1" applyBorder="1" applyAlignment="1">
      <alignment horizontal="center" vertical="center"/>
    </xf>
    <xf numFmtId="0" fontId="18" fillId="22" borderId="18" xfId="0" applyFont="1" applyFill="1" applyBorder="1" applyAlignment="1">
      <alignment horizontal="center" vertical="center" wrapText="1"/>
    </xf>
    <xf numFmtId="0" fontId="18" fillId="22" borderId="12" xfId="0" applyFont="1" applyFill="1" applyBorder="1" applyAlignment="1">
      <alignment horizontal="center" vertical="center" wrapText="1"/>
    </xf>
    <xf numFmtId="49" fontId="5" fillId="9" borderId="25" xfId="0" applyNumberFormat="1" applyFont="1" applyFill="1" applyBorder="1" applyAlignment="1">
      <alignment horizontal="left" vertical="center" wrapText="1"/>
    </xf>
    <xf numFmtId="0" fontId="20" fillId="0" borderId="43" xfId="0" applyFont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/>
    </xf>
    <xf numFmtId="0" fontId="7" fillId="24" borderId="48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/>
    </xf>
    <xf numFmtId="0" fontId="20" fillId="9" borderId="53" xfId="0" applyFont="1" applyFill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4" fontId="7" fillId="0" borderId="25" xfId="0" applyNumberFormat="1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 wrapText="1"/>
    </xf>
    <xf numFmtId="0" fontId="20" fillId="9" borderId="43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4" fontId="18" fillId="9" borderId="9" xfId="0" applyNumberFormat="1" applyFont="1" applyFill="1" applyBorder="1" applyAlignment="1">
      <alignment horizontal="center" vertical="center" wrapText="1"/>
    </xf>
    <xf numFmtId="0" fontId="7" fillId="9" borderId="57" xfId="0" applyFont="1" applyFill="1" applyBorder="1" applyAlignment="1">
      <alignment horizontal="left" vertical="center" wrapText="1"/>
    </xf>
    <xf numFmtId="0" fontId="7" fillId="9" borderId="3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7" fillId="9" borderId="4" xfId="0" applyFont="1" applyFill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9" fontId="7" fillId="9" borderId="60" xfId="0" applyNumberFormat="1" applyFont="1" applyFill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/>
    </xf>
    <xf numFmtId="0" fontId="7" fillId="9" borderId="5" xfId="0" applyFont="1" applyFill="1" applyBorder="1" applyAlignment="1">
      <alignment horizontal="left" vertical="center"/>
    </xf>
    <xf numFmtId="4" fontId="9" fillId="0" borderId="4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7" fillId="9" borderId="53" xfId="0" applyFont="1" applyFill="1" applyBorder="1" applyAlignment="1">
      <alignment horizontal="left" vertical="center"/>
    </xf>
    <xf numFmtId="0" fontId="7" fillId="9" borderId="37" xfId="0" applyFont="1" applyFill="1" applyBorder="1" applyAlignment="1">
      <alignment horizontal="center" vertical="center"/>
    </xf>
    <xf numFmtId="4" fontId="7" fillId="10" borderId="30" xfId="0" applyNumberFormat="1" applyFont="1" applyFill="1" applyBorder="1" applyAlignment="1">
      <alignment horizontal="center" vertical="center" wrapText="1"/>
    </xf>
    <xf numFmtId="0" fontId="7" fillId="9" borderId="48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vertical="center"/>
    </xf>
    <xf numFmtId="0" fontId="7" fillId="9" borderId="25" xfId="0" applyFont="1" applyFill="1" applyBorder="1" applyAlignment="1">
      <alignment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16" fillId="19" borderId="2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9" fillId="8" borderId="23" xfId="0" applyFont="1" applyFill="1" applyBorder="1" applyAlignment="1">
      <alignment horizontal="center" vertical="center"/>
    </xf>
    <xf numFmtId="0" fontId="20" fillId="9" borderId="64" xfId="0" applyFont="1" applyFill="1" applyBorder="1" applyAlignment="1">
      <alignment horizontal="center" vertical="center" wrapText="1"/>
    </xf>
    <xf numFmtId="0" fontId="7" fillId="9" borderId="49" xfId="0" applyFont="1" applyFill="1" applyBorder="1" applyAlignment="1">
      <alignment horizontal="center" vertical="center" textRotation="90"/>
    </xf>
    <xf numFmtId="0" fontId="7" fillId="9" borderId="43" xfId="0" applyFont="1" applyFill="1" applyBorder="1" applyAlignment="1">
      <alignment horizontal="center" vertical="center" textRotation="90"/>
    </xf>
    <xf numFmtId="0" fontId="5" fillId="9" borderId="43" xfId="0" applyFont="1" applyFill="1" applyBorder="1" applyAlignment="1">
      <alignment horizontal="center" vertical="center" wrapText="1"/>
    </xf>
    <xf numFmtId="0" fontId="20" fillId="9" borderId="53" xfId="0" applyFont="1" applyFill="1" applyBorder="1" applyAlignment="1">
      <alignment horizontal="center" vertical="center"/>
    </xf>
    <xf numFmtId="0" fontId="20" fillId="9" borderId="49" xfId="0" applyFont="1" applyFill="1" applyBorder="1" applyAlignment="1">
      <alignment horizontal="center" vertical="center" wrapText="1"/>
    </xf>
    <xf numFmtId="0" fontId="5" fillId="9" borderId="65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37" xfId="0" applyFont="1" applyFill="1" applyBorder="1" applyAlignment="1">
      <alignment horizontal="center" vertical="center" wrapText="1"/>
    </xf>
    <xf numFmtId="0" fontId="7" fillId="9" borderId="37" xfId="0" applyFont="1" applyFill="1" applyBorder="1" applyAlignment="1">
      <alignment horizontal="center" vertical="center" wrapText="1"/>
    </xf>
    <xf numFmtId="0" fontId="9" fillId="9" borderId="38" xfId="0" applyFont="1" applyFill="1" applyBorder="1" applyAlignment="1">
      <alignment horizontal="center" vertical="center" wrapText="1"/>
    </xf>
    <xf numFmtId="0" fontId="23" fillId="9" borderId="66" xfId="0" applyFont="1" applyFill="1" applyBorder="1" applyAlignment="1">
      <alignment horizontal="center" vertical="center" wrapText="1"/>
    </xf>
    <xf numFmtId="0" fontId="9" fillId="9" borderId="35" xfId="0" applyFont="1" applyFill="1" applyBorder="1" applyAlignment="1">
      <alignment horizontal="center" vertical="center" wrapText="1"/>
    </xf>
    <xf numFmtId="0" fontId="9" fillId="9" borderId="45" xfId="0" applyFont="1" applyFill="1" applyBorder="1" applyAlignment="1">
      <alignment horizontal="center" vertical="center" wrapText="1"/>
    </xf>
    <xf numFmtId="0" fontId="9" fillId="9" borderId="65" xfId="0" applyFont="1" applyFill="1" applyBorder="1" applyAlignment="1">
      <alignment horizontal="center" vertical="center" wrapText="1"/>
    </xf>
    <xf numFmtId="0" fontId="9" fillId="9" borderId="36" xfId="0" applyFont="1" applyFill="1" applyBorder="1" applyAlignment="1">
      <alignment horizontal="center" vertical="center" wrapText="1"/>
    </xf>
    <xf numFmtId="0" fontId="9" fillId="9" borderId="6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20" fillId="9" borderId="9" xfId="0" applyFont="1" applyFill="1" applyBorder="1" applyAlignment="1">
      <alignment horizontal="left" vertical="center"/>
    </xf>
    <xf numFmtId="0" fontId="13" fillId="0" borderId="43" xfId="0" applyFont="1" applyBorder="1" applyAlignment="1">
      <alignment horizontal="left"/>
    </xf>
    <xf numFmtId="0" fontId="5" fillId="0" borderId="4" xfId="0" applyFont="1" applyBorder="1" applyAlignment="1">
      <alignment horizontal="center" vertical="center" textRotation="90"/>
    </xf>
    <xf numFmtId="0" fontId="9" fillId="0" borderId="43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top" wrapText="1"/>
    </xf>
    <xf numFmtId="0" fontId="37" fillId="9" borderId="49" xfId="0" applyFont="1" applyFill="1" applyBorder="1" applyAlignment="1">
      <alignment horizontal="center" vertical="center" wrapText="1"/>
    </xf>
    <xf numFmtId="0" fontId="18" fillId="8" borderId="37" xfId="0" applyFont="1" applyFill="1" applyBorder="1" applyAlignment="1">
      <alignment horizontal="center" vertical="center"/>
    </xf>
    <xf numFmtId="10" fontId="30" fillId="8" borderId="37" xfId="0" applyNumberFormat="1" applyFont="1" applyFill="1" applyBorder="1" applyAlignment="1">
      <alignment horizontal="center" vertical="center"/>
    </xf>
    <xf numFmtId="0" fontId="30" fillId="8" borderId="37" xfId="0" applyFont="1" applyFill="1" applyBorder="1" applyAlignment="1">
      <alignment horizontal="left" vertical="center" wrapText="1"/>
    </xf>
    <xf numFmtId="0" fontId="38" fillId="8" borderId="43" xfId="0" applyFont="1" applyFill="1" applyBorder="1" applyAlignment="1" applyProtection="1">
      <alignment horizontal="center" vertical="center"/>
      <protection locked="0"/>
    </xf>
    <xf numFmtId="0" fontId="39" fillId="18" borderId="7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0" fillId="0" borderId="17" xfId="0" applyFont="1" applyBorder="1" applyAlignment="1">
      <alignment horizontal="left" vertical="center" wrapText="1"/>
    </xf>
    <xf numFmtId="0" fontId="30" fillId="9" borderId="20" xfId="0" applyFont="1" applyFill="1" applyBorder="1" applyAlignment="1" applyProtection="1">
      <alignment horizontal="center" vertical="center"/>
      <protection locked="0"/>
    </xf>
    <xf numFmtId="0" fontId="30" fillId="0" borderId="17" xfId="0" applyFont="1" applyBorder="1" applyAlignment="1" applyProtection="1">
      <alignment horizontal="left" vertical="center"/>
      <protection locked="0"/>
    </xf>
    <xf numFmtId="0" fontId="30" fillId="9" borderId="4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30" fillId="0" borderId="17" xfId="0" applyFont="1" applyBorder="1" applyAlignment="1">
      <alignment horizontal="left" vertical="center"/>
    </xf>
    <xf numFmtId="0" fontId="30" fillId="9" borderId="9" xfId="0" applyFont="1" applyFill="1" applyBorder="1" applyAlignment="1">
      <alignment horizontal="center" vertical="center"/>
    </xf>
    <xf numFmtId="0" fontId="30" fillId="8" borderId="9" xfId="0" applyFont="1" applyFill="1" applyBorder="1" applyAlignment="1">
      <alignment horizontal="center" vertical="center"/>
    </xf>
    <xf numFmtId="0" fontId="30" fillId="9" borderId="14" xfId="0" applyFont="1" applyFill="1" applyBorder="1" applyAlignment="1" applyProtection="1">
      <alignment horizontal="center" vertical="center"/>
      <protection locked="0"/>
    </xf>
    <xf numFmtId="0" fontId="20" fillId="11" borderId="4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/>
    </xf>
    <xf numFmtId="0" fontId="31" fillId="11" borderId="4" xfId="0" applyFont="1" applyFill="1" applyBorder="1" applyAlignment="1">
      <alignment horizontal="center" vertical="center"/>
    </xf>
    <xf numFmtId="10" fontId="1" fillId="0" borderId="4" xfId="3" applyNumberFormat="1" applyFont="1" applyFill="1" applyBorder="1" applyAlignment="1" applyProtection="1">
      <alignment horizontal="center" vertical="center"/>
    </xf>
  </cellXfs>
  <cellStyles count="5">
    <cellStyle name="Excel Built-in Explanatory Text" xfId="4" xr:uid="{00000000-0005-0000-0000-000000000000}"/>
    <cellStyle name="Moeda" xfId="2" builtinId="4"/>
    <cellStyle name="Normal" xfId="0" builtinId="0"/>
    <cellStyle name="Porcentagem" xfId="3" builtinId="5"/>
    <cellStyle name="Vírgula" xfId="1" builtinId="3"/>
  </cellStyles>
  <dxfs count="6"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006100"/>
        <name val="Calibri"/>
      </font>
      <fill>
        <patternFill>
          <bgColor rgb="FFC6EF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006100"/>
        <name val="Calibri"/>
      </font>
      <fill>
        <patternFill>
          <bgColor rgb="FFC6EFCE"/>
        </patternFill>
      </fill>
    </dxf>
    <dxf>
      <font>
        <sz val="11"/>
        <color rgb="FF9C0006"/>
        <name val="Calibri"/>
      </font>
      <fill>
        <patternFill>
          <bgColor rgb="FFFFC7CE"/>
        </patternFill>
      </fill>
    </dxf>
    <dxf>
      <font>
        <sz val="11"/>
        <color rgb="FF006100"/>
        <name val="Calibri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606060"/>
      <rgbColor rgb="FF800080"/>
      <rgbColor rgb="FF008080"/>
      <rgbColor rgb="FFC0C0C0"/>
      <rgbColor rgb="FF808080"/>
      <rgbColor rgb="FFD9D9D9"/>
      <rgbColor rgb="FF993366"/>
      <rgbColor rgb="FFFFFFCC"/>
      <rgbColor rgb="FFDEEBF7"/>
      <rgbColor rgb="FF660066"/>
      <rgbColor rgb="FFF2DCDB"/>
      <rgbColor rgb="FF0066CC"/>
      <rgbColor rgb="FFBDD7EE"/>
      <rgbColor rgb="FF000080"/>
      <rgbColor rgb="FFFF00FF"/>
      <rgbColor rgb="FFFFF2CC"/>
      <rgbColor rgb="FF00FFFF"/>
      <rgbColor rgb="FF800080"/>
      <rgbColor rgb="FFC00000"/>
      <rgbColor rgb="FF008080"/>
      <rgbColor rgb="FF0000FF"/>
      <rgbColor rgb="FF00B0F0"/>
      <rgbColor rgb="FFC6EFCE"/>
      <rgbColor rgb="FFCCFFCC"/>
      <rgbColor rgb="FFFFFF99"/>
      <rgbColor rgb="FFADB9CA"/>
      <rgbColor rgb="FFFFC7CE"/>
      <rgbColor rgb="FFBFBFBF"/>
      <rgbColor rgb="FFF8CBAD"/>
      <rgbColor rgb="FF3366CC"/>
      <rgbColor rgb="FF33CCCC"/>
      <rgbColor rgb="FFF2F2F2"/>
      <rgbColor rgb="FFFFD966"/>
      <rgbColor rgb="FFFF9900"/>
      <rgbColor rgb="FFFF6600"/>
      <rgbColor rgb="FF767171"/>
      <rgbColor rgb="FFDCE6F2"/>
      <rgbColor rgb="FF10243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76320</xdr:rowOff>
    </xdr:from>
    <xdr:to>
      <xdr:col>1</xdr:col>
      <xdr:colOff>2880</xdr:colOff>
      <xdr:row>2</xdr:row>
      <xdr:rowOff>84600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8160" y="76320"/>
          <a:ext cx="407160" cy="474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579960</xdr:colOff>
      <xdr:row>2</xdr:row>
      <xdr:rowOff>132480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8600" cy="418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579960</xdr:colOff>
      <xdr:row>2</xdr:row>
      <xdr:rowOff>132480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8600" cy="418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579960</xdr:colOff>
      <xdr:row>2</xdr:row>
      <xdr:rowOff>132480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8600" cy="418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579960</xdr:colOff>
      <xdr:row>2</xdr:row>
      <xdr:rowOff>132480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8600" cy="418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579960</xdr:colOff>
      <xdr:row>2</xdr:row>
      <xdr:rowOff>132480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8600" cy="418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579960</xdr:colOff>
      <xdr:row>2</xdr:row>
      <xdr:rowOff>132480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8600" cy="418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0</xdr:row>
      <xdr:rowOff>66600</xdr:rowOff>
    </xdr:from>
    <xdr:to>
      <xdr:col>0</xdr:col>
      <xdr:colOff>665640</xdr:colOff>
      <xdr:row>2</xdr:row>
      <xdr:rowOff>133920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57040" y="66600"/>
          <a:ext cx="408600" cy="417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95400</xdr:colOff>
      <xdr:row>0</xdr:row>
      <xdr:rowOff>57240</xdr:rowOff>
    </xdr:from>
    <xdr:to>
      <xdr:col>0</xdr:col>
      <xdr:colOff>399240</xdr:colOff>
      <xdr:row>2</xdr:row>
      <xdr:rowOff>27720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57240"/>
          <a:ext cx="303840" cy="294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142920</xdr:colOff>
      <xdr:row>0</xdr:row>
      <xdr:rowOff>38160</xdr:rowOff>
    </xdr:from>
    <xdr:to>
      <xdr:col>0</xdr:col>
      <xdr:colOff>456120</xdr:colOff>
      <xdr:row>2</xdr:row>
      <xdr:rowOff>162720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2920" y="38160"/>
          <a:ext cx="313200" cy="475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95400</xdr:colOff>
      <xdr:row>0</xdr:row>
      <xdr:rowOff>57240</xdr:rowOff>
    </xdr:from>
    <xdr:to>
      <xdr:col>0</xdr:col>
      <xdr:colOff>402120</xdr:colOff>
      <xdr:row>2</xdr:row>
      <xdr:rowOff>27720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57240"/>
          <a:ext cx="306720" cy="294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112680</xdr:colOff>
      <xdr:row>0</xdr:row>
      <xdr:rowOff>56160</xdr:rowOff>
    </xdr:from>
    <xdr:to>
      <xdr:col>0</xdr:col>
      <xdr:colOff>570600</xdr:colOff>
      <xdr:row>3</xdr:row>
      <xdr:rowOff>13680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12680" y="56160"/>
          <a:ext cx="457920" cy="528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0</xdr:rowOff>
    </xdr:from>
    <xdr:to>
      <xdr:col>0</xdr:col>
      <xdr:colOff>456120</xdr:colOff>
      <xdr:row>2</xdr:row>
      <xdr:rowOff>124560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47520" y="0"/>
          <a:ext cx="408600" cy="475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67320</xdr:colOff>
      <xdr:row>0</xdr:row>
      <xdr:rowOff>111960</xdr:rowOff>
    </xdr:from>
    <xdr:to>
      <xdr:col>1</xdr:col>
      <xdr:colOff>24120</xdr:colOff>
      <xdr:row>2</xdr:row>
      <xdr:rowOff>43920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7320" y="111960"/>
          <a:ext cx="309960" cy="341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85680</xdr:rowOff>
    </xdr:from>
    <xdr:to>
      <xdr:col>0</xdr:col>
      <xdr:colOff>361080</xdr:colOff>
      <xdr:row>2</xdr:row>
      <xdr:rowOff>103680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8160" y="85680"/>
          <a:ext cx="322920" cy="3037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85680</xdr:rowOff>
    </xdr:from>
    <xdr:to>
      <xdr:col>0</xdr:col>
      <xdr:colOff>361080</xdr:colOff>
      <xdr:row>2</xdr:row>
      <xdr:rowOff>103680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8160" y="85680"/>
          <a:ext cx="322920" cy="30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264600</xdr:colOff>
      <xdr:row>0</xdr:row>
      <xdr:rowOff>52200</xdr:rowOff>
    </xdr:from>
    <xdr:to>
      <xdr:col>0</xdr:col>
      <xdr:colOff>637920</xdr:colOff>
      <xdr:row>2</xdr:row>
      <xdr:rowOff>81720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64600" y="52200"/>
          <a:ext cx="373320" cy="353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171360</xdr:colOff>
      <xdr:row>0</xdr:row>
      <xdr:rowOff>38160</xdr:rowOff>
    </xdr:from>
    <xdr:to>
      <xdr:col>0</xdr:col>
      <xdr:colOff>579960</xdr:colOff>
      <xdr:row>2</xdr:row>
      <xdr:rowOff>132480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71360" y="38160"/>
          <a:ext cx="408600" cy="418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15"/>
  <sheetViews>
    <sheetView showGridLines="0" view="pageBreakPreview" zoomScaleNormal="115" workbookViewId="0">
      <selection activeCell="A4" sqref="A4:XFD115"/>
    </sheetView>
  </sheetViews>
  <sheetFormatPr defaultColWidth="8.6640625" defaultRowHeight="14.4" x14ac:dyDescent="0.3"/>
  <cols>
    <col min="1" max="1" width="6.33203125" style="1" customWidth="1"/>
    <col min="2" max="2" width="41.44140625" style="1" customWidth="1"/>
    <col min="3" max="3" width="7.88671875" style="1" customWidth="1"/>
    <col min="4" max="4" width="16.33203125" style="1" customWidth="1"/>
    <col min="5" max="5" width="12.88671875" style="1" customWidth="1"/>
    <col min="6" max="6" width="16.33203125" style="1" customWidth="1"/>
    <col min="7" max="7" width="17.6640625" style="1" customWidth="1"/>
    <col min="8" max="8" width="20" style="1" customWidth="1"/>
    <col min="9" max="10" width="16.33203125" style="1" customWidth="1"/>
    <col min="11" max="12" width="13.88671875" style="2" customWidth="1"/>
    <col min="13" max="13" width="14.33203125" style="2" customWidth="1"/>
    <col min="14" max="14" width="15.44140625" style="1" customWidth="1"/>
    <col min="15" max="15" width="12.88671875" style="1" customWidth="1"/>
    <col min="16" max="16" width="16.44140625" style="1" customWidth="1"/>
    <col min="17" max="17" width="13.88671875" style="1" customWidth="1"/>
    <col min="18" max="18" width="16.44140625" style="3" customWidth="1"/>
    <col min="19" max="19" width="10.109375" style="3" customWidth="1"/>
    <col min="20" max="20" width="13.33203125" style="3" customWidth="1"/>
    <col min="21" max="21" width="13.88671875" style="3" customWidth="1"/>
    <col min="22" max="22" width="13.6640625" style="3" customWidth="1"/>
    <col min="23" max="23" width="12.33203125" style="3" customWidth="1"/>
    <col min="24" max="256" width="9.109375" style="1" customWidth="1"/>
    <col min="257" max="257" width="6.33203125" style="1" customWidth="1"/>
    <col min="258" max="258" width="41.44140625" style="1" customWidth="1"/>
    <col min="259" max="259" width="7.88671875" style="1" customWidth="1"/>
    <col min="260" max="260" width="16.33203125" style="1" customWidth="1"/>
    <col min="261" max="261" width="12.88671875" style="1" customWidth="1"/>
    <col min="262" max="263" width="16.33203125" style="1" customWidth="1"/>
    <col min="264" max="264" width="13.33203125" style="1" customWidth="1"/>
    <col min="265" max="266" width="16.33203125" style="1" customWidth="1"/>
    <col min="267" max="268" width="13.88671875" style="1" customWidth="1"/>
    <col min="269" max="269" width="13" style="1" customWidth="1"/>
    <col min="270" max="270" width="13.5546875" style="1" customWidth="1"/>
    <col min="271" max="271" width="12.88671875" style="1" customWidth="1"/>
    <col min="272" max="272" width="14.109375" style="1" customWidth="1"/>
    <col min="273" max="273" width="12" style="1" customWidth="1"/>
    <col min="274" max="274" width="13" style="1" customWidth="1"/>
    <col min="275" max="275" width="11.88671875" style="1" customWidth="1"/>
    <col min="276" max="276" width="13.33203125" style="1" customWidth="1"/>
    <col min="277" max="277" width="12.33203125" style="1" customWidth="1"/>
    <col min="278" max="278" width="12.44140625" style="1" customWidth="1"/>
    <col min="279" max="279" width="10.5546875" style="1" customWidth="1"/>
    <col min="280" max="512" width="9.109375" style="1" customWidth="1"/>
    <col min="513" max="513" width="6.33203125" style="1" customWidth="1"/>
    <col min="514" max="514" width="41.44140625" style="1" customWidth="1"/>
    <col min="515" max="515" width="7.88671875" style="1" customWidth="1"/>
    <col min="516" max="516" width="16.33203125" style="1" customWidth="1"/>
    <col min="517" max="517" width="12.88671875" style="1" customWidth="1"/>
    <col min="518" max="519" width="16.33203125" style="1" customWidth="1"/>
    <col min="520" max="520" width="13.33203125" style="1" customWidth="1"/>
    <col min="521" max="522" width="16.33203125" style="1" customWidth="1"/>
    <col min="523" max="524" width="13.88671875" style="1" customWidth="1"/>
    <col min="525" max="525" width="13" style="1" customWidth="1"/>
    <col min="526" max="526" width="13.5546875" style="1" customWidth="1"/>
    <col min="527" max="527" width="12.88671875" style="1" customWidth="1"/>
    <col min="528" max="528" width="14.109375" style="1" customWidth="1"/>
    <col min="529" max="529" width="12" style="1" customWidth="1"/>
    <col min="530" max="530" width="13" style="1" customWidth="1"/>
    <col min="531" max="531" width="11.88671875" style="1" customWidth="1"/>
    <col min="532" max="532" width="13.33203125" style="1" customWidth="1"/>
    <col min="533" max="533" width="12.33203125" style="1" customWidth="1"/>
    <col min="534" max="534" width="12.44140625" style="1" customWidth="1"/>
    <col min="535" max="535" width="10.5546875" style="1" customWidth="1"/>
    <col min="536" max="768" width="9.109375" style="1" customWidth="1"/>
    <col min="769" max="769" width="6.33203125" style="1" customWidth="1"/>
    <col min="770" max="770" width="41.44140625" style="1" customWidth="1"/>
    <col min="771" max="771" width="7.88671875" style="1" customWidth="1"/>
    <col min="772" max="772" width="16.33203125" style="1" customWidth="1"/>
    <col min="773" max="773" width="12.88671875" style="1" customWidth="1"/>
    <col min="774" max="775" width="16.33203125" style="1" customWidth="1"/>
    <col min="776" max="776" width="13.33203125" style="1" customWidth="1"/>
    <col min="777" max="778" width="16.33203125" style="1" customWidth="1"/>
    <col min="779" max="780" width="13.88671875" style="1" customWidth="1"/>
    <col min="781" max="781" width="13" style="1" customWidth="1"/>
    <col min="782" max="782" width="13.5546875" style="1" customWidth="1"/>
    <col min="783" max="783" width="12.88671875" style="1" customWidth="1"/>
    <col min="784" max="784" width="14.109375" style="1" customWidth="1"/>
    <col min="785" max="785" width="12" style="1" customWidth="1"/>
    <col min="786" max="786" width="13" style="1" customWidth="1"/>
    <col min="787" max="787" width="11.88671875" style="1" customWidth="1"/>
    <col min="788" max="788" width="13.33203125" style="1" customWidth="1"/>
    <col min="789" max="789" width="12.33203125" style="1" customWidth="1"/>
    <col min="790" max="790" width="12.44140625" style="1" customWidth="1"/>
    <col min="791" max="791" width="10.5546875" style="1" customWidth="1"/>
    <col min="792" max="1025" width="9.109375" style="1" customWidth="1"/>
  </cols>
  <sheetData>
    <row r="1" spans="1:23" ht="17.25" customHeight="1" x14ac:dyDescent="0.3">
      <c r="A1" s="4"/>
      <c r="B1" s="5" t="str">
        <f>INSTRUÇÕES!B1</f>
        <v>Tribunal Regional Federal da 6ª Região</v>
      </c>
      <c r="T1" s="6"/>
      <c r="U1" s="6"/>
      <c r="V1" s="6"/>
    </row>
    <row r="2" spans="1:23" s="11" customFormat="1" ht="19.5" customHeight="1" x14ac:dyDescent="0.3">
      <c r="A2" s="7"/>
      <c r="B2" s="8" t="str">
        <f>INSTRUÇÕES!B2</f>
        <v>Seção Judiciária de Minas Gerais</v>
      </c>
      <c r="C2" s="540" t="s">
        <v>0</v>
      </c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9"/>
      <c r="U2" s="9"/>
      <c r="V2" s="9"/>
      <c r="W2" s="10"/>
    </row>
    <row r="3" spans="1:23" s="11" customFormat="1" ht="23.4" x14ac:dyDescent="0.3">
      <c r="A3" s="7"/>
      <c r="B3" s="12" t="str">
        <f>INSTRUÇÕES!B3</f>
        <v>Subseção Judiciária de Governador Valadares</v>
      </c>
      <c r="C3" s="540" t="s">
        <v>1</v>
      </c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W3" s="10"/>
    </row>
    <row r="4" spans="1:23" s="16" customFormat="1" ht="30.75" hidden="1" customHeight="1" x14ac:dyDescent="0.3">
      <c r="A4" s="541" t="s">
        <v>2</v>
      </c>
      <c r="B4" s="541"/>
      <c r="C4" s="541"/>
      <c r="D4" s="542" t="s">
        <v>3</v>
      </c>
      <c r="E4" s="542"/>
      <c r="F4" s="14"/>
      <c r="G4" s="14"/>
      <c r="H4" s="14"/>
      <c r="I4" s="14"/>
      <c r="J4" s="15"/>
      <c r="K4" s="15"/>
      <c r="L4" s="15"/>
      <c r="M4" s="15"/>
      <c r="N4" s="15"/>
      <c r="R4" s="17"/>
      <c r="S4" s="17"/>
      <c r="T4" s="17"/>
      <c r="U4" s="17"/>
      <c r="V4" s="17"/>
      <c r="W4" s="17"/>
    </row>
    <row r="5" spans="1:23" s="16" customFormat="1" ht="23.25" hidden="1" customHeight="1" x14ac:dyDescent="0.3">
      <c r="A5" s="541" t="s">
        <v>4</v>
      </c>
      <c r="B5" s="541"/>
      <c r="C5" s="541"/>
      <c r="D5" s="13" t="s">
        <v>5</v>
      </c>
      <c r="E5" s="18">
        <f>VLOOKUP(D5,B98:C101,2,FALSE())</f>
        <v>30</v>
      </c>
      <c r="F5" s="14" t="str">
        <f>VLOOKUP(D5,B99:D101,3,FALSE())</f>
        <v>Obs: Desconto atualmente aplicado (30 dias corridos).</v>
      </c>
      <c r="G5" s="14"/>
      <c r="H5" s="14"/>
      <c r="I5" s="14"/>
      <c r="J5" s="15"/>
      <c r="K5" s="15"/>
      <c r="L5" s="15"/>
      <c r="M5" s="15"/>
      <c r="N5" s="15"/>
      <c r="R5" s="17"/>
      <c r="S5" s="17"/>
      <c r="T5" s="17"/>
      <c r="U5" s="17"/>
      <c r="V5" s="17"/>
      <c r="W5" s="17"/>
    </row>
    <row r="6" spans="1:23" s="16" customFormat="1" ht="12" hidden="1" customHeight="1" x14ac:dyDescent="0.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R6" s="17"/>
      <c r="S6" s="17"/>
      <c r="T6" s="17"/>
      <c r="U6" s="17"/>
      <c r="V6" s="17"/>
      <c r="W6" s="17"/>
    </row>
    <row r="7" spans="1:23" s="16" customFormat="1" ht="31.5" hidden="1" customHeight="1" x14ac:dyDescent="0.3">
      <c r="A7" s="543" t="s">
        <v>6</v>
      </c>
      <c r="B7" s="543"/>
      <c r="C7" s="543"/>
      <c r="D7" s="544" t="s">
        <v>7</v>
      </c>
      <c r="E7" s="545" t="s">
        <v>8</v>
      </c>
      <c r="F7" s="546" t="s">
        <v>9</v>
      </c>
      <c r="G7" s="546" t="s">
        <v>10</v>
      </c>
      <c r="H7" s="544" t="s">
        <v>11</v>
      </c>
      <c r="I7" s="545" t="s">
        <v>12</v>
      </c>
      <c r="J7" s="546" t="s">
        <v>13</v>
      </c>
      <c r="K7" s="547" t="s">
        <v>14</v>
      </c>
      <c r="L7" s="548" t="s">
        <v>15</v>
      </c>
      <c r="M7" s="548" t="s">
        <v>16</v>
      </c>
      <c r="N7" s="549" t="s">
        <v>17</v>
      </c>
      <c r="O7" s="550" t="s">
        <v>18</v>
      </c>
      <c r="P7" s="546" t="s">
        <v>19</v>
      </c>
      <c r="Q7" s="546" t="s">
        <v>20</v>
      </c>
      <c r="R7" s="547" t="s">
        <v>21</v>
      </c>
      <c r="S7" s="545" t="s">
        <v>22</v>
      </c>
      <c r="T7" s="551" t="s">
        <v>23</v>
      </c>
      <c r="U7" s="551"/>
      <c r="V7" s="551"/>
      <c r="W7" s="551"/>
    </row>
    <row r="8" spans="1:23" s="16" customFormat="1" ht="31.5" hidden="1" customHeight="1" x14ac:dyDescent="0.3">
      <c r="A8" s="543"/>
      <c r="B8" s="543"/>
      <c r="C8" s="543"/>
      <c r="D8" s="544"/>
      <c r="E8" s="545"/>
      <c r="F8" s="546"/>
      <c r="G8" s="546"/>
      <c r="H8" s="544"/>
      <c r="I8" s="545"/>
      <c r="J8" s="546"/>
      <c r="K8" s="547"/>
      <c r="L8" s="548"/>
      <c r="M8" s="548"/>
      <c r="N8" s="549"/>
      <c r="O8" s="550"/>
      <c r="P8" s="546"/>
      <c r="Q8" s="546"/>
      <c r="R8" s="547"/>
      <c r="S8" s="545"/>
      <c r="T8" s="551"/>
      <c r="U8" s="551"/>
      <c r="V8" s="551"/>
      <c r="W8" s="551"/>
    </row>
    <row r="9" spans="1:23" s="16" customFormat="1" ht="31.5" hidden="1" customHeight="1" x14ac:dyDescent="0.3">
      <c r="A9" s="543"/>
      <c r="B9" s="543"/>
      <c r="C9" s="543"/>
      <c r="D9" s="544"/>
      <c r="E9" s="545"/>
      <c r="F9" s="546"/>
      <c r="G9" s="546"/>
      <c r="H9" s="544"/>
      <c r="I9" s="545"/>
      <c r="J9" s="546"/>
      <c r="K9" s="547"/>
      <c r="L9" s="548"/>
      <c r="M9" s="548"/>
      <c r="N9" s="549"/>
      <c r="O9" s="550"/>
      <c r="P9" s="546"/>
      <c r="Q9" s="546"/>
      <c r="R9" s="547"/>
      <c r="S9" s="545"/>
      <c r="T9" s="551"/>
      <c r="U9" s="551"/>
      <c r="V9" s="551"/>
      <c r="W9" s="551"/>
    </row>
    <row r="10" spans="1:23" s="16" customFormat="1" ht="69" hidden="1" x14ac:dyDescent="0.3">
      <c r="A10" s="508" t="s">
        <v>24</v>
      </c>
      <c r="B10" s="19" t="s">
        <v>25</v>
      </c>
      <c r="C10" s="19" t="s">
        <v>26</v>
      </c>
      <c r="D10" s="20" t="s">
        <v>27</v>
      </c>
      <c r="E10" s="508" t="s">
        <v>28</v>
      </c>
      <c r="F10" s="19" t="s">
        <v>29</v>
      </c>
      <c r="G10" s="19" t="s">
        <v>30</v>
      </c>
      <c r="H10" s="20" t="s">
        <v>31</v>
      </c>
      <c r="I10" s="508" t="s">
        <v>32</v>
      </c>
      <c r="J10" s="19" t="s">
        <v>33</v>
      </c>
      <c r="K10" s="21" t="s">
        <v>33</v>
      </c>
      <c r="L10" s="22" t="s">
        <v>34</v>
      </c>
      <c r="M10" s="22" t="s">
        <v>35</v>
      </c>
      <c r="N10" s="22" t="s">
        <v>36</v>
      </c>
      <c r="O10" s="23" t="s">
        <v>37</v>
      </c>
      <c r="P10" s="19" t="s">
        <v>38</v>
      </c>
      <c r="Q10" s="19" t="s">
        <v>39</v>
      </c>
      <c r="R10" s="21" t="s">
        <v>40</v>
      </c>
      <c r="S10" s="508" t="s">
        <v>41</v>
      </c>
      <c r="T10" s="19" t="s">
        <v>42</v>
      </c>
      <c r="U10" s="19" t="s">
        <v>43</v>
      </c>
      <c r="V10" s="19" t="s">
        <v>44</v>
      </c>
      <c r="W10" s="21" t="s">
        <v>45</v>
      </c>
    </row>
    <row r="11" spans="1:23" s="16" customFormat="1" ht="15.6" hidden="1" x14ac:dyDescent="0.3">
      <c r="A11" s="24">
        <f>Dados!B7</f>
        <v>1</v>
      </c>
      <c r="B11" s="341" t="str">
        <f>Dados!C7</f>
        <v>Servente de Limpeza 40% Insalubridade</v>
      </c>
      <c r="C11" s="25">
        <f>Dados!D7</f>
        <v>200</v>
      </c>
      <c r="D11" s="26">
        <v>0</v>
      </c>
      <c r="E11" s="24" t="s">
        <v>46</v>
      </c>
      <c r="F11" s="25">
        <f>IF(E11="NÃO",0,D11*Dados!$G$37)</f>
        <v>0</v>
      </c>
      <c r="G11" s="27">
        <v>0</v>
      </c>
      <c r="H11" s="28">
        <v>0</v>
      </c>
      <c r="I11" s="29">
        <v>0</v>
      </c>
      <c r="J11" s="27">
        <v>0</v>
      </c>
      <c r="K11" s="30">
        <f t="shared" ref="K11:K17" si="0">I11+J11</f>
        <v>0</v>
      </c>
      <c r="L11" s="31">
        <v>0</v>
      </c>
      <c r="M11" s="31">
        <v>0</v>
      </c>
      <c r="N11" s="32"/>
      <c r="O11" s="33">
        <f>Resumo!S12</f>
        <v>0</v>
      </c>
      <c r="P11" s="34">
        <f>Resumo!V12</f>
        <v>0</v>
      </c>
      <c r="Q11" s="35">
        <f>Resumo!W12</f>
        <v>6350.66</v>
      </c>
      <c r="R11" s="36">
        <f>Dados!O7+Dados!P7+Dados!Q7</f>
        <v>686.08</v>
      </c>
      <c r="S11" s="24">
        <f>Dados!T7</f>
        <v>2</v>
      </c>
      <c r="T11" s="35">
        <f>ROUND((Dados!M7*Encargos!$H$59*A11),2)</f>
        <v>665.56</v>
      </c>
      <c r="U11" s="92" t="s">
        <v>47</v>
      </c>
      <c r="V11" s="519">
        <f>SUMIF($S$11:$S$17,1,$Q$11:$Q$17)</f>
        <v>26446.519999999997</v>
      </c>
      <c r="W11" s="520">
        <f>SUMIF($S$11:$S$17,1,$T$11:$T$17)</f>
        <v>3313.72</v>
      </c>
    </row>
    <row r="12" spans="1:23" s="16" customFormat="1" ht="15.6" hidden="1" x14ac:dyDescent="0.3">
      <c r="A12" s="24">
        <f>Dados!B8</f>
        <v>1</v>
      </c>
      <c r="B12" s="341" t="str">
        <f>Dados!C8</f>
        <v xml:space="preserve">Servente de Limpeza  </v>
      </c>
      <c r="C12" s="25">
        <f>Dados!D8</f>
        <v>200</v>
      </c>
      <c r="D12" s="26">
        <v>0</v>
      </c>
      <c r="E12" s="24" t="s">
        <v>46</v>
      </c>
      <c r="F12" s="25">
        <f>IF(E12="NÃO",0,D12*Dados!$G$37)</f>
        <v>0</v>
      </c>
      <c r="G12" s="27">
        <v>0</v>
      </c>
      <c r="H12" s="28">
        <v>0</v>
      </c>
      <c r="I12" s="29">
        <v>0</v>
      </c>
      <c r="J12" s="27">
        <v>0</v>
      </c>
      <c r="K12" s="30">
        <f t="shared" si="0"/>
        <v>0</v>
      </c>
      <c r="L12" s="31">
        <v>0</v>
      </c>
      <c r="M12" s="31">
        <v>0</v>
      </c>
      <c r="N12" s="31">
        <v>0</v>
      </c>
      <c r="O12" s="33">
        <f>Resumo!S13</f>
        <v>0</v>
      </c>
      <c r="P12" s="35">
        <f>Resumo!V13</f>
        <v>0</v>
      </c>
      <c r="Q12" s="35">
        <f>Resumo!W13</f>
        <v>4956.09</v>
      </c>
      <c r="R12" s="36">
        <f>Dados!O8+Dados!P8+Dados!Q8</f>
        <v>686.08</v>
      </c>
      <c r="S12" s="24">
        <f>Dados!T8</f>
        <v>2</v>
      </c>
      <c r="T12" s="35">
        <f>ROUND((Dados!M8*Encargos!$H$59*A12),2)</f>
        <v>464.33</v>
      </c>
      <c r="U12" s="92" t="s">
        <v>47</v>
      </c>
      <c r="V12" s="519">
        <f>SUMIF($S$11:$S$17,2,$Q$11:$Q$17)</f>
        <v>19592.86</v>
      </c>
      <c r="W12" s="520">
        <f>SUMIF($S$11:$S$17,2,$T$11:$T$17)</f>
        <v>2143.9299999999998</v>
      </c>
    </row>
    <row r="13" spans="1:23" s="16" customFormat="1" ht="15.6" hidden="1" x14ac:dyDescent="0.3">
      <c r="A13" s="24">
        <f>Dados!B9</f>
        <v>1</v>
      </c>
      <c r="B13" s="341" t="str">
        <f>Dados!C9</f>
        <v>Servente acúmulo Copeira</v>
      </c>
      <c r="C13" s="25">
        <f>Dados!D9</f>
        <v>200</v>
      </c>
      <c r="D13" s="26">
        <v>0</v>
      </c>
      <c r="E13" s="24" t="s">
        <v>46</v>
      </c>
      <c r="F13" s="25">
        <f>IF(E13="NÃO",0,D13*Dados!$G$37)</f>
        <v>0</v>
      </c>
      <c r="G13" s="27">
        <v>0</v>
      </c>
      <c r="H13" s="28">
        <v>0</v>
      </c>
      <c r="I13" s="29">
        <v>0</v>
      </c>
      <c r="J13" s="27">
        <v>0</v>
      </c>
      <c r="K13" s="30">
        <f t="shared" si="0"/>
        <v>0</v>
      </c>
      <c r="L13" s="31">
        <v>0</v>
      </c>
      <c r="M13" s="31">
        <v>0</v>
      </c>
      <c r="N13" s="32"/>
      <c r="O13" s="33">
        <f>Resumo!S14</f>
        <v>0</v>
      </c>
      <c r="P13" s="34">
        <f>Resumo!V14</f>
        <v>0</v>
      </c>
      <c r="Q13" s="35">
        <f>Resumo!W14</f>
        <v>4295.0600000000004</v>
      </c>
      <c r="R13" s="36">
        <f>Dados!O9+Dados!P9+Dados!Q9</f>
        <v>779.24333333333334</v>
      </c>
      <c r="S13" s="24">
        <f>Dados!T9</f>
        <v>2</v>
      </c>
      <c r="T13" s="35">
        <f>ROUND((Dados!M9*Encargos!$H$59*A13),2)</f>
        <v>478.26</v>
      </c>
      <c r="U13" s="92" t="s">
        <v>47</v>
      </c>
      <c r="V13" s="519">
        <f>SUMIF($S$11:$S$17,3,$Q$11:$Q$17)</f>
        <v>0</v>
      </c>
      <c r="W13" s="520">
        <f>SUMIF($S$11:$S$17,3,$T$11:$T$17)</f>
        <v>0</v>
      </c>
    </row>
    <row r="14" spans="1:23" s="16" customFormat="1" ht="15.6" hidden="1" x14ac:dyDescent="0.3">
      <c r="A14" s="24">
        <f>Dados!B10</f>
        <v>1</v>
      </c>
      <c r="B14" s="341" t="str">
        <f>Dados!C10</f>
        <v>Zelador acúmulo Lavador de Carro</v>
      </c>
      <c r="C14" s="25">
        <f>Dados!D10</f>
        <v>150</v>
      </c>
      <c r="D14" s="26">
        <v>0</v>
      </c>
      <c r="E14" s="24" t="s">
        <v>46</v>
      </c>
      <c r="F14" s="25">
        <f>IF(E14="NÃO",0,D14*Dados!$G$37)</f>
        <v>0</v>
      </c>
      <c r="G14" s="27">
        <v>0</v>
      </c>
      <c r="H14" s="28">
        <v>0</v>
      </c>
      <c r="I14" s="29">
        <v>0</v>
      </c>
      <c r="J14" s="27">
        <v>0</v>
      </c>
      <c r="K14" s="30">
        <f t="shared" si="0"/>
        <v>0</v>
      </c>
      <c r="L14" s="31">
        <v>0</v>
      </c>
      <c r="M14" s="31">
        <v>0</v>
      </c>
      <c r="N14" s="32"/>
      <c r="O14" s="33">
        <f>Resumo!S15</f>
        <v>0</v>
      </c>
      <c r="P14" s="34">
        <f>Resumo!V15</f>
        <v>0</v>
      </c>
      <c r="Q14" s="35">
        <f>Resumo!W15</f>
        <v>3991.05</v>
      </c>
      <c r="R14" s="36">
        <f>Dados!O10+Dados!P10+Dados!Q10</f>
        <v>35.249166666666667</v>
      </c>
      <c r="S14" s="24">
        <f>Dados!T10</f>
        <v>2</v>
      </c>
      <c r="T14" s="35">
        <f>ROUND((Dados!M10*Encargos!$H$59*A14),2)</f>
        <v>535.78</v>
      </c>
      <c r="U14" s="92" t="s">
        <v>47</v>
      </c>
      <c r="V14" s="519">
        <f>SUMIF($S$11:$S$17,4,$Q$11:$Q$17)</f>
        <v>0</v>
      </c>
      <c r="W14" s="520">
        <f>SUMIF($S$11:$S$17,4,$T$11:$T$17)</f>
        <v>0</v>
      </c>
    </row>
    <row r="15" spans="1:23" s="16" customFormat="1" ht="15.6" hidden="1" x14ac:dyDescent="0.3">
      <c r="A15" s="24">
        <f>Dados!B11</f>
        <v>3</v>
      </c>
      <c r="B15" s="341" t="str">
        <f>Dados!C11</f>
        <v>Assistente Administrativo</v>
      </c>
      <c r="C15" s="25">
        <f>Dados!D11</f>
        <v>200</v>
      </c>
      <c r="D15" s="26">
        <v>0</v>
      </c>
      <c r="E15" s="24" t="s">
        <v>46</v>
      </c>
      <c r="F15" s="25">
        <f>IF(E15="NÃO",0,D15*Dados!$G$37)</f>
        <v>0</v>
      </c>
      <c r="G15" s="27">
        <v>0</v>
      </c>
      <c r="H15" s="28">
        <v>0</v>
      </c>
      <c r="I15" s="29">
        <v>0</v>
      </c>
      <c r="J15" s="27">
        <v>0</v>
      </c>
      <c r="K15" s="30">
        <f t="shared" si="0"/>
        <v>0</v>
      </c>
      <c r="L15" s="37">
        <v>0</v>
      </c>
      <c r="M15" s="31">
        <v>0</v>
      </c>
      <c r="N15" s="32"/>
      <c r="O15" s="33"/>
      <c r="P15" s="34"/>
      <c r="Q15" s="35">
        <f>Resumo!W16</f>
        <v>16648.77</v>
      </c>
      <c r="R15" s="36">
        <f>Dados!O11+Dados!P11+Dados!Q11</f>
        <v>0</v>
      </c>
      <c r="S15" s="24">
        <f>Dados!T11</f>
        <v>1</v>
      </c>
      <c r="T15" s="35">
        <f>ROUND((Dados!M11*Encargos!$H$59*A15),2)</f>
        <v>2049.7199999999998</v>
      </c>
      <c r="U15" s="92" t="s">
        <v>47</v>
      </c>
      <c r="V15" s="519"/>
      <c r="W15" s="520"/>
    </row>
    <row r="16" spans="1:23" s="16" customFormat="1" ht="15.6" hidden="1" x14ac:dyDescent="0.3">
      <c r="A16" s="24">
        <f>Dados!B12</f>
        <v>1</v>
      </c>
      <c r="B16" s="341" t="str">
        <f>Dados!C12</f>
        <v>Assistente Administrativo</v>
      </c>
      <c r="C16" s="25">
        <f>Dados!D12</f>
        <v>150</v>
      </c>
      <c r="D16" s="26">
        <v>0</v>
      </c>
      <c r="E16" s="24" t="s">
        <v>46</v>
      </c>
      <c r="F16" s="25">
        <f>IF(E16="NÃO",0,D16*Dados!$G$37)</f>
        <v>0</v>
      </c>
      <c r="G16" s="27">
        <v>0</v>
      </c>
      <c r="H16" s="28">
        <v>0</v>
      </c>
      <c r="I16" s="29">
        <v>0</v>
      </c>
      <c r="J16" s="27">
        <v>0</v>
      </c>
      <c r="K16" s="30">
        <f t="shared" si="0"/>
        <v>0</v>
      </c>
      <c r="L16" s="37">
        <v>0</v>
      </c>
      <c r="M16" s="31">
        <v>0</v>
      </c>
      <c r="N16" s="32"/>
      <c r="O16" s="33"/>
      <c r="P16" s="34"/>
      <c r="Q16" s="35">
        <f>Resumo!W17</f>
        <v>3790.51</v>
      </c>
      <c r="R16" s="36">
        <f>Dados!O12+Dados!P12+Dados!Q12</f>
        <v>0</v>
      </c>
      <c r="S16" s="24">
        <f>Dados!T12</f>
        <v>1</v>
      </c>
      <c r="T16" s="35">
        <f>ROUND((Dados!M12*Encargos!$H$59*A16),2)</f>
        <v>512.42999999999995</v>
      </c>
      <c r="U16" s="92" t="s">
        <v>47</v>
      </c>
      <c r="V16" s="519"/>
      <c r="W16" s="520"/>
    </row>
    <row r="17" spans="1:23" s="16" customFormat="1" ht="15.6" hidden="1" x14ac:dyDescent="0.3">
      <c r="A17" s="24">
        <f>Dados!B13</f>
        <v>1</v>
      </c>
      <c r="B17" s="341" t="str">
        <f>Dados!C13</f>
        <v>Assistente Administrativo</v>
      </c>
      <c r="C17" s="25">
        <f>Dados!D13</f>
        <v>220</v>
      </c>
      <c r="D17" s="26">
        <v>0</v>
      </c>
      <c r="E17" s="24" t="s">
        <v>46</v>
      </c>
      <c r="F17" s="25">
        <f>IF(E17="NÃO",0,D17*Dados!$G$37)</f>
        <v>0</v>
      </c>
      <c r="G17" s="27">
        <v>0</v>
      </c>
      <c r="H17" s="28">
        <v>0</v>
      </c>
      <c r="I17" s="29">
        <v>0</v>
      </c>
      <c r="J17" s="27">
        <v>0</v>
      </c>
      <c r="K17" s="30">
        <f t="shared" si="0"/>
        <v>0</v>
      </c>
      <c r="L17" s="38">
        <v>0</v>
      </c>
      <c r="M17" s="31">
        <v>0</v>
      </c>
      <c r="N17" s="32"/>
      <c r="O17" s="33">
        <f>Resumo!S16</f>
        <v>0</v>
      </c>
      <c r="P17" s="34">
        <f>Resumo!V16</f>
        <v>0</v>
      </c>
      <c r="Q17" s="35">
        <f>Resumo!W18</f>
        <v>6007.24</v>
      </c>
      <c r="R17" s="36">
        <f>Dados!O13+Dados!P13+Dados!Q13</f>
        <v>0</v>
      </c>
      <c r="S17" s="24">
        <f>Dados!T13</f>
        <v>1</v>
      </c>
      <c r="T17" s="35">
        <f>ROUND((Dados!M13*Encargos!$H$59*A17),2)</f>
        <v>751.57</v>
      </c>
      <c r="U17" s="92" t="s">
        <v>48</v>
      </c>
      <c r="V17" s="519">
        <f>SUMIF($S$11:$S$17,5,$Q$11:$Q$17)</f>
        <v>0</v>
      </c>
      <c r="W17" s="520">
        <f>SUMIF($S$11:$S$17,5,$T$11:$T$17)</f>
        <v>0</v>
      </c>
    </row>
    <row r="18" spans="1:23" s="47" customFormat="1" ht="13.5" hidden="1" customHeight="1" x14ac:dyDescent="0.3">
      <c r="A18" s="552" t="s">
        <v>49</v>
      </c>
      <c r="B18" s="552"/>
      <c r="C18" s="552"/>
      <c r="D18" s="552"/>
      <c r="E18" s="552"/>
      <c r="F18" s="552"/>
      <c r="G18" s="552"/>
      <c r="H18" s="39">
        <f>Resumo!I19</f>
        <v>0</v>
      </c>
      <c r="I18" s="553"/>
      <c r="J18" s="553"/>
      <c r="K18" s="40">
        <f>Resumo!L19</f>
        <v>0</v>
      </c>
      <c r="L18" s="41">
        <f>Resumo!O19</f>
        <v>0</v>
      </c>
      <c r="M18" s="41">
        <f>Resumo!R19</f>
        <v>0</v>
      </c>
      <c r="N18" s="42">
        <f>Resumo!V19</f>
        <v>0</v>
      </c>
      <c r="O18" s="43">
        <f>(H18+K18+L18+M18)</f>
        <v>0</v>
      </c>
      <c r="P18" s="44">
        <f>Resumo!V19</f>
        <v>0</v>
      </c>
      <c r="Q18" s="44">
        <f>SUM(Q11:Q17)</f>
        <v>46039.380000000005</v>
      </c>
      <c r="R18" s="45">
        <f>SUM(R11:R17)</f>
        <v>2186.6525000000001</v>
      </c>
      <c r="S18" s="46"/>
      <c r="T18" s="44">
        <f>SUM(T11:T17)</f>
        <v>5457.65</v>
      </c>
      <c r="U18" s="44"/>
      <c r="V18" s="44">
        <f>SUM(V11:V17)</f>
        <v>46039.38</v>
      </c>
      <c r="W18" s="45">
        <f>SUM(W11:W17)</f>
        <v>5457.65</v>
      </c>
    </row>
    <row r="19" spans="1:23" hidden="1" x14ac:dyDescent="0.3">
      <c r="A19" s="48" t="s">
        <v>50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23" hidden="1" x14ac:dyDescent="0.3">
      <c r="A20" s="49" t="s">
        <v>51</v>
      </c>
      <c r="B20" s="50"/>
      <c r="C20" s="50"/>
      <c r="D20" s="50"/>
      <c r="E20" s="50"/>
      <c r="F20" s="50"/>
      <c r="G20" s="50"/>
      <c r="H20" s="50"/>
      <c r="I20" s="50"/>
      <c r="J20" s="50"/>
    </row>
    <row r="21" spans="1:23" s="47" customFormat="1" ht="25.5" hidden="1" customHeight="1" x14ac:dyDescent="0.3">
      <c r="A21" s="554" t="s">
        <v>52</v>
      </c>
      <c r="B21" s="554"/>
      <c r="C21" s="51" t="s">
        <v>53</v>
      </c>
      <c r="D21" s="51" t="s">
        <v>54</v>
      </c>
      <c r="E21" s="51" t="s">
        <v>55</v>
      </c>
      <c r="F21" s="51" t="s">
        <v>56</v>
      </c>
      <c r="H21" s="49"/>
      <c r="I21" s="52"/>
      <c r="J21" s="49"/>
      <c r="K21" s="52"/>
      <c r="L21" s="52"/>
      <c r="M21" s="52"/>
      <c r="R21" s="52"/>
      <c r="S21" s="52"/>
      <c r="T21" s="52"/>
      <c r="U21" s="52"/>
      <c r="V21" s="52"/>
      <c r="W21" s="52"/>
    </row>
    <row r="22" spans="1:23" s="47" customFormat="1" ht="13.8" hidden="1" x14ac:dyDescent="0.3">
      <c r="A22" s="554"/>
      <c r="B22" s="554"/>
      <c r="C22" s="92">
        <v>220</v>
      </c>
      <c r="D22" s="92">
        <v>10</v>
      </c>
      <c r="E22" s="92">
        <v>25</v>
      </c>
      <c r="F22" s="382">
        <f>ROUND((D22/VLOOKUP(C22,$B$104:$C$110,2,FALSE())+E22/60/VLOOKUP(C22,$B$104:$C$110,2,FALSE())),2)</f>
        <v>1.18</v>
      </c>
      <c r="H22" s="49"/>
      <c r="I22" s="52"/>
      <c r="J22" s="49"/>
      <c r="K22" s="52"/>
      <c r="L22" s="52"/>
      <c r="M22" s="52"/>
      <c r="R22" s="52"/>
      <c r="S22" s="52"/>
      <c r="T22" s="52"/>
      <c r="U22" s="52"/>
      <c r="V22" s="52"/>
      <c r="W22" s="52"/>
    </row>
    <row r="23" spans="1:23" s="47" customFormat="1" ht="15" hidden="1" customHeight="1" x14ac:dyDescent="0.3">
      <c r="A23" s="555" t="s">
        <v>57</v>
      </c>
      <c r="B23" s="555"/>
      <c r="C23" s="555"/>
      <c r="D23" s="555"/>
      <c r="E23" s="555"/>
      <c r="F23" s="555"/>
      <c r="G23" s="14"/>
      <c r="H23" s="14"/>
      <c r="I23" s="14"/>
      <c r="J23" s="49"/>
      <c r="K23" s="52"/>
      <c r="L23" s="52"/>
      <c r="M23" s="52"/>
      <c r="R23" s="52"/>
      <c r="S23" s="52"/>
      <c r="T23" s="52"/>
      <c r="U23" s="52"/>
      <c r="V23" s="52"/>
      <c r="W23" s="52"/>
    </row>
    <row r="24" spans="1:23" s="47" customFormat="1" hidden="1" x14ac:dyDescent="0.3">
      <c r="A24" s="555"/>
      <c r="B24" s="555"/>
      <c r="C24" s="555"/>
      <c r="D24" s="555"/>
      <c r="E24" s="555"/>
      <c r="F24" s="555"/>
      <c r="G24" s="14"/>
      <c r="H24" s="53"/>
      <c r="I24" s="14"/>
      <c r="J24" s="49"/>
      <c r="K24" s="52"/>
      <c r="L24" s="52"/>
      <c r="M24" s="52"/>
      <c r="R24" s="52"/>
      <c r="S24" s="52"/>
      <c r="T24" s="52"/>
      <c r="U24" s="52"/>
      <c r="V24" s="52"/>
      <c r="W24" s="52"/>
    </row>
    <row r="25" spans="1:23" hidden="1" x14ac:dyDescent="0.3">
      <c r="A25" s="49" t="s">
        <v>58</v>
      </c>
      <c r="B25" s="14"/>
      <c r="C25" s="14"/>
      <c r="D25" s="14"/>
      <c r="E25" s="14"/>
      <c r="F25" s="14"/>
      <c r="G25" s="14"/>
      <c r="H25" s="14"/>
      <c r="I25" s="14"/>
      <c r="J25" s="14"/>
    </row>
    <row r="26" spans="1:23" hidden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N26" s="54"/>
      <c r="O26" s="55"/>
      <c r="P26" s="55"/>
    </row>
    <row r="27" spans="1:23" ht="15.75" hidden="1" customHeight="1" x14ac:dyDescent="0.3">
      <c r="A27" s="556" t="s">
        <v>59</v>
      </c>
      <c r="B27" s="557" t="s">
        <v>60</v>
      </c>
      <c r="C27" s="557"/>
      <c r="D27" s="557"/>
      <c r="E27" s="557"/>
      <c r="F27" s="558" t="s">
        <v>61</v>
      </c>
      <c r="G27" s="558"/>
      <c r="H27" s="558"/>
      <c r="I27" s="559" t="s">
        <v>62</v>
      </c>
      <c r="J27" s="559"/>
      <c r="K27" s="559"/>
      <c r="L27" s="560" t="s">
        <v>63</v>
      </c>
      <c r="M27" s="560"/>
      <c r="N27" s="560"/>
      <c r="O27" s="560"/>
      <c r="V27" s="1"/>
      <c r="W27" s="1"/>
    </row>
    <row r="28" spans="1:23" ht="38.25" hidden="1" customHeight="1" x14ac:dyDescent="0.3">
      <c r="A28" s="556"/>
      <c r="B28" s="554" t="s">
        <v>64</v>
      </c>
      <c r="C28" s="554"/>
      <c r="D28" s="554"/>
      <c r="E28" s="51" t="s">
        <v>65</v>
      </c>
      <c r="F28" s="51" t="s">
        <v>66</v>
      </c>
      <c r="G28" s="51" t="s">
        <v>67</v>
      </c>
      <c r="H28" s="56" t="s">
        <v>68</v>
      </c>
      <c r="I28" s="559"/>
      <c r="J28" s="559"/>
      <c r="K28" s="559"/>
      <c r="L28" s="504" t="s">
        <v>69</v>
      </c>
      <c r="M28" s="505" t="s">
        <v>70</v>
      </c>
      <c r="N28" s="505" t="s">
        <v>71</v>
      </c>
      <c r="O28" s="506" t="s">
        <v>72</v>
      </c>
      <c r="V28" s="14"/>
      <c r="W28" s="1"/>
    </row>
    <row r="29" spans="1:23" ht="15" hidden="1" customHeight="1" x14ac:dyDescent="0.3">
      <c r="A29" s="57">
        <v>1</v>
      </c>
      <c r="B29" s="507" t="s">
        <v>73</v>
      </c>
      <c r="C29" s="507"/>
      <c r="D29" s="507"/>
      <c r="E29" s="58" t="str">
        <f>Materiais!C9</f>
        <v>Galão</v>
      </c>
      <c r="F29" s="58"/>
      <c r="G29" s="59">
        <f t="shared" ref="G29:G58" si="1">IF($D$4="PLANILHA PARA LICITAÇÃO (PRECIFICAÇÃO)",L29,0)</f>
        <v>1</v>
      </c>
      <c r="H29" s="60">
        <f>G29*Materiais!G9</f>
        <v>50.2</v>
      </c>
      <c r="I29" s="561" t="str">
        <f t="shared" ref="I29:I58" si="2">IF(G29&lt;L29,"Fornecimento inferior ao estimado mensalmente",IF(G29=L29,"Fornecimento igual ao estimado mensalmente",IF(G29&gt;L29,"Fornecimento superior ao estimado mensalmente",)))</f>
        <v>Fornecimento igual ao estimado mensalmente</v>
      </c>
      <c r="J29" s="561"/>
      <c r="K29" s="561"/>
      <c r="L29" s="61">
        <f t="shared" ref="L29:L58" si="3">M29/O29</f>
        <v>1</v>
      </c>
      <c r="M29" s="62">
        <f>Materiais!E9</f>
        <v>1</v>
      </c>
      <c r="N29" s="63" t="str">
        <f>Materiais!F9</f>
        <v>Mensal</v>
      </c>
      <c r="O29" s="511">
        <f t="shared" ref="O29:O58" si="4">IF(N29="MENSAL",1,IF(N29="BIMESTRAL",2,IF(N29="TRIMESTRAL",3,IF(N29="QUADRIMESTRAL",4,IF(N29="SEMESTRAL",6,IF(N29="ANUAL",12,IF(N29="BIENAL",24,"")))))))</f>
        <v>1</v>
      </c>
      <c r="W29" s="1"/>
    </row>
    <row r="30" spans="1:23" ht="15" hidden="1" customHeight="1" x14ac:dyDescent="0.3">
      <c r="A30" s="64">
        <v>2</v>
      </c>
      <c r="B30" s="507" t="s">
        <v>75</v>
      </c>
      <c r="C30" s="507"/>
      <c r="D30" s="507"/>
      <c r="E30" s="58" t="str">
        <f>Materiais!C10</f>
        <v>Unid.</v>
      </c>
      <c r="F30" s="58"/>
      <c r="G30" s="59">
        <f t="shared" si="1"/>
        <v>15</v>
      </c>
      <c r="H30" s="60">
        <f>G30*Materiais!G10</f>
        <v>168.6</v>
      </c>
      <c r="I30" s="561" t="str">
        <f t="shared" si="2"/>
        <v>Fornecimento igual ao estimado mensalmente</v>
      </c>
      <c r="J30" s="561"/>
      <c r="K30" s="561"/>
      <c r="L30" s="61">
        <f t="shared" si="3"/>
        <v>15</v>
      </c>
      <c r="M30" s="62">
        <f>Materiais!E10</f>
        <v>15</v>
      </c>
      <c r="N30" s="63" t="str">
        <f>Materiais!F10</f>
        <v>Mensal</v>
      </c>
      <c r="O30" s="511">
        <f t="shared" si="4"/>
        <v>1</v>
      </c>
      <c r="W30" s="1"/>
    </row>
    <row r="31" spans="1:23" ht="15" hidden="1" customHeight="1" x14ac:dyDescent="0.3">
      <c r="A31" s="64">
        <v>3</v>
      </c>
      <c r="B31" s="507" t="s">
        <v>134</v>
      </c>
      <c r="C31" s="507"/>
      <c r="D31" s="507"/>
      <c r="E31" s="58" t="str">
        <f>Materiais!C11</f>
        <v>Unid.</v>
      </c>
      <c r="F31" s="58" t="str">
        <f>Materiais!D11</f>
        <v xml:space="preserve">Sanremo ou similar </v>
      </c>
      <c r="G31" s="59">
        <f t="shared" si="1"/>
        <v>0.41666666666666669</v>
      </c>
      <c r="H31" s="60">
        <f>G31*Materiais!G11</f>
        <v>10.183333333333334</v>
      </c>
      <c r="I31" s="561" t="str">
        <f t="shared" si="2"/>
        <v>Fornecimento igual ao estimado mensalmente</v>
      </c>
      <c r="J31" s="561"/>
      <c r="K31" s="561"/>
      <c r="L31" s="61">
        <f t="shared" si="3"/>
        <v>0.41666666666666669</v>
      </c>
      <c r="M31" s="62">
        <f>Materiais!E11</f>
        <v>5</v>
      </c>
      <c r="N31" s="63" t="str">
        <f>Materiais!F11</f>
        <v>Anual</v>
      </c>
      <c r="O31" s="511">
        <f t="shared" si="4"/>
        <v>12</v>
      </c>
      <c r="W31" s="1"/>
    </row>
    <row r="32" spans="1:23" ht="15" hidden="1" customHeight="1" x14ac:dyDescent="0.3">
      <c r="A32" s="64">
        <v>4</v>
      </c>
      <c r="B32" s="507" t="s">
        <v>76</v>
      </c>
      <c r="C32" s="507"/>
      <c r="D32" s="507"/>
      <c r="E32" s="58" t="str">
        <f>Materiais!C12</f>
        <v>Galão</v>
      </c>
      <c r="F32" s="58"/>
      <c r="G32" s="59">
        <f t="shared" si="1"/>
        <v>8</v>
      </c>
      <c r="H32" s="60">
        <f>G32*Materiais!G12</f>
        <v>173.44</v>
      </c>
      <c r="I32" s="561" t="str">
        <f t="shared" si="2"/>
        <v>Fornecimento igual ao estimado mensalmente</v>
      </c>
      <c r="J32" s="561"/>
      <c r="K32" s="561"/>
      <c r="L32" s="61">
        <f t="shared" si="3"/>
        <v>8</v>
      </c>
      <c r="M32" s="62">
        <f>Materiais!E12</f>
        <v>8</v>
      </c>
      <c r="N32" s="63" t="str">
        <f>Materiais!F12</f>
        <v>Mensal</v>
      </c>
      <c r="O32" s="511">
        <f t="shared" si="4"/>
        <v>1</v>
      </c>
      <c r="W32" s="1"/>
    </row>
    <row r="33" spans="1:23" ht="15" hidden="1" customHeight="1" x14ac:dyDescent="0.3">
      <c r="A33" s="64">
        <v>5</v>
      </c>
      <c r="B33" s="507" t="s">
        <v>137</v>
      </c>
      <c r="C33" s="507"/>
      <c r="D33" s="507"/>
      <c r="E33" s="58" t="str">
        <f>Materiais!C13</f>
        <v>Unid.</v>
      </c>
      <c r="F33" s="58" t="str">
        <f>Materiais!D13</f>
        <v xml:space="preserve">Bettanin ou similar </v>
      </c>
      <c r="G33" s="59">
        <f t="shared" si="1"/>
        <v>8.3333333333333329E-2</v>
      </c>
      <c r="H33" s="60">
        <f>G33*Materiais!G13</f>
        <v>1.2916666666666665</v>
      </c>
      <c r="I33" s="561" t="str">
        <f t="shared" si="2"/>
        <v>Fornecimento igual ao estimado mensalmente</v>
      </c>
      <c r="J33" s="561"/>
      <c r="K33" s="561"/>
      <c r="L33" s="61">
        <f t="shared" si="3"/>
        <v>8.3333333333333329E-2</v>
      </c>
      <c r="M33" s="62">
        <f>Materiais!E13</f>
        <v>1</v>
      </c>
      <c r="N33" s="63" t="str">
        <f>Materiais!F13</f>
        <v>Anual</v>
      </c>
      <c r="O33" s="511">
        <f t="shared" si="4"/>
        <v>12</v>
      </c>
      <c r="W33" s="1"/>
    </row>
    <row r="34" spans="1:23" ht="15" hidden="1" customHeight="1" x14ac:dyDescent="0.3">
      <c r="A34" s="64">
        <v>6</v>
      </c>
      <c r="B34" s="507" t="s">
        <v>139</v>
      </c>
      <c r="C34" s="507"/>
      <c r="D34" s="507"/>
      <c r="E34" s="58" t="str">
        <f>Materiais!C14</f>
        <v>Unid.</v>
      </c>
      <c r="F34" s="58"/>
      <c r="G34" s="59">
        <f t="shared" si="1"/>
        <v>0.16666666666666666</v>
      </c>
      <c r="H34" s="60">
        <f>G34*Materiais!G14</f>
        <v>2.3866666666666667</v>
      </c>
      <c r="I34" s="561" t="str">
        <f t="shared" si="2"/>
        <v>Fornecimento igual ao estimado mensalmente</v>
      </c>
      <c r="J34" s="561"/>
      <c r="K34" s="561"/>
      <c r="L34" s="61">
        <f t="shared" si="3"/>
        <v>0.16666666666666666</v>
      </c>
      <c r="M34" s="62">
        <f>Materiais!E14</f>
        <v>2</v>
      </c>
      <c r="N34" s="63" t="str">
        <f>Materiais!F14</f>
        <v>Anual</v>
      </c>
      <c r="O34" s="511">
        <f t="shared" si="4"/>
        <v>12</v>
      </c>
      <c r="W34" s="1"/>
    </row>
    <row r="35" spans="1:23" ht="15" hidden="1" customHeight="1" x14ac:dyDescent="0.3">
      <c r="A35" s="64">
        <v>7</v>
      </c>
      <c r="B35" s="97" t="s">
        <v>140</v>
      </c>
      <c r="C35" s="97"/>
      <c r="D35" s="97"/>
      <c r="E35" s="58" t="str">
        <f>Materiais!C15</f>
        <v>Galão</v>
      </c>
      <c r="F35" s="58" t="str">
        <f>Materiais!D15</f>
        <v>Pinho sol ou similar</v>
      </c>
      <c r="G35" s="59">
        <f t="shared" si="1"/>
        <v>3</v>
      </c>
      <c r="H35" s="60">
        <f>G35*Materiais!G15</f>
        <v>50.61</v>
      </c>
      <c r="I35" s="561" t="str">
        <f t="shared" si="2"/>
        <v>Fornecimento igual ao estimado mensalmente</v>
      </c>
      <c r="J35" s="561"/>
      <c r="K35" s="561"/>
      <c r="L35" s="61">
        <f t="shared" si="3"/>
        <v>3</v>
      </c>
      <c r="M35" s="62">
        <f>Materiais!E15</f>
        <v>3</v>
      </c>
      <c r="N35" s="63" t="str">
        <f>Materiais!F15</f>
        <v>Mensal</v>
      </c>
      <c r="O35" s="511">
        <f t="shared" si="4"/>
        <v>1</v>
      </c>
      <c r="W35" s="1"/>
    </row>
    <row r="36" spans="1:23" ht="15" hidden="1" customHeight="1" x14ac:dyDescent="0.3">
      <c r="A36" s="64">
        <v>8</v>
      </c>
      <c r="B36" s="507" t="s">
        <v>78</v>
      </c>
      <c r="C36" s="507"/>
      <c r="D36" s="507"/>
      <c r="E36" s="58" t="str">
        <f>Materiais!C16</f>
        <v>Unid.</v>
      </c>
      <c r="F36" s="58" t="str">
        <f>Materiais!D16</f>
        <v>Limpol</v>
      </c>
      <c r="G36" s="59">
        <f t="shared" si="1"/>
        <v>4</v>
      </c>
      <c r="H36" s="60">
        <f>G36*Materiais!G16</f>
        <v>11.76</v>
      </c>
      <c r="I36" s="561" t="str">
        <f t="shared" si="2"/>
        <v>Fornecimento igual ao estimado mensalmente</v>
      </c>
      <c r="J36" s="561"/>
      <c r="K36" s="561"/>
      <c r="L36" s="61">
        <f t="shared" si="3"/>
        <v>4</v>
      </c>
      <c r="M36" s="62">
        <f>Materiais!E16</f>
        <v>4</v>
      </c>
      <c r="N36" s="63" t="str">
        <f>Materiais!F16</f>
        <v>Mensal</v>
      </c>
      <c r="O36" s="511">
        <f t="shared" si="4"/>
        <v>1</v>
      </c>
      <c r="W36" s="1"/>
    </row>
    <row r="37" spans="1:23" ht="15" hidden="1" customHeight="1" x14ac:dyDescent="0.3">
      <c r="A37" s="64">
        <v>9</v>
      </c>
      <c r="B37" s="97" t="s">
        <v>141</v>
      </c>
      <c r="C37" s="97"/>
      <c r="D37" s="97"/>
      <c r="E37" s="58" t="str">
        <f>Materiais!C17</f>
        <v>Unid.</v>
      </c>
      <c r="F37" s="58" t="str">
        <f>Materiais!D17</f>
        <v>Condor</v>
      </c>
      <c r="G37" s="59">
        <f t="shared" si="1"/>
        <v>8.3333333333333329E-2</v>
      </c>
      <c r="H37" s="60">
        <f>G37*Materiais!G17</f>
        <v>0.35833333333333328</v>
      </c>
      <c r="I37" s="561" t="str">
        <f t="shared" si="2"/>
        <v>Fornecimento igual ao estimado mensalmente</v>
      </c>
      <c r="J37" s="561"/>
      <c r="K37" s="561"/>
      <c r="L37" s="61">
        <f t="shared" si="3"/>
        <v>8.3333333333333329E-2</v>
      </c>
      <c r="M37" s="62">
        <f>Materiais!E17</f>
        <v>1</v>
      </c>
      <c r="N37" s="63" t="str">
        <f>Materiais!F17</f>
        <v>Anual</v>
      </c>
      <c r="O37" s="511">
        <f t="shared" si="4"/>
        <v>12</v>
      </c>
      <c r="W37" s="1"/>
    </row>
    <row r="38" spans="1:23" ht="15" hidden="1" customHeight="1" x14ac:dyDescent="0.3">
      <c r="A38" s="65">
        <v>10</v>
      </c>
      <c r="B38" s="97" t="s">
        <v>142</v>
      </c>
      <c r="C38" s="97"/>
      <c r="D38" s="97"/>
      <c r="E38" s="58" t="str">
        <f>Materiais!C18</f>
        <v>Unid.</v>
      </c>
      <c r="F38" s="58" t="str">
        <f>Materiais!D18</f>
        <v>Scotch-Brite ou similar</v>
      </c>
      <c r="G38" s="59">
        <f t="shared" si="1"/>
        <v>4</v>
      </c>
      <c r="H38" s="60">
        <f>G38*Materiais!G18</f>
        <v>10.199999999999999</v>
      </c>
      <c r="I38" s="561" t="str">
        <f t="shared" si="2"/>
        <v>Fornecimento igual ao estimado mensalmente</v>
      </c>
      <c r="J38" s="561"/>
      <c r="K38" s="561"/>
      <c r="L38" s="61">
        <f t="shared" si="3"/>
        <v>4</v>
      </c>
      <c r="M38" s="62">
        <f>Materiais!E18</f>
        <v>4</v>
      </c>
      <c r="N38" s="63" t="str">
        <f>Materiais!F18</f>
        <v>Mensal</v>
      </c>
      <c r="O38" s="511">
        <f t="shared" si="4"/>
        <v>1</v>
      </c>
      <c r="W38" s="1"/>
    </row>
    <row r="39" spans="1:23" ht="15" hidden="1" customHeight="1" x14ac:dyDescent="0.3">
      <c r="A39" s="64">
        <v>11</v>
      </c>
      <c r="B39" s="507" t="s">
        <v>144</v>
      </c>
      <c r="C39" s="507"/>
      <c r="D39" s="507"/>
      <c r="E39" s="58" t="str">
        <f>Materiais!C19</f>
        <v>Unid.</v>
      </c>
      <c r="F39" s="58" t="str">
        <f>Materiais!D19</f>
        <v>Daneva</v>
      </c>
      <c r="G39" s="59">
        <f t="shared" si="1"/>
        <v>8.3333333333333329E-2</v>
      </c>
      <c r="H39" s="60">
        <f>G39*Materiais!G19</f>
        <v>28.791666666666664</v>
      </c>
      <c r="I39" s="561" t="str">
        <f t="shared" si="2"/>
        <v>Fornecimento igual ao estimado mensalmente</v>
      </c>
      <c r="J39" s="561"/>
      <c r="K39" s="561"/>
      <c r="L39" s="61">
        <f t="shared" si="3"/>
        <v>8.3333333333333329E-2</v>
      </c>
      <c r="M39" s="62">
        <f>Materiais!E19</f>
        <v>1</v>
      </c>
      <c r="N39" s="63" t="str">
        <f>Materiais!F19</f>
        <v>Anual</v>
      </c>
      <c r="O39" s="511">
        <f t="shared" si="4"/>
        <v>12</v>
      </c>
      <c r="W39" s="1"/>
    </row>
    <row r="40" spans="1:23" ht="15" hidden="1" customHeight="1" x14ac:dyDescent="0.3">
      <c r="A40" s="64">
        <v>12</v>
      </c>
      <c r="B40" s="97" t="s">
        <v>145</v>
      </c>
      <c r="C40" s="97"/>
      <c r="D40" s="97"/>
      <c r="E40" s="58" t="str">
        <f>Materiais!C20</f>
        <v>Unid.</v>
      </c>
      <c r="F40" s="58" t="str">
        <f>Materiais!D20</f>
        <v>Intextil</v>
      </c>
      <c r="G40" s="59">
        <f t="shared" si="1"/>
        <v>4</v>
      </c>
      <c r="H40" s="60">
        <f>G40*Materiais!G20</f>
        <v>18.760000000000002</v>
      </c>
      <c r="I40" s="561" t="str">
        <f t="shared" si="2"/>
        <v>Fornecimento igual ao estimado mensalmente</v>
      </c>
      <c r="J40" s="561"/>
      <c r="K40" s="561"/>
      <c r="L40" s="61">
        <f t="shared" si="3"/>
        <v>4</v>
      </c>
      <c r="M40" s="62">
        <f>Materiais!E20</f>
        <v>8</v>
      </c>
      <c r="N40" s="63" t="str">
        <f>Materiais!F20</f>
        <v>Bimestral</v>
      </c>
      <c r="O40" s="511">
        <f t="shared" si="4"/>
        <v>2</v>
      </c>
      <c r="W40" s="1"/>
    </row>
    <row r="41" spans="1:23" ht="15" hidden="1" customHeight="1" x14ac:dyDescent="0.3">
      <c r="A41" s="65">
        <v>13</v>
      </c>
      <c r="B41" s="507" t="s">
        <v>147</v>
      </c>
      <c r="C41" s="507"/>
      <c r="D41" s="507"/>
      <c r="E41" s="58" t="str">
        <f>Materiais!C21</f>
        <v>Unid.</v>
      </c>
      <c r="F41" s="58" t="str">
        <f>Materiais!D21</f>
        <v>Veja  ou similar</v>
      </c>
      <c r="G41" s="59">
        <f t="shared" si="1"/>
        <v>6</v>
      </c>
      <c r="H41" s="60">
        <f>G41*Materiais!G21</f>
        <v>29.759999999999998</v>
      </c>
      <c r="I41" s="561" t="str">
        <f t="shared" si="2"/>
        <v>Fornecimento igual ao estimado mensalmente</v>
      </c>
      <c r="J41" s="561"/>
      <c r="K41" s="561"/>
      <c r="L41" s="61">
        <f t="shared" si="3"/>
        <v>6</v>
      </c>
      <c r="M41" s="62">
        <f>Materiais!E21</f>
        <v>6</v>
      </c>
      <c r="N41" s="63" t="str">
        <f>Materiais!F21</f>
        <v>Mensal</v>
      </c>
      <c r="O41" s="511">
        <f t="shared" si="4"/>
        <v>1</v>
      </c>
      <c r="W41" s="1"/>
    </row>
    <row r="42" spans="1:23" ht="15" hidden="1" customHeight="1" x14ac:dyDescent="0.3">
      <c r="A42" s="64">
        <v>14</v>
      </c>
      <c r="B42" s="507" t="s">
        <v>83</v>
      </c>
      <c r="C42" s="507"/>
      <c r="D42" s="507"/>
      <c r="E42" s="58" t="str">
        <f>Materiais!C22</f>
        <v>Unid.</v>
      </c>
      <c r="F42" s="58" t="str">
        <f>Materiais!D22</f>
        <v>Veja ou similar</v>
      </c>
      <c r="G42" s="59">
        <f t="shared" si="1"/>
        <v>12</v>
      </c>
      <c r="H42" s="60">
        <f>G42*Materiais!G22</f>
        <v>100.08</v>
      </c>
      <c r="I42" s="561" t="str">
        <f t="shared" si="2"/>
        <v>Fornecimento igual ao estimado mensalmente</v>
      </c>
      <c r="J42" s="561"/>
      <c r="K42" s="561"/>
      <c r="L42" s="61">
        <f t="shared" si="3"/>
        <v>12</v>
      </c>
      <c r="M42" s="62">
        <f>Materiais!E22</f>
        <v>12</v>
      </c>
      <c r="N42" s="63" t="str">
        <f>Materiais!F22</f>
        <v>Mensal</v>
      </c>
      <c r="O42" s="511">
        <f t="shared" si="4"/>
        <v>1</v>
      </c>
      <c r="W42" s="1"/>
    </row>
    <row r="43" spans="1:23" ht="15" hidden="1" customHeight="1" x14ac:dyDescent="0.3">
      <c r="A43" s="64">
        <v>15</v>
      </c>
      <c r="B43" s="507" t="s">
        <v>85</v>
      </c>
      <c r="C43" s="507"/>
      <c r="D43" s="507"/>
      <c r="E43" s="58" t="str">
        <f>Materiais!C23</f>
        <v>Unid.</v>
      </c>
      <c r="F43" s="58" t="str">
        <f>Materiais!D23</f>
        <v>Veja ou similar</v>
      </c>
      <c r="G43" s="59">
        <f t="shared" si="1"/>
        <v>12</v>
      </c>
      <c r="H43" s="60">
        <f>G43*Materiais!G23</f>
        <v>166.68</v>
      </c>
      <c r="I43" s="561" t="str">
        <f t="shared" si="2"/>
        <v>Fornecimento igual ao estimado mensalmente</v>
      </c>
      <c r="J43" s="561"/>
      <c r="K43" s="561"/>
      <c r="L43" s="61">
        <f t="shared" si="3"/>
        <v>12</v>
      </c>
      <c r="M43" s="62">
        <f>Materiais!E23</f>
        <v>12</v>
      </c>
      <c r="N43" s="63" t="str">
        <f>Materiais!F23</f>
        <v>Mensal</v>
      </c>
      <c r="O43" s="511">
        <f t="shared" si="4"/>
        <v>1</v>
      </c>
      <c r="W43" s="1"/>
    </row>
    <row r="44" spans="1:23" ht="15" hidden="1" customHeight="1" x14ac:dyDescent="0.3">
      <c r="A44" s="64">
        <v>16</v>
      </c>
      <c r="B44" s="507" t="s">
        <v>149</v>
      </c>
      <c r="C44" s="507"/>
      <c r="D44" s="507"/>
      <c r="E44" s="58" t="str">
        <f>Materiais!C24</f>
        <v>Par</v>
      </c>
      <c r="F44" s="58"/>
      <c r="G44" s="59">
        <f t="shared" si="1"/>
        <v>6</v>
      </c>
      <c r="H44" s="60">
        <f>G44*Materiais!G24</f>
        <v>33.480000000000004</v>
      </c>
      <c r="I44" s="561" t="str">
        <f t="shared" si="2"/>
        <v>Fornecimento igual ao estimado mensalmente</v>
      </c>
      <c r="J44" s="561"/>
      <c r="K44" s="561"/>
      <c r="L44" s="61">
        <f t="shared" si="3"/>
        <v>6</v>
      </c>
      <c r="M44" s="62">
        <f>Materiais!E24</f>
        <v>6</v>
      </c>
      <c r="N44" s="63" t="str">
        <f>Materiais!F24</f>
        <v>Mensal</v>
      </c>
      <c r="O44" s="511">
        <f t="shared" si="4"/>
        <v>1</v>
      </c>
      <c r="W44" s="1"/>
    </row>
    <row r="45" spans="1:23" ht="15" hidden="1" customHeight="1" x14ac:dyDescent="0.3">
      <c r="A45" s="64">
        <v>17</v>
      </c>
      <c r="B45" s="507" t="s">
        <v>151</v>
      </c>
      <c r="C45" s="507"/>
      <c r="D45" s="507"/>
      <c r="E45" s="58" t="str">
        <f>Materiais!C25</f>
        <v>Unid.</v>
      </c>
      <c r="F45" s="58"/>
      <c r="G45" s="59">
        <f t="shared" si="1"/>
        <v>0.33333333333333331</v>
      </c>
      <c r="H45" s="60">
        <f>G45*Materiais!G25</f>
        <v>3.6033333333333335</v>
      </c>
      <c r="I45" s="561" t="str">
        <f t="shared" si="2"/>
        <v>Fornecimento igual ao estimado mensalmente</v>
      </c>
      <c r="J45" s="561"/>
      <c r="K45" s="561"/>
      <c r="L45" s="61">
        <f t="shared" si="3"/>
        <v>0.33333333333333331</v>
      </c>
      <c r="M45" s="62">
        <f>Materiais!E25</f>
        <v>4</v>
      </c>
      <c r="N45" s="63" t="str">
        <f>Materiais!F25</f>
        <v>Anual</v>
      </c>
      <c r="O45" s="511">
        <f t="shared" si="4"/>
        <v>12</v>
      </c>
      <c r="W45" s="1"/>
    </row>
    <row r="46" spans="1:23" ht="15" hidden="1" customHeight="1" x14ac:dyDescent="0.3">
      <c r="A46" s="64">
        <v>18</v>
      </c>
      <c r="B46" s="507" t="s">
        <v>152</v>
      </c>
      <c r="C46" s="507"/>
      <c r="D46" s="507"/>
      <c r="E46" s="58" t="str">
        <f>Materiais!C26</f>
        <v>fardo</v>
      </c>
      <c r="F46" s="58" t="str">
        <f>Materiais!D26</f>
        <v>Personal, Neve ou similar</v>
      </c>
      <c r="G46" s="59">
        <f t="shared" si="1"/>
        <v>2</v>
      </c>
      <c r="H46" s="60">
        <f>G46*Materiais!G26</f>
        <v>309.39999999999998</v>
      </c>
      <c r="I46" s="561" t="str">
        <f t="shared" si="2"/>
        <v>Fornecimento igual ao estimado mensalmente</v>
      </c>
      <c r="J46" s="561"/>
      <c r="K46" s="561"/>
      <c r="L46" s="61">
        <f t="shared" si="3"/>
        <v>2</v>
      </c>
      <c r="M46" s="62">
        <f>Materiais!E26</f>
        <v>2</v>
      </c>
      <c r="N46" s="63" t="str">
        <f>Materiais!F26</f>
        <v>Mensal</v>
      </c>
      <c r="O46" s="511">
        <f t="shared" si="4"/>
        <v>1</v>
      </c>
      <c r="W46" s="1"/>
    </row>
    <row r="47" spans="1:23" ht="15" hidden="1" customHeight="1" x14ac:dyDescent="0.3">
      <c r="A47" s="64">
        <v>19</v>
      </c>
      <c r="B47" s="97" t="s">
        <v>154</v>
      </c>
      <c r="C47" s="97"/>
      <c r="D47" s="97"/>
      <c r="E47" s="58" t="str">
        <f>Materiais!C27</f>
        <v>fardo</v>
      </c>
      <c r="F47" s="58" t="str">
        <f>Materiais!D27</f>
        <v>Nobre ou similar</v>
      </c>
      <c r="G47" s="59">
        <f t="shared" si="1"/>
        <v>30</v>
      </c>
      <c r="H47" s="60">
        <f>G47*Materiais!G27</f>
        <v>584.09999999999991</v>
      </c>
      <c r="I47" s="561" t="str">
        <f t="shared" si="2"/>
        <v>Fornecimento igual ao estimado mensalmente</v>
      </c>
      <c r="J47" s="561"/>
      <c r="K47" s="561"/>
      <c r="L47" s="61">
        <f t="shared" si="3"/>
        <v>30</v>
      </c>
      <c r="M47" s="62">
        <f>Materiais!E27</f>
        <v>30</v>
      </c>
      <c r="N47" s="63" t="str">
        <f>Materiais!F27</f>
        <v>Mensal</v>
      </c>
      <c r="O47" s="511">
        <f t="shared" si="4"/>
        <v>1</v>
      </c>
      <c r="W47" s="1"/>
    </row>
    <row r="48" spans="1:23" ht="15" hidden="1" customHeight="1" x14ac:dyDescent="0.3">
      <c r="A48" s="64">
        <v>20</v>
      </c>
      <c r="B48" s="507" t="s">
        <v>155</v>
      </c>
      <c r="C48" s="507"/>
      <c r="D48" s="507"/>
      <c r="E48" s="58" t="str">
        <f>Materiais!C28</f>
        <v>Unid.</v>
      </c>
      <c r="F48" s="58" t="str">
        <f>Materiais!D28</f>
        <v>Pato ou similar</v>
      </c>
      <c r="G48" s="59">
        <f t="shared" si="1"/>
        <v>10</v>
      </c>
      <c r="H48" s="60">
        <f>G48*Materiais!G28</f>
        <v>27</v>
      </c>
      <c r="I48" s="561" t="str">
        <f t="shared" si="2"/>
        <v>Fornecimento igual ao estimado mensalmente</v>
      </c>
      <c r="J48" s="561"/>
      <c r="K48" s="561"/>
      <c r="L48" s="61">
        <f t="shared" si="3"/>
        <v>10</v>
      </c>
      <c r="M48" s="62">
        <f>Materiais!E28</f>
        <v>10</v>
      </c>
      <c r="N48" s="63" t="str">
        <f>Materiais!F28</f>
        <v>Mensal</v>
      </c>
      <c r="O48" s="511">
        <f t="shared" si="4"/>
        <v>1</v>
      </c>
      <c r="W48" s="1"/>
    </row>
    <row r="49" spans="1:23" ht="15" hidden="1" customHeight="1" x14ac:dyDescent="0.3">
      <c r="A49" s="64">
        <v>21</v>
      </c>
      <c r="B49" s="97" t="s">
        <v>156</v>
      </c>
      <c r="C49" s="97"/>
      <c r="D49" s="97"/>
      <c r="E49" s="58" t="str">
        <f>Materiais!C29</f>
        <v>Unid.</v>
      </c>
      <c r="F49" s="58" t="str">
        <f>Materiais!D29</f>
        <v>Oliveira Azevedo ou similar</v>
      </c>
      <c r="G49" s="59">
        <f t="shared" si="1"/>
        <v>0.66666666666666663</v>
      </c>
      <c r="H49" s="60">
        <f>G49*Materiais!G29</f>
        <v>14.273333333333333</v>
      </c>
      <c r="I49" s="561" t="str">
        <f t="shared" si="2"/>
        <v>Fornecimento igual ao estimado mensalmente</v>
      </c>
      <c r="J49" s="561"/>
      <c r="K49" s="561"/>
      <c r="L49" s="61">
        <f t="shared" si="3"/>
        <v>0.66666666666666663</v>
      </c>
      <c r="M49" s="62">
        <f>Materiais!E29</f>
        <v>4</v>
      </c>
      <c r="N49" s="63" t="str">
        <f>Materiais!F29</f>
        <v>Semestral</v>
      </c>
      <c r="O49" s="511">
        <f t="shared" si="4"/>
        <v>6</v>
      </c>
      <c r="W49" s="1"/>
    </row>
    <row r="50" spans="1:23" ht="15" hidden="1" customHeight="1" x14ac:dyDescent="0.3">
      <c r="A50" s="64">
        <v>22</v>
      </c>
      <c r="B50" s="507" t="s">
        <v>159</v>
      </c>
      <c r="C50" s="507"/>
      <c r="D50" s="507"/>
      <c r="E50" s="58" t="str">
        <f>Materiais!C30</f>
        <v>Unid.</v>
      </c>
      <c r="F50" s="58"/>
      <c r="G50" s="59">
        <f t="shared" si="1"/>
        <v>3</v>
      </c>
      <c r="H50" s="60">
        <f>G50*Materiais!G30</f>
        <v>91.53</v>
      </c>
      <c r="I50" s="561" t="str">
        <f t="shared" si="2"/>
        <v>Fornecimento igual ao estimado mensalmente</v>
      </c>
      <c r="J50" s="561"/>
      <c r="K50" s="561"/>
      <c r="L50" s="61">
        <f t="shared" si="3"/>
        <v>3</v>
      </c>
      <c r="M50" s="62">
        <f>Materiais!E30</f>
        <v>3</v>
      </c>
      <c r="N50" s="63" t="str">
        <f>Materiais!F30</f>
        <v>Mensal</v>
      </c>
      <c r="O50" s="511">
        <f t="shared" si="4"/>
        <v>1</v>
      </c>
      <c r="W50" s="1"/>
    </row>
    <row r="51" spans="1:23" ht="15" hidden="1" customHeight="1" x14ac:dyDescent="0.3">
      <c r="A51" s="64">
        <v>23</v>
      </c>
      <c r="B51" s="97" t="s">
        <v>160</v>
      </c>
      <c r="C51" s="97"/>
      <c r="D51" s="97"/>
      <c r="E51" s="58" t="str">
        <f>Materiais!C31</f>
        <v>Unid.</v>
      </c>
      <c r="F51" s="58"/>
      <c r="G51" s="59">
        <f t="shared" si="1"/>
        <v>2</v>
      </c>
      <c r="H51" s="60">
        <f>G51*Materiais!G31</f>
        <v>16.3</v>
      </c>
      <c r="I51" s="561" t="str">
        <f t="shared" si="2"/>
        <v>Fornecimento igual ao estimado mensalmente</v>
      </c>
      <c r="J51" s="561"/>
      <c r="K51" s="561"/>
      <c r="L51" s="61">
        <f t="shared" si="3"/>
        <v>2</v>
      </c>
      <c r="M51" s="62">
        <f>Materiais!E31</f>
        <v>4</v>
      </c>
      <c r="N51" s="63" t="str">
        <f>Materiais!F31</f>
        <v>Bimestral</v>
      </c>
      <c r="O51" s="511">
        <f t="shared" si="4"/>
        <v>2</v>
      </c>
      <c r="W51" s="1"/>
    </row>
    <row r="52" spans="1:23" ht="15" hidden="1" customHeight="1" x14ac:dyDescent="0.3">
      <c r="A52" s="64">
        <v>24</v>
      </c>
      <c r="B52" s="507" t="s">
        <v>161</v>
      </c>
      <c r="C52" s="507"/>
      <c r="D52" s="507"/>
      <c r="E52" s="58" t="str">
        <f>Materiais!C32</f>
        <v>cento</v>
      </c>
      <c r="F52" s="58"/>
      <c r="G52" s="59">
        <f t="shared" si="1"/>
        <v>1</v>
      </c>
      <c r="H52" s="60">
        <f>G52*Materiais!G32</f>
        <v>28.17</v>
      </c>
      <c r="I52" s="561" t="str">
        <f t="shared" si="2"/>
        <v>Fornecimento igual ao estimado mensalmente</v>
      </c>
      <c r="J52" s="561"/>
      <c r="K52" s="561"/>
      <c r="L52" s="61">
        <f t="shared" si="3"/>
        <v>1</v>
      </c>
      <c r="M52" s="62">
        <f>Materiais!E32</f>
        <v>2</v>
      </c>
      <c r="N52" s="63" t="str">
        <f>Materiais!F32</f>
        <v>Bimestral</v>
      </c>
      <c r="O52" s="511">
        <f t="shared" si="4"/>
        <v>2</v>
      </c>
      <c r="W52" s="1"/>
    </row>
    <row r="53" spans="1:23" ht="24" hidden="1" customHeight="1" x14ac:dyDescent="0.3">
      <c r="A53" s="64">
        <v>25</v>
      </c>
      <c r="B53" s="507" t="s">
        <v>91</v>
      </c>
      <c r="C53" s="507"/>
      <c r="D53" s="507"/>
      <c r="E53" s="58" t="str">
        <f>Materiais!C33</f>
        <v>cento</v>
      </c>
      <c r="F53" s="58"/>
      <c r="G53" s="59">
        <f t="shared" si="1"/>
        <v>1</v>
      </c>
      <c r="H53" s="60">
        <f>G53*Materiais!G33</f>
        <v>90.09</v>
      </c>
      <c r="I53" s="561" t="str">
        <f t="shared" si="2"/>
        <v>Fornecimento igual ao estimado mensalmente</v>
      </c>
      <c r="J53" s="561"/>
      <c r="K53" s="561"/>
      <c r="L53" s="61">
        <f t="shared" si="3"/>
        <v>1</v>
      </c>
      <c r="M53" s="62">
        <f>Materiais!E33</f>
        <v>1</v>
      </c>
      <c r="N53" s="63" t="str">
        <f>Materiais!F33</f>
        <v>Mensal</v>
      </c>
      <c r="O53" s="511">
        <f t="shared" si="4"/>
        <v>1</v>
      </c>
      <c r="W53" s="1"/>
    </row>
    <row r="54" spans="1:23" ht="15" hidden="1" customHeight="1" x14ac:dyDescent="0.3">
      <c r="A54" s="64">
        <v>26</v>
      </c>
      <c r="B54" s="97" t="s">
        <v>162</v>
      </c>
      <c r="C54" s="97"/>
      <c r="D54" s="97"/>
      <c r="E54" s="58" t="str">
        <f>Materiais!C34</f>
        <v>Unid.</v>
      </c>
      <c r="F54" s="58"/>
      <c r="G54" s="59">
        <f t="shared" si="1"/>
        <v>8.3333333333333329E-2</v>
      </c>
      <c r="H54" s="60">
        <f>G54*Materiais!G34</f>
        <v>2.6158333333333332</v>
      </c>
      <c r="I54" s="561" t="str">
        <f t="shared" si="2"/>
        <v>Fornecimento igual ao estimado mensalmente</v>
      </c>
      <c r="J54" s="561"/>
      <c r="K54" s="561"/>
      <c r="L54" s="61">
        <f t="shared" si="3"/>
        <v>8.3333333333333329E-2</v>
      </c>
      <c r="M54" s="62">
        <f>Materiais!E34</f>
        <v>1</v>
      </c>
      <c r="N54" s="63" t="str">
        <f>Materiais!F34</f>
        <v>Anual</v>
      </c>
      <c r="O54" s="511">
        <f t="shared" si="4"/>
        <v>12</v>
      </c>
      <c r="W54" s="1"/>
    </row>
    <row r="55" spans="1:23" ht="15" hidden="1" customHeight="1" x14ac:dyDescent="0.3">
      <c r="A55" s="64">
        <v>27</v>
      </c>
      <c r="B55" s="507" t="s">
        <v>163</v>
      </c>
      <c r="C55" s="507"/>
      <c r="D55" s="507"/>
      <c r="E55" s="58" t="str">
        <f>Materiais!C35</f>
        <v>Unid.</v>
      </c>
      <c r="F55" s="58" t="str">
        <f>Materiais!D35</f>
        <v>Oliveira Azevedo ou similar</v>
      </c>
      <c r="G55" s="59">
        <f t="shared" si="1"/>
        <v>8.3333333333333329E-2</v>
      </c>
      <c r="H55" s="60">
        <f>G55*Materiais!G35</f>
        <v>2.5441666666666665</v>
      </c>
      <c r="I55" s="561" t="str">
        <f t="shared" si="2"/>
        <v>Fornecimento igual ao estimado mensalmente</v>
      </c>
      <c r="J55" s="561"/>
      <c r="K55" s="561"/>
      <c r="L55" s="61">
        <f t="shared" si="3"/>
        <v>8.3333333333333329E-2</v>
      </c>
      <c r="M55" s="62">
        <f>Materiais!E35</f>
        <v>1</v>
      </c>
      <c r="N55" s="63" t="str">
        <f>Materiais!F35</f>
        <v>Anual</v>
      </c>
      <c r="O55" s="511">
        <f t="shared" si="4"/>
        <v>12</v>
      </c>
      <c r="W55" s="1"/>
    </row>
    <row r="56" spans="1:23" ht="15" hidden="1" customHeight="1" x14ac:dyDescent="0.3">
      <c r="A56" s="64">
        <v>28</v>
      </c>
      <c r="B56" s="97" t="s">
        <v>164</v>
      </c>
      <c r="C56" s="97"/>
      <c r="D56" s="97"/>
      <c r="E56" s="58" t="str">
        <f>Materiais!C36</f>
        <v>Unid.</v>
      </c>
      <c r="F56" s="58"/>
      <c r="G56" s="59">
        <f t="shared" si="1"/>
        <v>0.66666666666666663</v>
      </c>
      <c r="H56" s="60">
        <f>G56*Materiais!G36</f>
        <v>17.86</v>
      </c>
      <c r="I56" s="561" t="str">
        <f t="shared" si="2"/>
        <v>Fornecimento igual ao estimado mensalmente</v>
      </c>
      <c r="J56" s="561"/>
      <c r="K56" s="561"/>
      <c r="L56" s="61">
        <f t="shared" si="3"/>
        <v>0.66666666666666663</v>
      </c>
      <c r="M56" s="62">
        <f>Materiais!E36</f>
        <v>4</v>
      </c>
      <c r="N56" s="63" t="str">
        <f>Materiais!F36</f>
        <v>Semestral</v>
      </c>
      <c r="O56" s="511">
        <f t="shared" si="4"/>
        <v>6</v>
      </c>
      <c r="W56" s="1"/>
    </row>
    <row r="57" spans="1:23" ht="15" hidden="1" customHeight="1" x14ac:dyDescent="0.3">
      <c r="A57" s="64">
        <v>29</v>
      </c>
      <c r="B57" s="507" t="s">
        <v>165</v>
      </c>
      <c r="C57" s="507"/>
      <c r="D57" s="507"/>
      <c r="E57" s="58" t="str">
        <f>Materiais!C37</f>
        <v>Unid.</v>
      </c>
      <c r="F57" s="58"/>
      <c r="G57" s="59">
        <f t="shared" si="1"/>
        <v>8.3333333333333329E-2</v>
      </c>
      <c r="H57" s="60">
        <f>G57*Materiais!G37</f>
        <v>3.875</v>
      </c>
      <c r="I57" s="561" t="str">
        <f t="shared" si="2"/>
        <v>Fornecimento igual ao estimado mensalmente</v>
      </c>
      <c r="J57" s="561"/>
      <c r="K57" s="561"/>
      <c r="L57" s="61">
        <f t="shared" si="3"/>
        <v>8.3333333333333329E-2</v>
      </c>
      <c r="M57" s="62">
        <f>Materiais!E37</f>
        <v>1</v>
      </c>
      <c r="N57" s="63" t="str">
        <f>Materiais!F37</f>
        <v>Anual</v>
      </c>
      <c r="O57" s="511">
        <f t="shared" si="4"/>
        <v>12</v>
      </c>
      <c r="W57" s="1"/>
    </row>
    <row r="58" spans="1:23" ht="15" hidden="1" customHeight="1" x14ac:dyDescent="0.3">
      <c r="A58" s="64">
        <v>30</v>
      </c>
      <c r="B58" s="507" t="s">
        <v>92</v>
      </c>
      <c r="C58" s="507"/>
      <c r="D58" s="507"/>
      <c r="E58" s="58" t="str">
        <f>Materiais!C38</f>
        <v>Unid.</v>
      </c>
      <c r="F58" s="58"/>
      <c r="G58" s="59">
        <f t="shared" si="1"/>
        <v>0.83333333333333337</v>
      </c>
      <c r="H58" s="60">
        <f>G58*Materiais!G38</f>
        <v>10.3</v>
      </c>
      <c r="I58" s="561" t="str">
        <f t="shared" si="2"/>
        <v>Fornecimento igual ao estimado mensalmente</v>
      </c>
      <c r="J58" s="561"/>
      <c r="K58" s="561"/>
      <c r="L58" s="61">
        <f t="shared" si="3"/>
        <v>0.83333333333333337</v>
      </c>
      <c r="M58" s="62">
        <f>Materiais!E38</f>
        <v>10</v>
      </c>
      <c r="N58" s="63" t="str">
        <f>Materiais!F38</f>
        <v>Anual</v>
      </c>
      <c r="O58" s="511">
        <f t="shared" si="4"/>
        <v>12</v>
      </c>
      <c r="W58" s="1"/>
    </row>
    <row r="59" spans="1:23" ht="15" hidden="1" customHeight="1" x14ac:dyDescent="0.3">
      <c r="A59" s="564" t="s">
        <v>93</v>
      </c>
      <c r="B59" s="564"/>
      <c r="C59" s="564"/>
      <c r="D59" s="564"/>
      <c r="E59" s="564"/>
      <c r="F59" s="564"/>
      <c r="G59" s="564"/>
      <c r="H59" s="66">
        <f>ROUND(SUM(H29:H58),2)</f>
        <v>2058.2399999999998</v>
      </c>
      <c r="I59" s="47"/>
      <c r="J59" s="47"/>
      <c r="K59" s="1"/>
      <c r="L59" s="1"/>
      <c r="M59" s="1"/>
      <c r="N59" s="55"/>
      <c r="O59" s="55"/>
    </row>
    <row r="60" spans="1:23" ht="15" hidden="1" customHeight="1" x14ac:dyDescent="0.3">
      <c r="A60" s="565" t="s">
        <v>94</v>
      </c>
      <c r="B60" s="565"/>
      <c r="C60" s="565"/>
      <c r="D60" s="565"/>
      <c r="E60" s="565"/>
      <c r="F60" s="565"/>
      <c r="G60" s="67">
        <f>Dados!G46</f>
        <v>0.03</v>
      </c>
      <c r="H60" s="68">
        <f>ROUND((H59*G60),2)</f>
        <v>61.75</v>
      </c>
      <c r="I60" s="47"/>
      <c r="J60" s="47"/>
      <c r="K60" s="1"/>
      <c r="L60" s="1"/>
      <c r="M60" s="1"/>
      <c r="N60" s="55"/>
      <c r="O60" s="55"/>
    </row>
    <row r="61" spans="1:23" ht="15" hidden="1" customHeight="1" x14ac:dyDescent="0.3">
      <c r="A61" s="565" t="s">
        <v>95</v>
      </c>
      <c r="B61" s="565"/>
      <c r="C61" s="565"/>
      <c r="D61" s="565"/>
      <c r="E61" s="565"/>
      <c r="F61" s="565"/>
      <c r="G61" s="67">
        <f>Dados!G47</f>
        <v>6.7900000000000002E-2</v>
      </c>
      <c r="H61" s="68">
        <f>ROUND((SUM(H59:H60)*G61),2)</f>
        <v>143.94999999999999</v>
      </c>
      <c r="I61" s="47"/>
      <c r="J61" s="47"/>
      <c r="K61" s="1"/>
      <c r="L61" s="1"/>
      <c r="M61" s="1"/>
      <c r="N61" s="55"/>
      <c r="O61" s="55"/>
    </row>
    <row r="62" spans="1:23" ht="15" hidden="1" customHeight="1" x14ac:dyDescent="0.3">
      <c r="A62" s="565" t="s">
        <v>96</v>
      </c>
      <c r="B62" s="565"/>
      <c r="C62" s="565"/>
      <c r="D62" s="565"/>
      <c r="E62" s="565"/>
      <c r="F62" s="565"/>
      <c r="G62" s="67">
        <f>Dados!G58</f>
        <v>0.14250000000000002</v>
      </c>
      <c r="H62" s="68">
        <f>ROUND((H63*G62),2)</f>
        <v>376.22</v>
      </c>
      <c r="I62" s="47"/>
      <c r="J62" s="47"/>
      <c r="K62" s="1"/>
      <c r="L62" s="1"/>
      <c r="M62" s="1"/>
      <c r="N62" s="55"/>
      <c r="O62" s="55"/>
    </row>
    <row r="63" spans="1:23" ht="15.75" hidden="1" customHeight="1" x14ac:dyDescent="0.3">
      <c r="A63" s="566" t="s">
        <v>97</v>
      </c>
      <c r="B63" s="566"/>
      <c r="C63" s="566"/>
      <c r="D63" s="566"/>
      <c r="E63" s="566"/>
      <c r="F63" s="566"/>
      <c r="G63" s="566"/>
      <c r="H63" s="69">
        <f>ROUND((SUM(H59:H61)/(1-G62)),2)</f>
        <v>2640.16</v>
      </c>
      <c r="I63" s="47"/>
      <c r="J63" s="47"/>
      <c r="K63" s="1"/>
      <c r="L63" s="1"/>
      <c r="M63" s="1"/>
      <c r="N63" s="55"/>
      <c r="O63" s="55"/>
    </row>
    <row r="64" spans="1:23" hidden="1" x14ac:dyDescent="0.3">
      <c r="A64" s="52"/>
      <c r="B64" s="55"/>
      <c r="C64" s="55"/>
      <c r="D64" s="55"/>
      <c r="E64" s="55"/>
      <c r="F64" s="55"/>
      <c r="G64" s="52"/>
      <c r="H64" s="55"/>
      <c r="I64" s="55"/>
      <c r="J64" s="55"/>
      <c r="K64" s="1"/>
      <c r="L64" s="1"/>
      <c r="M64" s="1"/>
      <c r="N64" s="55"/>
      <c r="O64" s="55"/>
    </row>
    <row r="65" spans="1:23" ht="24.75" hidden="1" customHeight="1" x14ac:dyDescent="0.3">
      <c r="A65" s="556" t="s">
        <v>59</v>
      </c>
      <c r="B65" s="567" t="s">
        <v>98</v>
      </c>
      <c r="C65" s="567"/>
      <c r="D65" s="567"/>
      <c r="E65" s="567"/>
      <c r="F65" s="568" t="s">
        <v>61</v>
      </c>
      <c r="G65" s="568"/>
      <c r="H65" s="568"/>
      <c r="I65" s="559" t="s">
        <v>62</v>
      </c>
      <c r="J65" s="559"/>
      <c r="K65" s="559"/>
      <c r="L65" s="569" t="s">
        <v>63</v>
      </c>
      <c r="M65" s="569"/>
      <c r="N65" s="569"/>
      <c r="O65" s="569"/>
      <c r="V65" s="1"/>
      <c r="W65" s="1"/>
    </row>
    <row r="66" spans="1:23" ht="38.25" hidden="1" customHeight="1" x14ac:dyDescent="0.3">
      <c r="A66" s="556"/>
      <c r="B66" s="554" t="s">
        <v>64</v>
      </c>
      <c r="C66" s="554"/>
      <c r="D66" s="554"/>
      <c r="E66" s="51" t="s">
        <v>65</v>
      </c>
      <c r="F66" s="51" t="s">
        <v>66</v>
      </c>
      <c r="G66" s="51" t="s">
        <v>67</v>
      </c>
      <c r="H66" s="56" t="s">
        <v>68</v>
      </c>
      <c r="I66" s="559"/>
      <c r="J66" s="559"/>
      <c r="K66" s="559"/>
      <c r="L66" s="504" t="s">
        <v>69</v>
      </c>
      <c r="M66" s="505" t="s">
        <v>70</v>
      </c>
      <c r="N66" s="505" t="s">
        <v>71</v>
      </c>
      <c r="O66" s="506" t="s">
        <v>72</v>
      </c>
      <c r="V66" s="1"/>
      <c r="W66" s="1"/>
    </row>
    <row r="67" spans="1:23" ht="15" hidden="1" customHeight="1" x14ac:dyDescent="0.3">
      <c r="A67" s="24">
        <v>1</v>
      </c>
      <c r="B67" s="563" t="str">
        <f>Materiais!B45</f>
        <v xml:space="preserve">Balde de 8 litros, com alça metálica </v>
      </c>
      <c r="C67" s="563"/>
      <c r="D67" s="563"/>
      <c r="E67" s="58" t="str">
        <f>Materiais!C45</f>
        <v>Unid.</v>
      </c>
      <c r="F67" s="58"/>
      <c r="G67" s="59">
        <f>IF($D$4="PLANILHA PARA LICITAÇÃO (PRECIFICAÇÃO)",L67,0)</f>
        <v>0.16666666666666666</v>
      </c>
      <c r="H67" s="60">
        <f>G67*Materiais!G45</f>
        <v>1.9966666666666666</v>
      </c>
      <c r="I67" s="561" t="str">
        <f t="shared" ref="I67:I76" si="5">IF(G67&lt;L67,"Fornecimento inferior ao estimado mensalmente",IF(G67=L67,"Fornecimento igual ao estimado mensalmente",IF(G67&gt;L67,"Fornecimento superior ao estimado mensalmente",)))</f>
        <v>Fornecimento igual ao estimado mensalmente</v>
      </c>
      <c r="J67" s="561"/>
      <c r="K67" s="561"/>
      <c r="L67" s="61">
        <f>M67/O67</f>
        <v>0.16666666666666666</v>
      </c>
      <c r="M67" s="25">
        <f>Materiais!E45</f>
        <v>2</v>
      </c>
      <c r="N67" s="25" t="str">
        <f>Materiais!F45</f>
        <v>Anual</v>
      </c>
      <c r="O67" s="511">
        <f>IF(N67="MENSAL",1,IF(N67="BIMESTRAL",2,IF(N67="TRIMESTRAL",3,IF(N67="QUADRIMESTRAL",4,IF(N67="SEMESTRAL",6,IF(N67="ANUAL",12,IF(N67="BIENAL",24,"")))))))</f>
        <v>12</v>
      </c>
      <c r="W67" s="1"/>
    </row>
    <row r="68" spans="1:23" ht="15" hidden="1" customHeight="1" x14ac:dyDescent="0.3">
      <c r="A68" s="24">
        <v>2</v>
      </c>
      <c r="B68" s="563" t="str">
        <f>Materiais!B46</f>
        <v xml:space="preserve">Coador de Café nº 103, poliéster, reaproveitável </v>
      </c>
      <c r="C68" s="563"/>
      <c r="D68" s="563"/>
      <c r="E68" s="58" t="str">
        <f>Materiais!C46</f>
        <v>Unid.</v>
      </c>
      <c r="F68" s="58"/>
      <c r="G68" s="59">
        <f t="shared" ref="G68:G76" si="6">IF($D$4="PLANILHA PARA LICITAÇÃO (PRECIFICAÇÃO)",L68,0)</f>
        <v>1</v>
      </c>
      <c r="H68" s="60">
        <f>G68*Materiais!G46</f>
        <v>8.65</v>
      </c>
      <c r="I68" s="561" t="str">
        <f t="shared" si="5"/>
        <v>Fornecimento igual ao estimado mensalmente</v>
      </c>
      <c r="J68" s="561"/>
      <c r="K68" s="561"/>
      <c r="L68" s="61">
        <f t="shared" ref="L68:L76" si="7">M68/O68</f>
        <v>1</v>
      </c>
      <c r="M68" s="25">
        <f>Materiais!E46</f>
        <v>1</v>
      </c>
      <c r="N68" s="25" t="str">
        <f>Materiais!F46</f>
        <v>Mensal</v>
      </c>
      <c r="O68" s="511">
        <f t="shared" ref="O68:O76" si="8">IF(N68="MENSAL",1,IF(N68="BIMESTRAL",2,IF(N68="TRIMESTRAL",3,IF(N68="QUADRIMESTRAL",4,IF(N68="SEMESTRAL",6,IF(N68="ANUAL",12,IF(N68="BIENAL",24,"")))))))</f>
        <v>1</v>
      </c>
      <c r="W68" s="1"/>
    </row>
    <row r="69" spans="1:23" ht="15" hidden="1" customHeight="1" x14ac:dyDescent="0.3">
      <c r="A69" s="24">
        <v>3</v>
      </c>
      <c r="B69" s="563" t="str">
        <f>Materiais!B47</f>
        <v>Desentupidor de pia sanfonado</v>
      </c>
      <c r="C69" s="563"/>
      <c r="D69" s="563"/>
      <c r="E69" s="58" t="str">
        <f>Materiais!C47</f>
        <v>Unid.</v>
      </c>
      <c r="F69" s="58" t="str">
        <f>Materiais!D47</f>
        <v xml:space="preserve">Bettanin ou similar </v>
      </c>
      <c r="G69" s="59">
        <f t="shared" si="6"/>
        <v>8.3333333333333329E-2</v>
      </c>
      <c r="H69" s="60">
        <f>G69*Materiais!G47</f>
        <v>1.2916666666666665</v>
      </c>
      <c r="I69" s="561" t="str">
        <f t="shared" si="5"/>
        <v>Fornecimento igual ao estimado mensalmente</v>
      </c>
      <c r="J69" s="561"/>
      <c r="K69" s="561"/>
      <c r="L69" s="61">
        <f t="shared" si="7"/>
        <v>8.3333333333333329E-2</v>
      </c>
      <c r="M69" s="25">
        <f>Materiais!E47</f>
        <v>1</v>
      </c>
      <c r="N69" s="25" t="str">
        <f>Materiais!F47</f>
        <v>Anual</v>
      </c>
      <c r="O69" s="511">
        <f t="shared" si="8"/>
        <v>12</v>
      </c>
      <c r="W69" s="1"/>
    </row>
    <row r="70" spans="1:23" ht="15" hidden="1" customHeight="1" x14ac:dyDescent="0.3">
      <c r="A70" s="24">
        <v>4</v>
      </c>
      <c r="B70" s="563" t="str">
        <f>Materiais!B48</f>
        <v xml:space="preserve">Detergente líquido neutro 500 ml </v>
      </c>
      <c r="C70" s="563"/>
      <c r="D70" s="563"/>
      <c r="E70" s="58" t="str">
        <f>Materiais!C48</f>
        <v>Unid.</v>
      </c>
      <c r="F70" s="58" t="str">
        <f>Materiais!D48</f>
        <v xml:space="preserve">Limpol </v>
      </c>
      <c r="G70" s="59">
        <f t="shared" si="6"/>
        <v>8</v>
      </c>
      <c r="H70" s="60">
        <f>G70*Materiais!G48</f>
        <v>23.52</v>
      </c>
      <c r="I70" s="561" t="str">
        <f t="shared" si="5"/>
        <v>Fornecimento igual ao estimado mensalmente</v>
      </c>
      <c r="J70" s="561"/>
      <c r="K70" s="561"/>
      <c r="L70" s="61">
        <f t="shared" si="7"/>
        <v>8</v>
      </c>
      <c r="M70" s="25">
        <f>Materiais!E48</f>
        <v>8</v>
      </c>
      <c r="N70" s="25" t="str">
        <f>Materiais!F48</f>
        <v>Mensal</v>
      </c>
      <c r="O70" s="511">
        <f t="shared" si="8"/>
        <v>1</v>
      </c>
      <c r="W70" s="1"/>
    </row>
    <row r="71" spans="1:23" ht="15" hidden="1" customHeight="1" x14ac:dyDescent="0.3">
      <c r="A71" s="24">
        <v>5</v>
      </c>
      <c r="B71" s="563" t="str">
        <f>Materiais!B49</f>
        <v>Escova de nylon oval, base plástica, multiuso</v>
      </c>
      <c r="C71" s="563"/>
      <c r="D71" s="563"/>
      <c r="E71" s="58" t="str">
        <f>Materiais!C49</f>
        <v>Unid.</v>
      </c>
      <c r="F71" s="58" t="str">
        <f>Materiais!D49</f>
        <v xml:space="preserve">Condor </v>
      </c>
      <c r="G71" s="59">
        <f t="shared" si="6"/>
        <v>8.3333333333333329E-2</v>
      </c>
      <c r="H71" s="60">
        <f>G71*Materiais!G49</f>
        <v>0.35833333333333328</v>
      </c>
      <c r="I71" s="561" t="str">
        <f t="shared" si="5"/>
        <v>Fornecimento igual ao estimado mensalmente</v>
      </c>
      <c r="J71" s="561"/>
      <c r="K71" s="561"/>
      <c r="L71" s="61">
        <f t="shared" si="7"/>
        <v>8.3333333333333329E-2</v>
      </c>
      <c r="M71" s="25">
        <f>Materiais!E49</f>
        <v>1</v>
      </c>
      <c r="N71" s="25" t="str">
        <f>Materiais!F49</f>
        <v>Anual</v>
      </c>
      <c r="O71" s="511">
        <f t="shared" si="8"/>
        <v>12</v>
      </c>
      <c r="W71" s="1"/>
    </row>
    <row r="72" spans="1:23" ht="15" hidden="1" customHeight="1" x14ac:dyDescent="0.3">
      <c r="A72" s="24">
        <v>6</v>
      </c>
      <c r="B72" s="563" t="str">
        <f>Materiais!B50</f>
        <v xml:space="preserve">Esponja dupla face, primeira qualidade </v>
      </c>
      <c r="C72" s="563"/>
      <c r="D72" s="563"/>
      <c r="E72" s="58" t="str">
        <f>Materiais!C50</f>
        <v>Unid.</v>
      </c>
      <c r="F72" s="58" t="str">
        <f>Materiais!D50</f>
        <v xml:space="preserve">Scotch-Brite ou similar </v>
      </c>
      <c r="G72" s="59">
        <f t="shared" si="6"/>
        <v>4</v>
      </c>
      <c r="H72" s="60">
        <f>G72*Materiais!G50</f>
        <v>10.199999999999999</v>
      </c>
      <c r="I72" s="561" t="str">
        <f t="shared" si="5"/>
        <v>Fornecimento igual ao estimado mensalmente</v>
      </c>
      <c r="J72" s="561"/>
      <c r="K72" s="561"/>
      <c r="L72" s="61">
        <f t="shared" si="7"/>
        <v>4</v>
      </c>
      <c r="M72" s="25">
        <f>Materiais!E50</f>
        <v>4</v>
      </c>
      <c r="N72" s="25" t="str">
        <f>Materiais!F50</f>
        <v>Mensal</v>
      </c>
      <c r="O72" s="511">
        <f t="shared" si="8"/>
        <v>1</v>
      </c>
      <c r="W72" s="1"/>
    </row>
    <row r="73" spans="1:23" ht="15" hidden="1" customHeight="1" x14ac:dyDescent="0.3">
      <c r="A73" s="24">
        <v>7</v>
      </c>
      <c r="B73" s="563" t="str">
        <f>Materiais!B51</f>
        <v>Lã de aço, pacote com 8 unidades</v>
      </c>
      <c r="C73" s="563"/>
      <c r="D73" s="563"/>
      <c r="E73" s="58" t="str">
        <f>Materiais!C51</f>
        <v>pacote</v>
      </c>
      <c r="F73" s="58" t="str">
        <f>Materiais!D51</f>
        <v>Bombril</v>
      </c>
      <c r="G73" s="59">
        <f t="shared" si="6"/>
        <v>2</v>
      </c>
      <c r="H73" s="60">
        <f>G73*Materiais!G51</f>
        <v>5.32</v>
      </c>
      <c r="I73" s="561" t="str">
        <f t="shared" si="5"/>
        <v>Fornecimento igual ao estimado mensalmente</v>
      </c>
      <c r="J73" s="561"/>
      <c r="K73" s="561"/>
      <c r="L73" s="61">
        <f t="shared" si="7"/>
        <v>2</v>
      </c>
      <c r="M73" s="25">
        <f>Materiais!E51</f>
        <v>2</v>
      </c>
      <c r="N73" s="25" t="str">
        <f>Materiais!F51</f>
        <v>Mensal</v>
      </c>
      <c r="O73" s="511">
        <f t="shared" si="8"/>
        <v>1</v>
      </c>
      <c r="W73" s="1"/>
    </row>
    <row r="74" spans="1:23" ht="15" hidden="1" customHeight="1" x14ac:dyDescent="0.3">
      <c r="A74" s="24">
        <v>8</v>
      </c>
      <c r="B74" s="563" t="str">
        <f>Materiais!B52</f>
        <v>Pano de prato branco, liso, 100% algodão, tam. mín. 40cm x 60 cm</v>
      </c>
      <c r="C74" s="563"/>
      <c r="D74" s="563"/>
      <c r="E74" s="58" t="str">
        <f>Materiais!C52</f>
        <v>Unid.</v>
      </c>
      <c r="F74" s="58"/>
      <c r="G74" s="59">
        <f t="shared" si="6"/>
        <v>1.6666666666666667</v>
      </c>
      <c r="H74" s="60">
        <f>G74*Materiais!G52</f>
        <v>7.8666666666666663</v>
      </c>
      <c r="I74" s="561" t="str">
        <f t="shared" si="5"/>
        <v>Fornecimento igual ao estimado mensalmente</v>
      </c>
      <c r="J74" s="561"/>
      <c r="K74" s="561"/>
      <c r="L74" s="61">
        <f t="shared" si="7"/>
        <v>1.6666666666666667</v>
      </c>
      <c r="M74" s="25">
        <f>Materiais!E52</f>
        <v>5</v>
      </c>
      <c r="N74" s="25" t="str">
        <f>Materiais!F52</f>
        <v>Trimestral</v>
      </c>
      <c r="O74" s="511">
        <f t="shared" si="8"/>
        <v>3</v>
      </c>
      <c r="W74" s="1"/>
    </row>
    <row r="75" spans="1:23" ht="15" hidden="1" customHeight="1" x14ac:dyDescent="0.3">
      <c r="A75" s="24">
        <v>9</v>
      </c>
      <c r="B75" s="563" t="str">
        <f>Materiais!B53</f>
        <v>Sabão em barra com glicerina, neutro, embalagem com 5 un, de 200g cada</v>
      </c>
      <c r="C75" s="563"/>
      <c r="D75" s="563"/>
      <c r="E75" s="58" t="str">
        <f>Materiais!C53</f>
        <v>Unid.</v>
      </c>
      <c r="F75" s="58" t="str">
        <f>Materiais!D53</f>
        <v>Minuano ou similar</v>
      </c>
      <c r="G75" s="59">
        <f t="shared" si="6"/>
        <v>1</v>
      </c>
      <c r="H75" s="60">
        <f>G75*Materiais!G53</f>
        <v>16.78</v>
      </c>
      <c r="I75" s="561" t="str">
        <f t="shared" si="5"/>
        <v>Fornecimento igual ao estimado mensalmente</v>
      </c>
      <c r="J75" s="561"/>
      <c r="K75" s="561"/>
      <c r="L75" s="61">
        <f t="shared" si="7"/>
        <v>1</v>
      </c>
      <c r="M75" s="25">
        <f>Materiais!E53</f>
        <v>1</v>
      </c>
      <c r="N75" s="25" t="str">
        <f>Materiais!F53</f>
        <v>Mensal</v>
      </c>
      <c r="O75" s="511">
        <f t="shared" si="8"/>
        <v>1</v>
      </c>
      <c r="W75" s="1"/>
    </row>
    <row r="76" spans="1:23" ht="15" hidden="1" customHeight="1" x14ac:dyDescent="0.3">
      <c r="A76" s="24">
        <v>10</v>
      </c>
      <c r="B76" s="563" t="str">
        <f>Materiais!B54</f>
        <v xml:space="preserve">Sabão em pó 1 Kg, primeira qualidade </v>
      </c>
      <c r="C76" s="563"/>
      <c r="D76" s="563"/>
      <c r="E76" s="58" t="str">
        <f>Materiais!C54</f>
        <v>Unid.</v>
      </c>
      <c r="F76" s="58" t="str">
        <f>Materiais!D54</f>
        <v>Omo ou similar</v>
      </c>
      <c r="G76" s="59">
        <f t="shared" si="6"/>
        <v>1</v>
      </c>
      <c r="H76" s="60">
        <f>G76*Materiais!G54</f>
        <v>17.18</v>
      </c>
      <c r="I76" s="561" t="str">
        <f t="shared" si="5"/>
        <v>Fornecimento igual ao estimado mensalmente</v>
      </c>
      <c r="J76" s="561"/>
      <c r="K76" s="561"/>
      <c r="L76" s="61">
        <f t="shared" si="7"/>
        <v>1</v>
      </c>
      <c r="M76" s="25">
        <f>Materiais!E54</f>
        <v>1</v>
      </c>
      <c r="N76" s="25" t="str">
        <f>Materiais!F54</f>
        <v>Mensal</v>
      </c>
      <c r="O76" s="511">
        <f t="shared" si="8"/>
        <v>1</v>
      </c>
      <c r="W76" s="1"/>
    </row>
    <row r="77" spans="1:23" ht="15" hidden="1" customHeight="1" x14ac:dyDescent="0.3">
      <c r="A77" s="556" t="s">
        <v>93</v>
      </c>
      <c r="B77" s="556"/>
      <c r="C77" s="556"/>
      <c r="D77" s="556"/>
      <c r="E77" s="556"/>
      <c r="F77" s="556"/>
      <c r="G77" s="556"/>
      <c r="H77" s="70">
        <f>SUM(H67:H76)</f>
        <v>93.163333333333327</v>
      </c>
      <c r="I77" s="47"/>
      <c r="J77" s="47"/>
      <c r="K77" s="1"/>
      <c r="L77" s="55"/>
      <c r="M77" s="55"/>
      <c r="N77" s="55"/>
      <c r="V77" s="1"/>
      <c r="W77" s="1"/>
    </row>
    <row r="78" spans="1:23" ht="15" hidden="1" customHeight="1" x14ac:dyDescent="0.3">
      <c r="A78" s="565" t="s">
        <v>94</v>
      </c>
      <c r="B78" s="565"/>
      <c r="C78" s="565"/>
      <c r="D78" s="565"/>
      <c r="E78" s="565"/>
      <c r="F78" s="565"/>
      <c r="G78" s="67">
        <f>Dados!$G$46</f>
        <v>0.03</v>
      </c>
      <c r="H78" s="68">
        <f>ROUND((H77*G78),2)</f>
        <v>2.79</v>
      </c>
      <c r="I78" s="55"/>
      <c r="J78" s="55"/>
      <c r="K78" s="1"/>
      <c r="L78" s="55"/>
      <c r="M78" s="55"/>
      <c r="N78" s="55"/>
      <c r="V78" s="1"/>
      <c r="W78" s="1"/>
    </row>
    <row r="79" spans="1:23" ht="15" hidden="1" customHeight="1" x14ac:dyDescent="0.3">
      <c r="A79" s="565" t="s">
        <v>95</v>
      </c>
      <c r="B79" s="565"/>
      <c r="C79" s="565"/>
      <c r="D79" s="565"/>
      <c r="E79" s="565"/>
      <c r="F79" s="565"/>
      <c r="G79" s="67">
        <f>Dados!$G$47</f>
        <v>6.7900000000000002E-2</v>
      </c>
      <c r="H79" s="68">
        <f>ROUND((SUM(H77:H78)*G79),2)</f>
        <v>6.52</v>
      </c>
      <c r="I79" s="55"/>
      <c r="J79" s="55"/>
      <c r="K79" s="1"/>
      <c r="L79" s="55"/>
      <c r="M79" s="55"/>
      <c r="N79" s="55"/>
      <c r="V79" s="1"/>
      <c r="W79" s="1"/>
    </row>
    <row r="80" spans="1:23" ht="15" hidden="1" customHeight="1" x14ac:dyDescent="0.3">
      <c r="A80" s="565" t="s">
        <v>96</v>
      </c>
      <c r="B80" s="565"/>
      <c r="C80" s="565"/>
      <c r="D80" s="565"/>
      <c r="E80" s="565"/>
      <c r="F80" s="565"/>
      <c r="G80" s="67">
        <f>Dados!$G$58</f>
        <v>0.14250000000000002</v>
      </c>
      <c r="H80" s="68">
        <f>ROUND((H81*G80),2)</f>
        <v>17.03</v>
      </c>
      <c r="I80" s="55"/>
      <c r="J80" s="55"/>
      <c r="K80" s="1"/>
      <c r="L80" s="55"/>
      <c r="M80" s="55"/>
      <c r="N80" s="55"/>
      <c r="V80" s="1"/>
      <c r="W80" s="1"/>
    </row>
    <row r="81" spans="1:23" ht="15.75" hidden="1" customHeight="1" x14ac:dyDescent="0.3">
      <c r="A81" s="566" t="s">
        <v>103</v>
      </c>
      <c r="B81" s="566"/>
      <c r="C81" s="566"/>
      <c r="D81" s="566"/>
      <c r="E81" s="566"/>
      <c r="F81" s="566"/>
      <c r="G81" s="566"/>
      <c r="H81" s="69">
        <f>ROUND((SUM(H77:H79)/(1-G80)),2)</f>
        <v>119.5</v>
      </c>
      <c r="I81" s="55"/>
      <c r="J81" s="55"/>
      <c r="K81" s="1"/>
      <c r="L81" s="55"/>
      <c r="M81" s="55"/>
      <c r="N81" s="55"/>
      <c r="V81" s="1"/>
      <c r="W81" s="1"/>
    </row>
    <row r="82" spans="1:23" hidden="1" x14ac:dyDescent="0.3">
      <c r="A82" s="52"/>
      <c r="B82" s="55"/>
      <c r="C82" s="55"/>
      <c r="D82" s="55"/>
      <c r="E82" s="55"/>
      <c r="F82" s="55"/>
      <c r="G82" s="52"/>
      <c r="H82" s="55"/>
      <c r="I82" s="55"/>
      <c r="J82" s="55"/>
      <c r="K82" s="1"/>
      <c r="L82" s="55"/>
      <c r="M82" s="55"/>
      <c r="N82" s="55"/>
      <c r="V82" s="1"/>
      <c r="W82" s="1"/>
    </row>
    <row r="83" spans="1:23" ht="23.25" hidden="1" customHeight="1" x14ac:dyDescent="0.3">
      <c r="A83" s="556" t="s">
        <v>59</v>
      </c>
      <c r="B83" s="557" t="s">
        <v>104</v>
      </c>
      <c r="C83" s="557"/>
      <c r="D83" s="557"/>
      <c r="E83" s="557"/>
      <c r="F83" s="558" t="s">
        <v>61</v>
      </c>
      <c r="G83" s="558"/>
      <c r="H83" s="558"/>
      <c r="I83" s="559" t="s">
        <v>62</v>
      </c>
      <c r="J83" s="559"/>
      <c r="K83" s="559"/>
      <c r="L83" s="562" t="s">
        <v>63</v>
      </c>
      <c r="M83" s="562"/>
      <c r="N83" s="562"/>
      <c r="O83" s="562"/>
      <c r="V83" s="1"/>
      <c r="W83" s="1"/>
    </row>
    <row r="84" spans="1:23" ht="38.25" hidden="1" customHeight="1" x14ac:dyDescent="0.3">
      <c r="A84" s="556"/>
      <c r="B84" s="554" t="s">
        <v>64</v>
      </c>
      <c r="C84" s="554"/>
      <c r="D84" s="554"/>
      <c r="E84" s="51" t="s">
        <v>65</v>
      </c>
      <c r="F84" s="51" t="s">
        <v>66</v>
      </c>
      <c r="G84" s="51" t="s">
        <v>67</v>
      </c>
      <c r="H84" s="56" t="s">
        <v>68</v>
      </c>
      <c r="I84" s="559"/>
      <c r="J84" s="559"/>
      <c r="K84" s="559"/>
      <c r="L84" s="71" t="s">
        <v>69</v>
      </c>
      <c r="M84" s="51" t="s">
        <v>70</v>
      </c>
      <c r="N84" s="51" t="s">
        <v>71</v>
      </c>
      <c r="O84" s="56" t="s">
        <v>72</v>
      </c>
      <c r="V84" s="1"/>
      <c r="W84" s="1"/>
    </row>
    <row r="85" spans="1:23" ht="15" hidden="1" customHeight="1" x14ac:dyDescent="0.3">
      <c r="A85" s="24">
        <v>1</v>
      </c>
      <c r="B85" s="563" t="str">
        <f>Materiais!B61</f>
        <v>Cera automotiva 200gr</v>
      </c>
      <c r="C85" s="563"/>
      <c r="D85" s="563"/>
      <c r="E85" s="58" t="str">
        <f>Materiais!C61</f>
        <v>Unid.</v>
      </c>
      <c r="F85" s="58"/>
      <c r="G85" s="59">
        <f t="shared" ref="G85:G90" si="9">IF($D$4="PLANILHA PARA LICITAÇÃO (PRECIFICAÇÃO)",L85,0)</f>
        <v>0.33333333333333331</v>
      </c>
      <c r="H85" s="60">
        <f>G85*Materiais!G61</f>
        <v>7.6133333333333333</v>
      </c>
      <c r="I85" s="561" t="str">
        <f t="shared" ref="I85:I90" si="10">IF(G85&lt;L85,"Fornecimento inferior ao estimado mensalmente",IF(G85=L85,"Fornecimento igual ao estimado mensalmente",IF(G85&gt;L85,"Fornecimento superior ao estimado mensalmente",)))</f>
        <v>Fornecimento igual ao estimado mensalmente</v>
      </c>
      <c r="J85" s="561"/>
      <c r="K85" s="561"/>
      <c r="L85" s="61">
        <f t="shared" ref="L85:L90" si="11">M85/O85</f>
        <v>0.33333333333333331</v>
      </c>
      <c r="M85" s="25">
        <f>Materiais!E61</f>
        <v>1</v>
      </c>
      <c r="N85" s="25" t="str">
        <f>Materiais!F61</f>
        <v>Trimestral</v>
      </c>
      <c r="O85" s="511">
        <f t="shared" ref="O85:O90" si="12">IF(N85="MENSAL",1,IF(N85="BIMESTRAL",2,IF(N85="TRIMESTRAL",3,IF(N85="QUADRIMESTRAL",4,IF(N85="SEMESTRAL",6,IF(N85="ANUAL",12,IF(N85="BIENAL",24,"")))))))</f>
        <v>3</v>
      </c>
      <c r="W85" s="1"/>
    </row>
    <row r="86" spans="1:23" ht="15" hidden="1" customHeight="1" x14ac:dyDescent="0.3">
      <c r="A86" s="24">
        <v>2</v>
      </c>
      <c r="B86" s="563" t="str">
        <f>Materiais!B62</f>
        <v xml:space="preserve">Esponja dupla face, primeira qualidade </v>
      </c>
      <c r="C86" s="563"/>
      <c r="D86" s="563"/>
      <c r="E86" s="58" t="str">
        <f>Materiais!C62</f>
        <v>Unid.</v>
      </c>
      <c r="F86" s="58"/>
      <c r="G86" s="59">
        <f t="shared" si="9"/>
        <v>1</v>
      </c>
      <c r="H86" s="60">
        <f>G86*Materiais!G62</f>
        <v>2.5499999999999998</v>
      </c>
      <c r="I86" s="561" t="str">
        <f t="shared" si="10"/>
        <v>Fornecimento igual ao estimado mensalmente</v>
      </c>
      <c r="J86" s="561"/>
      <c r="K86" s="561"/>
      <c r="L86" s="61">
        <f t="shared" si="11"/>
        <v>1</v>
      </c>
      <c r="M86" s="25">
        <f>Materiais!E62</f>
        <v>1</v>
      </c>
      <c r="N86" s="25" t="str">
        <f>Materiais!F62</f>
        <v>Mensal</v>
      </c>
      <c r="O86" s="511">
        <f t="shared" si="12"/>
        <v>1</v>
      </c>
      <c r="W86" s="1"/>
    </row>
    <row r="87" spans="1:23" ht="15" hidden="1" customHeight="1" x14ac:dyDescent="0.3">
      <c r="A87" s="24">
        <v>3</v>
      </c>
      <c r="B87" s="563" t="str">
        <f>Materiais!B63</f>
        <v>Estopa para polimento 500g</v>
      </c>
      <c r="C87" s="563"/>
      <c r="D87" s="563"/>
      <c r="E87" s="58" t="str">
        <f>Materiais!C63</f>
        <v>Pct</v>
      </c>
      <c r="F87" s="58"/>
      <c r="G87" s="59">
        <f t="shared" si="9"/>
        <v>0.5</v>
      </c>
      <c r="H87" s="60">
        <f>G87*Materiais!G63</f>
        <v>6.24</v>
      </c>
      <c r="I87" s="561" t="str">
        <f t="shared" si="10"/>
        <v>Fornecimento igual ao estimado mensalmente</v>
      </c>
      <c r="J87" s="561"/>
      <c r="K87" s="561"/>
      <c r="L87" s="61">
        <f t="shared" si="11"/>
        <v>0.5</v>
      </c>
      <c r="M87" s="25">
        <f>Materiais!E63</f>
        <v>1</v>
      </c>
      <c r="N87" s="25" t="str">
        <f>Materiais!F63</f>
        <v>Bimestral</v>
      </c>
      <c r="O87" s="511">
        <f t="shared" si="12"/>
        <v>2</v>
      </c>
      <c r="W87" s="1"/>
    </row>
    <row r="88" spans="1:23" ht="15" hidden="1" customHeight="1" x14ac:dyDescent="0.3">
      <c r="A88" s="24">
        <v>4</v>
      </c>
      <c r="B88" s="563" t="str">
        <f>Materiais!B64</f>
        <v xml:space="preserve">Limpa Pneu 1L </v>
      </c>
      <c r="C88" s="563"/>
      <c r="D88" s="563"/>
      <c r="E88" s="58" t="str">
        <f>Materiais!C64</f>
        <v>Unid.</v>
      </c>
      <c r="F88" s="58"/>
      <c r="G88" s="59">
        <f t="shared" si="9"/>
        <v>0.33333333333333331</v>
      </c>
      <c r="H88" s="60">
        <f>G88*Materiais!G64</f>
        <v>7.4266666666666667</v>
      </c>
      <c r="I88" s="561" t="str">
        <f t="shared" si="10"/>
        <v>Fornecimento igual ao estimado mensalmente</v>
      </c>
      <c r="J88" s="561"/>
      <c r="K88" s="561"/>
      <c r="L88" s="61">
        <f t="shared" si="11"/>
        <v>0.33333333333333331</v>
      </c>
      <c r="M88" s="25">
        <f>Materiais!E64</f>
        <v>1</v>
      </c>
      <c r="N88" s="25" t="str">
        <f>Materiais!F64</f>
        <v>Trimestral</v>
      </c>
      <c r="O88" s="511">
        <f t="shared" si="12"/>
        <v>3</v>
      </c>
      <c r="W88" s="1"/>
    </row>
    <row r="89" spans="1:23" ht="15" hidden="1" customHeight="1" x14ac:dyDescent="0.3">
      <c r="A89" s="24">
        <v>5</v>
      </c>
      <c r="B89" s="563" t="str">
        <f>Materiais!B65</f>
        <v>Shampoo para carro - 1L</v>
      </c>
      <c r="C89" s="563"/>
      <c r="D89" s="563"/>
      <c r="E89" s="58" t="str">
        <f>Materiais!C65</f>
        <v>Unid.</v>
      </c>
      <c r="F89" s="58"/>
      <c r="G89" s="59">
        <f t="shared" si="9"/>
        <v>0.33333333333333331</v>
      </c>
      <c r="H89" s="60">
        <f>G89*Materiais!G65</f>
        <v>6.1066666666666665</v>
      </c>
      <c r="I89" s="561" t="str">
        <f t="shared" si="10"/>
        <v>Fornecimento igual ao estimado mensalmente</v>
      </c>
      <c r="J89" s="561"/>
      <c r="K89" s="561"/>
      <c r="L89" s="61">
        <f t="shared" si="11"/>
        <v>0.33333333333333331</v>
      </c>
      <c r="M89" s="25">
        <f>Materiais!E65</f>
        <v>1</v>
      </c>
      <c r="N89" s="25" t="str">
        <f>Materiais!F65</f>
        <v>Trimestral</v>
      </c>
      <c r="O89" s="511">
        <f t="shared" si="12"/>
        <v>3</v>
      </c>
      <c r="W89" s="1"/>
    </row>
    <row r="90" spans="1:23" ht="15" hidden="1" customHeight="1" x14ac:dyDescent="0.3">
      <c r="A90" s="24">
        <v>6</v>
      </c>
      <c r="B90" s="572" t="str">
        <f>Materiais!B66</f>
        <v>Silicone automotivo líquido - 250ml</v>
      </c>
      <c r="C90" s="572"/>
      <c r="D90" s="572"/>
      <c r="E90" s="58" t="str">
        <f>Materiais!C66</f>
        <v>Unid.</v>
      </c>
      <c r="F90" s="58"/>
      <c r="G90" s="59">
        <f t="shared" si="9"/>
        <v>0.25</v>
      </c>
      <c r="H90" s="60">
        <f>G90*Materiais!G66</f>
        <v>5.3125</v>
      </c>
      <c r="I90" s="561" t="str">
        <f t="shared" si="10"/>
        <v>Fornecimento igual ao estimado mensalmente</v>
      </c>
      <c r="J90" s="561"/>
      <c r="K90" s="561"/>
      <c r="L90" s="61">
        <f t="shared" si="11"/>
        <v>0.25</v>
      </c>
      <c r="M90" s="25">
        <f>Materiais!E66</f>
        <v>1</v>
      </c>
      <c r="N90" s="25" t="str">
        <f>Materiais!F66</f>
        <v>Quadrimestral</v>
      </c>
      <c r="O90" s="511">
        <f t="shared" si="12"/>
        <v>4</v>
      </c>
      <c r="W90" s="1"/>
    </row>
    <row r="91" spans="1:23" ht="15" hidden="1" customHeight="1" x14ac:dyDescent="0.3">
      <c r="A91" s="571" t="s">
        <v>93</v>
      </c>
      <c r="B91" s="571"/>
      <c r="C91" s="571"/>
      <c r="D91" s="571"/>
      <c r="E91" s="571"/>
      <c r="F91" s="571"/>
      <c r="G91" s="571"/>
      <c r="H91" s="70">
        <f>SUM(H85:H90)</f>
        <v>35.249166666666667</v>
      </c>
      <c r="I91" s="47"/>
      <c r="J91" s="47"/>
      <c r="K91" s="1"/>
      <c r="L91" s="55"/>
      <c r="M91" s="55"/>
      <c r="N91" s="55"/>
      <c r="P91" s="3"/>
      <c r="Q91" s="3"/>
      <c r="V91" s="1"/>
      <c r="W91" s="1"/>
    </row>
    <row r="92" spans="1:23" ht="15" hidden="1" customHeight="1" x14ac:dyDescent="0.3">
      <c r="A92" s="565" t="s">
        <v>94</v>
      </c>
      <c r="B92" s="565"/>
      <c r="C92" s="565"/>
      <c r="D92" s="565"/>
      <c r="E92" s="565"/>
      <c r="F92" s="565"/>
      <c r="G92" s="67">
        <f>Dados!$G$46</f>
        <v>0.03</v>
      </c>
      <c r="H92" s="68">
        <f>ROUND((H91*G92),2)</f>
        <v>1.06</v>
      </c>
      <c r="L92" s="1"/>
      <c r="M92" s="1"/>
      <c r="P92" s="3"/>
      <c r="Q92" s="3"/>
      <c r="V92" s="1"/>
      <c r="W92" s="1"/>
    </row>
    <row r="93" spans="1:23" ht="15" hidden="1" customHeight="1" x14ac:dyDescent="0.3">
      <c r="A93" s="565" t="s">
        <v>95</v>
      </c>
      <c r="B93" s="565"/>
      <c r="C93" s="565"/>
      <c r="D93" s="565"/>
      <c r="E93" s="565"/>
      <c r="F93" s="565"/>
      <c r="G93" s="67">
        <f>Dados!$G$47</f>
        <v>6.7900000000000002E-2</v>
      </c>
      <c r="H93" s="68">
        <f>ROUND((SUM(H91:H92)*G93),2)</f>
        <v>2.4700000000000002</v>
      </c>
      <c r="L93" s="1"/>
      <c r="M93" s="1"/>
      <c r="P93" s="3"/>
      <c r="Q93" s="3"/>
      <c r="V93" s="1"/>
      <c r="W93" s="1"/>
    </row>
    <row r="94" spans="1:23" ht="15" hidden="1" customHeight="1" x14ac:dyDescent="0.3">
      <c r="A94" s="565" t="s">
        <v>96</v>
      </c>
      <c r="B94" s="565"/>
      <c r="C94" s="565"/>
      <c r="D94" s="565"/>
      <c r="E94" s="565"/>
      <c r="F94" s="565"/>
      <c r="G94" s="67">
        <f>Dados!$G$58</f>
        <v>0.14250000000000002</v>
      </c>
      <c r="H94" s="68">
        <f>ROUND((H95*G94),2)</f>
        <v>6.44</v>
      </c>
      <c r="L94" s="1"/>
      <c r="M94" s="1"/>
      <c r="P94" s="3"/>
      <c r="Q94" s="3"/>
      <c r="V94" s="1"/>
      <c r="W94" s="1"/>
    </row>
    <row r="95" spans="1:23" ht="15.75" hidden="1" customHeight="1" x14ac:dyDescent="0.3">
      <c r="A95" s="566" t="s">
        <v>107</v>
      </c>
      <c r="B95" s="566"/>
      <c r="C95" s="566"/>
      <c r="D95" s="566"/>
      <c r="E95" s="566"/>
      <c r="F95" s="566"/>
      <c r="G95" s="566"/>
      <c r="H95" s="69">
        <f>ROUND((SUM(H91:H93)/(1-G94)),2)</f>
        <v>45.22</v>
      </c>
      <c r="L95" s="1"/>
      <c r="M95" s="1"/>
      <c r="P95" s="3"/>
      <c r="Q95" s="3"/>
      <c r="V95" s="1"/>
      <c r="W95" s="1"/>
    </row>
    <row r="96" spans="1:23" hidden="1" x14ac:dyDescent="0.3">
      <c r="L96" s="1"/>
      <c r="M96" s="1"/>
      <c r="P96" s="3"/>
      <c r="Q96" s="3"/>
      <c r="V96" s="1"/>
      <c r="W96" s="1"/>
    </row>
    <row r="97" spans="2:4" hidden="1" x14ac:dyDescent="0.3"/>
    <row r="98" spans="2:4" hidden="1" x14ac:dyDescent="0.3">
      <c r="B98" s="570" t="s">
        <v>108</v>
      </c>
      <c r="C98" s="570"/>
    </row>
    <row r="99" spans="2:4" hidden="1" x14ac:dyDescent="0.3">
      <c r="B99" s="72" t="s">
        <v>109</v>
      </c>
      <c r="C99" s="73">
        <v>22</v>
      </c>
      <c r="D99" s="1" t="s">
        <v>110</v>
      </c>
    </row>
    <row r="100" spans="2:4" hidden="1" x14ac:dyDescent="0.3">
      <c r="B100" s="72" t="s">
        <v>5</v>
      </c>
      <c r="C100" s="74">
        <v>30</v>
      </c>
      <c r="D100" s="1" t="s">
        <v>111</v>
      </c>
    </row>
    <row r="101" spans="2:4" hidden="1" x14ac:dyDescent="0.3">
      <c r="B101" s="72" t="s">
        <v>112</v>
      </c>
      <c r="C101" s="74" t="s">
        <v>113</v>
      </c>
      <c r="D101" s="1" t="s">
        <v>114</v>
      </c>
    </row>
    <row r="102" spans="2:4" hidden="1" x14ac:dyDescent="0.3"/>
    <row r="103" spans="2:4" hidden="1" x14ac:dyDescent="0.3">
      <c r="B103" s="72" t="s">
        <v>115</v>
      </c>
      <c r="C103" s="72" t="s">
        <v>116</v>
      </c>
    </row>
    <row r="104" spans="2:4" hidden="1" x14ac:dyDescent="0.3">
      <c r="B104" s="72">
        <v>220</v>
      </c>
      <c r="C104" s="72">
        <v>8.8000000000000007</v>
      </c>
    </row>
    <row r="105" spans="2:4" hidden="1" x14ac:dyDescent="0.3">
      <c r="B105" s="72">
        <v>200</v>
      </c>
      <c r="C105" s="72">
        <v>8</v>
      </c>
    </row>
    <row r="106" spans="2:4" hidden="1" x14ac:dyDescent="0.3">
      <c r="B106" s="72">
        <v>180</v>
      </c>
      <c r="C106" s="72">
        <v>7.2</v>
      </c>
    </row>
    <row r="107" spans="2:4" hidden="1" x14ac:dyDescent="0.3">
      <c r="B107" s="72">
        <v>150</v>
      </c>
      <c r="C107" s="72">
        <v>6</v>
      </c>
    </row>
    <row r="108" spans="2:4" hidden="1" x14ac:dyDescent="0.3">
      <c r="B108" s="72">
        <v>120</v>
      </c>
      <c r="C108" s="72">
        <v>4.8</v>
      </c>
    </row>
    <row r="109" spans="2:4" hidden="1" x14ac:dyDescent="0.3">
      <c r="B109" s="72">
        <v>100</v>
      </c>
      <c r="C109" s="72">
        <v>4</v>
      </c>
    </row>
    <row r="110" spans="2:4" hidden="1" x14ac:dyDescent="0.3">
      <c r="B110" s="72">
        <v>75</v>
      </c>
      <c r="C110" s="72">
        <v>3</v>
      </c>
    </row>
    <row r="111" spans="2:4" hidden="1" x14ac:dyDescent="0.3"/>
    <row r="112" spans="2:4" hidden="1" x14ac:dyDescent="0.3">
      <c r="B112" s="72" t="s">
        <v>117</v>
      </c>
    </row>
    <row r="113" spans="2:2" hidden="1" x14ac:dyDescent="0.3">
      <c r="B113" s="75">
        <v>0</v>
      </c>
    </row>
    <row r="114" spans="2:2" hidden="1" x14ac:dyDescent="0.3">
      <c r="B114" s="75">
        <v>1</v>
      </c>
    </row>
    <row r="115" spans="2:2" hidden="1" x14ac:dyDescent="0.3">
      <c r="B115" s="75">
        <v>2</v>
      </c>
    </row>
  </sheetData>
  <sheetProtection algorithmName="SHA-512" hashValue="TqP5q97gavI3vHYhTTNlcrBIxCM2tJWzXBB8lBjMvekj43EOGY9Ng3xPdgYjIjh1ROVqexvw5OVo99NmsnkfRQ==" saltValue="CxJMylB4762awapuxlJAXA==" spinCount="100000" sheet="1" objects="1" scenarios="1"/>
  <mergeCells count="123">
    <mergeCell ref="B88:D88"/>
    <mergeCell ref="I88:K88"/>
    <mergeCell ref="I83:K84"/>
    <mergeCell ref="I76:K76"/>
    <mergeCell ref="A77:G77"/>
    <mergeCell ref="A78:F78"/>
    <mergeCell ref="B85:D85"/>
    <mergeCell ref="I85:K85"/>
    <mergeCell ref="B86:D86"/>
    <mergeCell ref="I86:K86"/>
    <mergeCell ref="B87:D87"/>
    <mergeCell ref="I87:K87"/>
    <mergeCell ref="B70:D70"/>
    <mergeCell ref="I70:K70"/>
    <mergeCell ref="B98:C98"/>
    <mergeCell ref="A91:G91"/>
    <mergeCell ref="A92:F92"/>
    <mergeCell ref="A93:F93"/>
    <mergeCell ref="A94:F94"/>
    <mergeCell ref="A95:G95"/>
    <mergeCell ref="A79:F79"/>
    <mergeCell ref="A80:F80"/>
    <mergeCell ref="A81:G81"/>
    <mergeCell ref="A83:A84"/>
    <mergeCell ref="B83:E83"/>
    <mergeCell ref="F83:H83"/>
    <mergeCell ref="I71:K71"/>
    <mergeCell ref="I72:K72"/>
    <mergeCell ref="I73:K73"/>
    <mergeCell ref="I74:K74"/>
    <mergeCell ref="I75:K75"/>
    <mergeCell ref="B89:D89"/>
    <mergeCell ref="I89:K89"/>
    <mergeCell ref="B90:D90"/>
    <mergeCell ref="I90:K90"/>
    <mergeCell ref="B76:D76"/>
    <mergeCell ref="L83:O83"/>
    <mergeCell ref="B84:D84"/>
    <mergeCell ref="B71:D71"/>
    <mergeCell ref="B72:D72"/>
    <mergeCell ref="B73:D73"/>
    <mergeCell ref="B74:D74"/>
    <mergeCell ref="B75:D75"/>
    <mergeCell ref="A59:G59"/>
    <mergeCell ref="A60:F60"/>
    <mergeCell ref="A61:F61"/>
    <mergeCell ref="A62:F62"/>
    <mergeCell ref="A63:G63"/>
    <mergeCell ref="A65:A66"/>
    <mergeCell ref="B65:E65"/>
    <mergeCell ref="F65:H65"/>
    <mergeCell ref="I65:K66"/>
    <mergeCell ref="L65:O65"/>
    <mergeCell ref="B66:D66"/>
    <mergeCell ref="B67:D67"/>
    <mergeCell ref="I67:K67"/>
    <mergeCell ref="B68:D68"/>
    <mergeCell ref="I68:K68"/>
    <mergeCell ref="B69:D69"/>
    <mergeCell ref="I69:K69"/>
    <mergeCell ref="I54:K54"/>
    <mergeCell ref="I55:K55"/>
    <mergeCell ref="I56:K56"/>
    <mergeCell ref="I57:K57"/>
    <mergeCell ref="I58:K58"/>
    <mergeCell ref="I49:K49"/>
    <mergeCell ref="I50:K50"/>
    <mergeCell ref="I51:K51"/>
    <mergeCell ref="I52:K52"/>
    <mergeCell ref="I53:K53"/>
    <mergeCell ref="I44:K44"/>
    <mergeCell ref="I45:K45"/>
    <mergeCell ref="I46:K46"/>
    <mergeCell ref="I47:K47"/>
    <mergeCell ref="I48:K48"/>
    <mergeCell ref="I39:K39"/>
    <mergeCell ref="I40:K40"/>
    <mergeCell ref="I41:K41"/>
    <mergeCell ref="I42:K42"/>
    <mergeCell ref="I43:K43"/>
    <mergeCell ref="I34:K34"/>
    <mergeCell ref="I35:K35"/>
    <mergeCell ref="I36:K36"/>
    <mergeCell ref="I37:K37"/>
    <mergeCell ref="I38:K38"/>
    <mergeCell ref="I29:K29"/>
    <mergeCell ref="I30:K30"/>
    <mergeCell ref="I31:K31"/>
    <mergeCell ref="I32:K32"/>
    <mergeCell ref="I33:K33"/>
    <mergeCell ref="T7:W9"/>
    <mergeCell ref="A18:G18"/>
    <mergeCell ref="I18:J18"/>
    <mergeCell ref="A21:B22"/>
    <mergeCell ref="A23:F24"/>
    <mergeCell ref="A27:A28"/>
    <mergeCell ref="B27:E27"/>
    <mergeCell ref="F27:H27"/>
    <mergeCell ref="I27:K28"/>
    <mergeCell ref="L27:O27"/>
    <mergeCell ref="B28:D28"/>
    <mergeCell ref="C2:S2"/>
    <mergeCell ref="C3:S3"/>
    <mergeCell ref="A4:C4"/>
    <mergeCell ref="D4:E4"/>
    <mergeCell ref="A5:C5"/>
    <mergeCell ref="A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</mergeCells>
  <conditionalFormatting sqref="I29:I58">
    <cfRule type="containsText" dxfId="5" priority="6" operator="containsText" text="inferior">
      <formula>NOT(ISERROR(SEARCH("inferior",I29)))</formula>
    </cfRule>
    <cfRule type="containsText" dxfId="4" priority="7" operator="containsText" text="superior">
      <formula>NOT(ISERROR(SEARCH("superior",I29)))</formula>
    </cfRule>
  </conditionalFormatting>
  <conditionalFormatting sqref="I67:I76">
    <cfRule type="containsText" dxfId="3" priority="4" operator="containsText" text="inferior">
      <formula>NOT(ISERROR(SEARCH("inferior",I67)))</formula>
    </cfRule>
    <cfRule type="containsText" dxfId="2" priority="5" operator="containsText" text="superior">
      <formula>NOT(ISERROR(SEARCH("superior",I67)))</formula>
    </cfRule>
  </conditionalFormatting>
  <conditionalFormatting sqref="I85:I90">
    <cfRule type="containsText" dxfId="1" priority="2" operator="containsText" text="inferior">
      <formula>NOT(ISERROR(SEARCH("inferior",I85)))</formula>
    </cfRule>
    <cfRule type="containsText" dxfId="0" priority="3" operator="containsText" text="superior">
      <formula>NOT(ISERROR(SEARCH("superior",I85)))</formula>
    </cfRule>
  </conditionalFormatting>
  <dataValidations disablePrompts="1" count="5">
    <dataValidation type="list" operator="equal" allowBlank="1" showInputMessage="1" showErrorMessage="1" sqref="D4:E4" xr:uid="{00000000-0002-0000-0000-000000000000}">
      <formula1>"PLANILHA PARA LICITAÇÃO (PRECIFICAÇÃO),PLANILHA PARA FATURAMENTO"</formula1>
      <formula2>0</formula2>
    </dataValidation>
    <dataValidation type="list" operator="equal" allowBlank="1" showInputMessage="1" showErrorMessage="1" sqref="D5" xr:uid="{00000000-0002-0000-0000-000001000000}">
      <formula1>$B$99:$B$101</formula1>
      <formula2>0</formula2>
    </dataValidation>
    <dataValidation type="list" operator="equal" allowBlank="1" showInputMessage="1" showErrorMessage="1" sqref="C22" xr:uid="{00000000-0002-0000-0000-000002000000}">
      <formula1>$B$104:$B$110</formula1>
      <formula2>0</formula2>
    </dataValidation>
    <dataValidation type="list" operator="equal" allowBlank="1" showInputMessage="1" showErrorMessage="1" sqref="N29:N58" xr:uid="{00000000-0002-0000-0000-000003000000}">
      <formula1>"Mensal,Bimestral,Trimestral,Quadrimestral,Semestral,Anual,Bienal"</formula1>
      <formula2>0</formula2>
    </dataValidation>
    <dataValidation type="list" operator="equal" allowBlank="1" showInputMessage="1" showErrorMessage="1" sqref="E11:E17" xr:uid="{00000000-0002-0000-0000-000004000000}">
      <formula1>"SIM,NÃO"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K47"/>
  <sheetViews>
    <sheetView showGridLines="0" zoomScaleNormal="100" zoomScaleSheetLayoutView="100" workbookViewId="0">
      <selection activeCell="M7" sqref="M7"/>
    </sheetView>
  </sheetViews>
  <sheetFormatPr defaultColWidth="8.6640625" defaultRowHeight="14.4" x14ac:dyDescent="0.3"/>
  <cols>
    <col min="1" max="1" width="10.5546875" style="55" customWidth="1"/>
    <col min="2" max="2" width="27.6640625" style="55" customWidth="1"/>
    <col min="3" max="3" width="14.44140625" style="55" customWidth="1"/>
    <col min="4" max="5" width="15" style="55" customWidth="1"/>
    <col min="6" max="6" width="16.6640625" style="355" customWidth="1"/>
    <col min="7" max="8" width="13.109375" style="355" customWidth="1"/>
    <col min="9" max="10" width="12.5546875" style="355" customWidth="1"/>
    <col min="11" max="257" width="9.109375" style="55" customWidth="1"/>
    <col min="258" max="258" width="10.5546875" style="55" customWidth="1"/>
    <col min="259" max="259" width="27.6640625" style="55" customWidth="1"/>
    <col min="260" max="260" width="14.44140625" style="55" customWidth="1"/>
    <col min="261" max="262" width="15" style="55" customWidth="1"/>
    <col min="263" max="263" width="16.6640625" style="55" customWidth="1"/>
    <col min="264" max="264" width="13.109375" style="55" customWidth="1"/>
    <col min="265" max="266" width="12.5546875" style="55" customWidth="1"/>
    <col min="267" max="513" width="9.109375" style="55" customWidth="1"/>
    <col min="514" max="514" width="10.5546875" style="55" customWidth="1"/>
    <col min="515" max="515" width="27.6640625" style="55" customWidth="1"/>
    <col min="516" max="516" width="14.44140625" style="55" customWidth="1"/>
    <col min="517" max="518" width="15" style="55" customWidth="1"/>
    <col min="519" max="519" width="16.6640625" style="55" customWidth="1"/>
    <col min="520" max="520" width="13.109375" style="55" customWidth="1"/>
    <col min="521" max="522" width="12.5546875" style="55" customWidth="1"/>
    <col min="523" max="769" width="9.109375" style="55" customWidth="1"/>
    <col min="770" max="770" width="10.5546875" style="55" customWidth="1"/>
    <col min="771" max="771" width="27.6640625" style="55" customWidth="1"/>
    <col min="772" max="772" width="14.44140625" style="55" customWidth="1"/>
    <col min="773" max="774" width="15" style="55" customWidth="1"/>
    <col min="775" max="775" width="16.6640625" style="55" customWidth="1"/>
    <col min="776" max="776" width="13.109375" style="55" customWidth="1"/>
    <col min="777" max="778" width="12.5546875" style="55" customWidth="1"/>
    <col min="779" max="1025" width="9.109375" style="55" customWidth="1"/>
  </cols>
  <sheetData>
    <row r="1" spans="1:10" x14ac:dyDescent="0.3">
      <c r="A1" s="356"/>
      <c r="B1" s="77" t="str">
        <f>INSTRUÇÕES!B1</f>
        <v>Tribunal Regional Federal da 6ª Região</v>
      </c>
      <c r="C1" s="357"/>
      <c r="D1" s="357"/>
      <c r="E1" s="357"/>
      <c r="F1" s="358"/>
      <c r="G1" s="359"/>
      <c r="H1" s="359"/>
      <c r="I1" s="358"/>
      <c r="J1" s="360"/>
    </row>
    <row r="2" spans="1:10" x14ac:dyDescent="0.3">
      <c r="A2" s="361"/>
      <c r="B2" s="80" t="str">
        <f>INSTRUÇÕES!B2</f>
        <v>Seção Judiciária de Minas Gerais</v>
      </c>
      <c r="C2" s="47"/>
      <c r="D2" s="47"/>
      <c r="E2" s="47"/>
      <c r="F2" s="362"/>
      <c r="I2" s="362"/>
      <c r="J2" s="363"/>
    </row>
    <row r="3" spans="1:10" x14ac:dyDescent="0.3">
      <c r="A3" s="172"/>
      <c r="B3" s="294" t="str">
        <f>INSTRUÇÕES!B3</f>
        <v>Subseção Judiciária de Governador Valadares</v>
      </c>
      <c r="C3" s="47"/>
      <c r="D3" s="47"/>
      <c r="E3" s="47"/>
      <c r="F3" s="362"/>
      <c r="I3" s="362"/>
      <c r="J3" s="363"/>
    </row>
    <row r="4" spans="1:10" ht="19.5" customHeight="1" x14ac:dyDescent="0.3">
      <c r="A4" s="646" t="s">
        <v>523</v>
      </c>
      <c r="B4" s="646"/>
      <c r="C4" s="646"/>
      <c r="D4" s="646"/>
      <c r="E4" s="646"/>
      <c r="F4" s="646"/>
      <c r="G4" s="646"/>
      <c r="H4" s="646"/>
      <c r="I4" s="646"/>
      <c r="J4" s="646"/>
    </row>
    <row r="5" spans="1:10" ht="19.5" customHeight="1" x14ac:dyDescent="0.3">
      <c r="A5" s="647" t="s">
        <v>360</v>
      </c>
      <c r="B5" s="647"/>
      <c r="C5" s="647"/>
      <c r="D5" s="647"/>
      <c r="E5" s="647"/>
      <c r="F5" s="647"/>
      <c r="G5" s="647"/>
      <c r="H5" s="647"/>
      <c r="I5" s="647"/>
      <c r="J5" s="647"/>
    </row>
    <row r="6" spans="1:10" s="1" customFormat="1" ht="36" customHeight="1" x14ac:dyDescent="0.3">
      <c r="A6" s="648" t="str">
        <f>Dados!A4</f>
        <v>Sindicato utilizado - SETHAC-GV e SEAC/MG. Vigência: 01/01/2024 à 31/12/2024. Sendo a data base da categoria 1º de Janeiro. Com número de registro no MTE MG000439/2024.</v>
      </c>
      <c r="B6" s="648"/>
      <c r="C6" s="648"/>
      <c r="D6" s="648"/>
      <c r="E6" s="648"/>
      <c r="F6" s="648"/>
      <c r="G6" s="648"/>
      <c r="H6" s="648"/>
      <c r="I6" s="648"/>
      <c r="J6" s="648"/>
    </row>
    <row r="7" spans="1:10" ht="19.5" customHeight="1" x14ac:dyDescent="0.3">
      <c r="A7" s="649" t="str">
        <f>Dados!C11</f>
        <v>Assistente Administrativo</v>
      </c>
      <c r="B7" s="649"/>
      <c r="C7" s="649"/>
      <c r="D7" s="649"/>
      <c r="E7" s="649"/>
      <c r="F7" s="650" t="s">
        <v>524</v>
      </c>
      <c r="G7" s="650" t="s">
        <v>525</v>
      </c>
      <c r="H7" s="650" t="s">
        <v>526</v>
      </c>
      <c r="I7" s="650" t="s">
        <v>527</v>
      </c>
      <c r="J7" s="650" t="s">
        <v>528</v>
      </c>
    </row>
    <row r="8" spans="1:10" ht="19.5" customHeight="1" x14ac:dyDescent="0.3">
      <c r="A8" s="651" t="s">
        <v>637</v>
      </c>
      <c r="B8" s="651"/>
      <c r="C8" s="651"/>
      <c r="D8" s="651"/>
      <c r="E8" s="364" t="s">
        <v>436</v>
      </c>
      <c r="F8" s="650"/>
      <c r="G8" s="650"/>
      <c r="H8" s="650"/>
      <c r="I8" s="650"/>
      <c r="J8" s="650"/>
    </row>
    <row r="9" spans="1:10" ht="19.5" customHeight="1" x14ac:dyDescent="0.3">
      <c r="A9" s="652" t="s">
        <v>530</v>
      </c>
      <c r="B9" s="652"/>
      <c r="C9" s="652"/>
      <c r="D9" s="652"/>
      <c r="E9" s="652"/>
      <c r="F9" s="652"/>
      <c r="G9" s="652"/>
      <c r="H9" s="652"/>
      <c r="I9" s="652"/>
      <c r="J9" s="652"/>
    </row>
    <row r="10" spans="1:10" ht="24" customHeight="1" x14ac:dyDescent="0.3">
      <c r="A10" s="177" t="s">
        <v>437</v>
      </c>
      <c r="B10" s="653" t="s">
        <v>531</v>
      </c>
      <c r="C10" s="653"/>
      <c r="D10" s="365" t="s">
        <v>532</v>
      </c>
      <c r="E10" s="366" t="s">
        <v>533</v>
      </c>
      <c r="F10" s="654" t="s">
        <v>440</v>
      </c>
      <c r="G10" s="654"/>
      <c r="H10" s="654"/>
      <c r="I10" s="654"/>
      <c r="J10" s="654"/>
    </row>
    <row r="11" spans="1:10" ht="19.5" customHeight="1" x14ac:dyDescent="0.3">
      <c r="A11" s="655">
        <v>1</v>
      </c>
      <c r="B11" s="676" t="str">
        <f>A7</f>
        <v>Assistente Administrativo</v>
      </c>
      <c r="C11" s="676"/>
      <c r="D11" s="367">
        <f>Dados!$D$11</f>
        <v>200</v>
      </c>
      <c r="E11" s="368">
        <f>Dados!$E$11</f>
        <v>2267.85</v>
      </c>
      <c r="F11" s="88">
        <f>ROUND(E11/220*D11,2)</f>
        <v>2061.6799999999998</v>
      </c>
      <c r="G11" s="88">
        <f>F11</f>
        <v>2061.6799999999998</v>
      </c>
      <c r="H11" s="88"/>
      <c r="I11" s="88"/>
      <c r="J11" s="369"/>
    </row>
    <row r="12" spans="1:10" ht="19.5" customHeight="1" x14ac:dyDescent="0.3">
      <c r="A12" s="655"/>
      <c r="B12" s="656" t="s">
        <v>534</v>
      </c>
      <c r="C12" s="656"/>
      <c r="D12" s="370">
        <f>Dados!G8</f>
        <v>0</v>
      </c>
      <c r="E12" s="368">
        <f>Dados!$G$30</f>
        <v>1518</v>
      </c>
      <c r="F12" s="88">
        <f>D12*E12</f>
        <v>0</v>
      </c>
      <c r="G12" s="88">
        <f>F12</f>
        <v>0</v>
      </c>
      <c r="H12" s="88"/>
      <c r="I12" s="88"/>
      <c r="J12" s="369">
        <f>F12</f>
        <v>0</v>
      </c>
    </row>
    <row r="13" spans="1:10" ht="21.75" customHeight="1" x14ac:dyDescent="0.3">
      <c r="A13" s="655"/>
      <c r="B13" s="371" t="s">
        <v>535</v>
      </c>
      <c r="C13" s="372">
        <f>Dados!$I$13</f>
        <v>0</v>
      </c>
      <c r="D13" s="372">
        <f>Dados!$J$13</f>
        <v>0</v>
      </c>
      <c r="E13" s="373">
        <f>Dados!$K$13</f>
        <v>0</v>
      </c>
      <c r="F13" s="374">
        <f>ROUND((E13*D13*C13),2)</f>
        <v>0</v>
      </c>
      <c r="G13" s="374">
        <f>F13</f>
        <v>0</v>
      </c>
      <c r="H13" s="374"/>
      <c r="I13" s="374"/>
      <c r="J13" s="375"/>
    </row>
    <row r="14" spans="1:10" ht="19.5" customHeight="1" x14ac:dyDescent="0.3">
      <c r="A14" s="655"/>
      <c r="B14" s="657" t="s">
        <v>536</v>
      </c>
      <c r="C14" s="657"/>
      <c r="D14" s="657"/>
      <c r="E14" s="657"/>
      <c r="F14" s="376">
        <f>SUM(F11:F13)</f>
        <v>2061.6799999999998</v>
      </c>
      <c r="G14" s="376">
        <f>SUM(G11:G13)</f>
        <v>2061.6799999999998</v>
      </c>
      <c r="H14" s="376">
        <f>SUM(H11:H13)</f>
        <v>0</v>
      </c>
      <c r="I14" s="376">
        <f>SUM(I11:I13)</f>
        <v>0</v>
      </c>
      <c r="J14" s="377">
        <f>SUM(J11:J13)</f>
        <v>0</v>
      </c>
    </row>
    <row r="15" spans="1:10" ht="19.5" customHeight="1" x14ac:dyDescent="0.3">
      <c r="A15" s="655"/>
      <c r="B15" s="658" t="s">
        <v>537</v>
      </c>
      <c r="C15" s="658"/>
      <c r="D15" s="658"/>
      <c r="E15" s="378">
        <f>Encargos!$C$57</f>
        <v>0.79049999999999998</v>
      </c>
      <c r="F15" s="88">
        <f>ROUND((E15*F14),2)</f>
        <v>1629.76</v>
      </c>
      <c r="G15" s="88">
        <f>F15</f>
        <v>1629.76</v>
      </c>
      <c r="H15" s="88"/>
      <c r="I15" s="88"/>
      <c r="J15" s="369">
        <f>ROUND((E15*J14),2)</f>
        <v>0</v>
      </c>
    </row>
    <row r="16" spans="1:10" ht="19.5" customHeight="1" x14ac:dyDescent="0.3">
      <c r="A16" s="659" t="s">
        <v>538</v>
      </c>
      <c r="B16" s="659"/>
      <c r="C16" s="659"/>
      <c r="D16" s="659"/>
      <c r="E16" s="659"/>
      <c r="F16" s="379">
        <f>SUM(F14:F15)</f>
        <v>3691.4399999999996</v>
      </c>
      <c r="G16" s="379">
        <f>SUM(G14:G15)</f>
        <v>3691.4399999999996</v>
      </c>
      <c r="H16" s="379">
        <f>SUM(H14:H15)</f>
        <v>0</v>
      </c>
      <c r="I16" s="379">
        <f>SUM(I14:I15)</f>
        <v>0</v>
      </c>
      <c r="J16" s="380">
        <f>SUM(J14:J15)</f>
        <v>0</v>
      </c>
    </row>
    <row r="17" spans="1:12" ht="19.5" customHeight="1" x14ac:dyDescent="0.3">
      <c r="A17" s="660" t="s">
        <v>539</v>
      </c>
      <c r="B17" s="660"/>
      <c r="C17" s="660"/>
      <c r="D17" s="660"/>
      <c r="E17" s="660"/>
      <c r="F17" s="660"/>
      <c r="G17" s="660"/>
      <c r="H17" s="660"/>
      <c r="I17" s="660"/>
      <c r="J17" s="660"/>
    </row>
    <row r="18" spans="1:12" ht="19.5" customHeight="1" x14ac:dyDescent="0.3">
      <c r="A18" s="661" t="s">
        <v>540</v>
      </c>
      <c r="B18" s="661"/>
      <c r="C18" s="92" t="s">
        <v>439</v>
      </c>
      <c r="D18" s="662" t="s">
        <v>541</v>
      </c>
      <c r="E18" s="662"/>
      <c r="F18" s="663" t="s">
        <v>440</v>
      </c>
      <c r="G18" s="663"/>
      <c r="H18" s="663"/>
      <c r="I18" s="663"/>
      <c r="J18" s="663"/>
    </row>
    <row r="19" spans="1:12" ht="19.5" customHeight="1" x14ac:dyDescent="0.3">
      <c r="A19" s="664" t="s">
        <v>542</v>
      </c>
      <c r="B19" s="664"/>
      <c r="C19" s="382"/>
      <c r="D19" s="382"/>
      <c r="E19" s="382"/>
      <c r="F19" s="88">
        <f>Dados!$N$13</f>
        <v>42.25</v>
      </c>
      <c r="G19" s="88">
        <f>F19</f>
        <v>42.25</v>
      </c>
      <c r="H19" s="88"/>
      <c r="I19" s="88"/>
      <c r="J19" s="369"/>
    </row>
    <row r="20" spans="1:12" ht="19.5" customHeight="1" x14ac:dyDescent="0.3">
      <c r="A20" s="664" t="s">
        <v>543</v>
      </c>
      <c r="B20" s="664"/>
      <c r="C20" s="382"/>
      <c r="D20" s="382"/>
      <c r="E20" s="382"/>
      <c r="F20" s="88">
        <f>Dados!$G$33</f>
        <v>2.84</v>
      </c>
      <c r="G20" s="88">
        <f>F20</f>
        <v>2.84</v>
      </c>
      <c r="H20" s="88"/>
      <c r="I20" s="88"/>
      <c r="J20" s="369"/>
    </row>
    <row r="21" spans="1:12" ht="23.25" customHeight="1" x14ac:dyDescent="0.3">
      <c r="A21" s="665" t="s">
        <v>295</v>
      </c>
      <c r="B21" s="665"/>
      <c r="C21" s="382"/>
      <c r="D21" s="382"/>
      <c r="E21" s="382"/>
      <c r="F21" s="88">
        <f>Dados!G34</f>
        <v>47.15</v>
      </c>
      <c r="G21" s="88">
        <f>F21</f>
        <v>47.15</v>
      </c>
      <c r="H21" s="88"/>
      <c r="I21" s="88"/>
      <c r="J21" s="369"/>
    </row>
    <row r="22" spans="1:12" ht="19.5" customHeight="1" x14ac:dyDescent="0.3">
      <c r="A22" s="664" t="s">
        <v>296</v>
      </c>
      <c r="B22" s="664"/>
      <c r="C22" s="383">
        <f>Dados!$G$37</f>
        <v>22</v>
      </c>
      <c r="D22" s="383">
        <f>Dados!$G$36</f>
        <v>2</v>
      </c>
      <c r="E22" s="382">
        <f>Dados!$G$35</f>
        <v>4.25</v>
      </c>
      <c r="F22" s="88">
        <f>IF(ROUND((E22*D22*C22)-(F11*Dados!$G$38),2)&lt;0,0,ROUND((E22*D22*C22)-(F11*Dados!$G$38),2))</f>
        <v>63.3</v>
      </c>
      <c r="G22" s="88">
        <f>F22</f>
        <v>63.3</v>
      </c>
      <c r="H22" s="88"/>
      <c r="I22" s="88">
        <f>F22</f>
        <v>63.3</v>
      </c>
      <c r="J22" s="369"/>
    </row>
    <row r="23" spans="1:12" ht="19.5" customHeight="1" x14ac:dyDescent="0.3">
      <c r="A23" s="664" t="s">
        <v>305</v>
      </c>
      <c r="B23" s="664"/>
      <c r="C23" s="383">
        <f>Dados!G40</f>
        <v>22</v>
      </c>
      <c r="D23" s="384">
        <f>Dados!G41</f>
        <v>0.2</v>
      </c>
      <c r="E23" s="382">
        <f>Dados!$G$39</f>
        <v>27.24</v>
      </c>
      <c r="F23" s="385">
        <f>ROUND((IF(D11&gt;150,((C23*E23)-(C23*(D23*E23))),0)),2)</f>
        <v>479.42</v>
      </c>
      <c r="G23" s="88">
        <f>F23</f>
        <v>479.42</v>
      </c>
      <c r="H23" s="88">
        <f>$F$23</f>
        <v>479.42</v>
      </c>
      <c r="I23" s="385"/>
      <c r="J23" s="369"/>
    </row>
    <row r="24" spans="1:12" ht="19.5" customHeight="1" x14ac:dyDescent="0.3">
      <c r="A24" s="664" t="s">
        <v>308</v>
      </c>
      <c r="B24" s="664"/>
      <c r="C24" s="383"/>
      <c r="D24" s="383"/>
      <c r="E24" s="382"/>
      <c r="F24" s="385">
        <f>Dados!$G$42</f>
        <v>0</v>
      </c>
      <c r="G24" s="88"/>
      <c r="H24" s="88"/>
      <c r="I24" s="385"/>
      <c r="J24" s="369"/>
    </row>
    <row r="25" spans="1:12" ht="19.5" customHeight="1" x14ac:dyDescent="0.3">
      <c r="A25" s="664" t="s">
        <v>308</v>
      </c>
      <c r="B25" s="664"/>
      <c r="C25" s="383"/>
      <c r="D25" s="383"/>
      <c r="E25" s="382"/>
      <c r="F25" s="385">
        <f>Dados!$G$43</f>
        <v>0</v>
      </c>
      <c r="G25" s="88"/>
      <c r="H25" s="88"/>
      <c r="I25" s="385"/>
      <c r="J25" s="369"/>
    </row>
    <row r="26" spans="1:12" ht="19.5" customHeight="1" x14ac:dyDescent="0.3">
      <c r="A26" s="664" t="s">
        <v>544</v>
      </c>
      <c r="B26" s="664"/>
      <c r="C26" s="383"/>
      <c r="D26" s="382"/>
      <c r="E26" s="382"/>
      <c r="F26" s="88"/>
      <c r="G26" s="88"/>
      <c r="H26" s="88"/>
      <c r="I26" s="88"/>
      <c r="J26" s="369"/>
      <c r="L26" s="386"/>
    </row>
    <row r="27" spans="1:12" ht="19.5" customHeight="1" x14ac:dyDescent="0.3">
      <c r="A27" s="381" t="s">
        <v>545</v>
      </c>
      <c r="B27" s="310"/>
      <c r="C27" s="383"/>
      <c r="D27" s="382"/>
      <c r="E27" s="382"/>
      <c r="F27" s="88"/>
      <c r="G27" s="88"/>
      <c r="H27" s="88"/>
      <c r="I27" s="88"/>
      <c r="J27" s="369"/>
    </row>
    <row r="28" spans="1:12" ht="19.5" customHeight="1" x14ac:dyDescent="0.3">
      <c r="A28" s="666" t="s">
        <v>546</v>
      </c>
      <c r="B28" s="666"/>
      <c r="C28" s="387"/>
      <c r="D28" s="388"/>
      <c r="E28" s="388"/>
      <c r="F28" s="374"/>
      <c r="G28" s="374"/>
      <c r="H28" s="374"/>
      <c r="I28" s="374"/>
      <c r="J28" s="375"/>
    </row>
    <row r="29" spans="1:12" ht="19.5" customHeight="1" x14ac:dyDescent="0.3">
      <c r="A29" s="667" t="s">
        <v>547</v>
      </c>
      <c r="B29" s="667"/>
      <c r="C29" s="667"/>
      <c r="D29" s="667"/>
      <c r="E29" s="667"/>
      <c r="F29" s="379">
        <f>SUM(F19:F28)</f>
        <v>634.96</v>
      </c>
      <c r="G29" s="379">
        <f>SUM(G19:G28)</f>
        <v>634.96</v>
      </c>
      <c r="H29" s="379">
        <f>SUM(H19:H28)</f>
        <v>479.42</v>
      </c>
      <c r="I29" s="379">
        <f>SUM(I19:I28)</f>
        <v>63.3</v>
      </c>
      <c r="J29" s="380">
        <f>SUM(J19:J28)</f>
        <v>0</v>
      </c>
    </row>
    <row r="30" spans="1:12" ht="19.5" customHeight="1" x14ac:dyDescent="0.3">
      <c r="A30" s="667" t="s">
        <v>548</v>
      </c>
      <c r="B30" s="667"/>
      <c r="C30" s="667"/>
      <c r="D30" s="667"/>
      <c r="E30" s="667"/>
      <c r="F30" s="379">
        <f>F16+F29</f>
        <v>4326.3999999999996</v>
      </c>
      <c r="G30" s="379">
        <f>G16+G29</f>
        <v>4326.3999999999996</v>
      </c>
      <c r="H30" s="379">
        <f>H16+H29</f>
        <v>479.42</v>
      </c>
      <c r="I30" s="379">
        <f>I16+I29</f>
        <v>63.3</v>
      </c>
      <c r="J30" s="380">
        <f>J16+J29</f>
        <v>0</v>
      </c>
    </row>
    <row r="31" spans="1:12" ht="19.5" customHeight="1" x14ac:dyDescent="0.3">
      <c r="A31" s="652" t="s">
        <v>549</v>
      </c>
      <c r="B31" s="652"/>
      <c r="C31" s="652"/>
      <c r="D31" s="652"/>
      <c r="E31" s="652"/>
      <c r="F31" s="652"/>
      <c r="G31" s="652"/>
      <c r="H31" s="652"/>
      <c r="I31" s="652"/>
      <c r="J31" s="652"/>
    </row>
    <row r="32" spans="1:12" ht="19.5" customHeight="1" x14ac:dyDescent="0.3">
      <c r="A32" s="661" t="s">
        <v>550</v>
      </c>
      <c r="B32" s="661"/>
      <c r="C32" s="661"/>
      <c r="D32" s="91" t="s">
        <v>489</v>
      </c>
      <c r="E32" s="668" t="s">
        <v>440</v>
      </c>
      <c r="F32" s="668"/>
      <c r="G32" s="668"/>
      <c r="H32" s="668"/>
      <c r="I32" s="668"/>
      <c r="J32" s="668"/>
    </row>
    <row r="33" spans="1:12" ht="19.5" customHeight="1" x14ac:dyDescent="0.3">
      <c r="A33" s="389" t="s">
        <v>551</v>
      </c>
      <c r="B33" s="390"/>
      <c r="C33" s="390"/>
      <c r="D33" s="391">
        <f>Dados!$G$46</f>
        <v>0.03</v>
      </c>
      <c r="E33" s="392"/>
      <c r="F33" s="88">
        <f>ROUND((F30*$D$33),2)</f>
        <v>129.79</v>
      </c>
      <c r="G33" s="88">
        <f>ROUND((G30*$D$33),2)</f>
        <v>129.79</v>
      </c>
      <c r="H33" s="88">
        <f>ROUND((H30*$D$33),2)</f>
        <v>14.38</v>
      </c>
      <c r="I33" s="88">
        <f>ROUND((I30*$D$33),2)</f>
        <v>1.9</v>
      </c>
      <c r="J33" s="369">
        <f>ROUND((J30*$D$33),2)</f>
        <v>0</v>
      </c>
    </row>
    <row r="34" spans="1:12" ht="19.5" customHeight="1" x14ac:dyDescent="0.3">
      <c r="A34" s="669" t="s">
        <v>552</v>
      </c>
      <c r="B34" s="669"/>
      <c r="C34" s="669"/>
      <c r="D34" s="391"/>
      <c r="E34" s="392"/>
      <c r="F34" s="88">
        <f>F30+F33</f>
        <v>4456.1899999999996</v>
      </c>
      <c r="G34" s="88">
        <f>G30+G33</f>
        <v>4456.1899999999996</v>
      </c>
      <c r="H34" s="88">
        <f>H30+H33</f>
        <v>493.8</v>
      </c>
      <c r="I34" s="88">
        <f>I30+I33</f>
        <v>65.2</v>
      </c>
      <c r="J34" s="369">
        <f>J30+J33</f>
        <v>0</v>
      </c>
    </row>
    <row r="35" spans="1:12" ht="19.5" customHeight="1" x14ac:dyDescent="0.3">
      <c r="A35" s="393" t="s">
        <v>313</v>
      </c>
      <c r="B35" s="394"/>
      <c r="C35" s="394"/>
      <c r="D35" s="395">
        <f>Dados!$G$47</f>
        <v>6.7900000000000002E-2</v>
      </c>
      <c r="E35" s="396"/>
      <c r="F35" s="374">
        <f>ROUND((F34*$D$35),2)</f>
        <v>302.58</v>
      </c>
      <c r="G35" s="374">
        <f>ROUND((G34*$D$35),2)</f>
        <v>302.58</v>
      </c>
      <c r="H35" s="374">
        <f>ROUND((H34*$D$35),2)</f>
        <v>33.53</v>
      </c>
      <c r="I35" s="374">
        <f>ROUND((I34*$D$35),2)</f>
        <v>4.43</v>
      </c>
      <c r="J35" s="375">
        <f>ROUND((J34*$D$35),2)</f>
        <v>0</v>
      </c>
    </row>
    <row r="36" spans="1:12" ht="19.5" customHeight="1" x14ac:dyDescent="0.3">
      <c r="A36" s="397" t="s">
        <v>553</v>
      </c>
      <c r="B36" s="398"/>
      <c r="C36" s="398"/>
      <c r="D36" s="399">
        <f>SUM(D33:D35)</f>
        <v>9.7900000000000001E-2</v>
      </c>
      <c r="E36" s="400"/>
      <c r="F36" s="379">
        <f>F33+F35</f>
        <v>432.37</v>
      </c>
      <c r="G36" s="379">
        <f>G33+G35</f>
        <v>432.37</v>
      </c>
      <c r="H36" s="379">
        <f>H33+H35</f>
        <v>47.910000000000004</v>
      </c>
      <c r="I36" s="379">
        <f>I33+I35</f>
        <v>6.33</v>
      </c>
      <c r="J36" s="380">
        <f>J33+J35</f>
        <v>0</v>
      </c>
    </row>
    <row r="37" spans="1:12" ht="19.5" customHeight="1" x14ac:dyDescent="0.3">
      <c r="A37" s="670" t="s">
        <v>554</v>
      </c>
      <c r="B37" s="670"/>
      <c r="C37" s="670"/>
      <c r="D37" s="670"/>
      <c r="E37" s="670"/>
      <c r="F37" s="401">
        <f>F30+F36</f>
        <v>4758.7699999999995</v>
      </c>
      <c r="G37" s="401">
        <f>G30+G36</f>
        <v>4758.7699999999995</v>
      </c>
      <c r="H37" s="401">
        <f>H30+H36</f>
        <v>527.33000000000004</v>
      </c>
      <c r="I37" s="401">
        <f>I30+I36</f>
        <v>69.63</v>
      </c>
      <c r="J37" s="402">
        <f>J30+J36</f>
        <v>0</v>
      </c>
    </row>
    <row r="38" spans="1:12" ht="19.5" customHeight="1" x14ac:dyDescent="0.3">
      <c r="A38" s="671" t="s">
        <v>555</v>
      </c>
      <c r="B38" s="671"/>
      <c r="C38" s="671"/>
      <c r="D38" s="671"/>
      <c r="E38" s="671"/>
      <c r="F38" s="671"/>
      <c r="G38" s="671"/>
      <c r="H38" s="671"/>
      <c r="I38" s="671"/>
      <c r="J38" s="671"/>
    </row>
    <row r="39" spans="1:12" ht="19.5" customHeight="1" x14ac:dyDescent="0.3">
      <c r="A39" s="664" t="s">
        <v>319</v>
      </c>
      <c r="B39" s="664"/>
      <c r="C39" s="664"/>
      <c r="D39" s="391">
        <f>Dados!G54</f>
        <v>7.5999999999999998E-2</v>
      </c>
      <c r="E39" s="88"/>
      <c r="F39" s="88">
        <f>ROUND(($F$45*D39),2)</f>
        <v>421.77</v>
      </c>
      <c r="G39" s="88">
        <f>ROUND((G45*$D$39),2)</f>
        <v>421.77</v>
      </c>
      <c r="H39" s="88">
        <f>ROUND((H45*$D$39),2)</f>
        <v>46.74</v>
      </c>
      <c r="I39" s="88">
        <f>ROUND((I45*$D$39),2)</f>
        <v>6.17</v>
      </c>
      <c r="J39" s="369">
        <f>ROUND((J45*$D$39),2)</f>
        <v>0</v>
      </c>
    </row>
    <row r="40" spans="1:12" ht="19.5" customHeight="1" x14ac:dyDescent="0.3">
      <c r="A40" s="664" t="s">
        <v>321</v>
      </c>
      <c r="B40" s="664"/>
      <c r="C40" s="664"/>
      <c r="D40" s="391">
        <f>Dados!G55</f>
        <v>1.6500000000000001E-2</v>
      </c>
      <c r="E40" s="88"/>
      <c r="F40" s="88">
        <f>ROUND((F45*$D$40),2)</f>
        <v>91.57</v>
      </c>
      <c r="G40" s="88">
        <f>ROUND((G45*$D$40),2)</f>
        <v>91.57</v>
      </c>
      <c r="H40" s="88">
        <f>ROUND((H45*$D$40),2)</f>
        <v>10.15</v>
      </c>
      <c r="I40" s="88">
        <f>ROUND((I45*$D$40),2)</f>
        <v>1.34</v>
      </c>
      <c r="J40" s="369">
        <f>ROUND((J45*$D$40),2)</f>
        <v>0</v>
      </c>
    </row>
    <row r="41" spans="1:12" ht="19.5" customHeight="1" x14ac:dyDescent="0.3">
      <c r="A41" s="664" t="s">
        <v>322</v>
      </c>
      <c r="B41" s="664"/>
      <c r="C41" s="664"/>
      <c r="D41" s="391">
        <f>Dados!G56</f>
        <v>0.05</v>
      </c>
      <c r="E41" s="88"/>
      <c r="F41" s="88">
        <f>ROUND((F45*$D$41),2)</f>
        <v>277.48</v>
      </c>
      <c r="G41" s="88">
        <f>ROUND((G45*$D$41),2)</f>
        <v>277.48</v>
      </c>
      <c r="H41" s="88">
        <f>ROUND((H45*$D$41),2)</f>
        <v>30.75</v>
      </c>
      <c r="I41" s="88">
        <f>ROUND((I45*$D$41),2)</f>
        <v>4.0599999999999996</v>
      </c>
      <c r="J41" s="369">
        <f>ROUND((J45*$D$41),2)</f>
        <v>0</v>
      </c>
    </row>
    <row r="42" spans="1:12" ht="19.5" customHeight="1" x14ac:dyDescent="0.3">
      <c r="A42" s="664" t="s">
        <v>308</v>
      </c>
      <c r="B42" s="664"/>
      <c r="C42" s="664"/>
      <c r="D42" s="391">
        <f>Dados!G57</f>
        <v>0</v>
      </c>
      <c r="E42" s="88"/>
      <c r="F42" s="88">
        <f>ROUND((F45*$D$42),2)</f>
        <v>0</v>
      </c>
      <c r="G42" s="88">
        <f>ROUND((G45*$D$42),2)</f>
        <v>0</v>
      </c>
      <c r="H42" s="88">
        <f>ROUND((H45*$D$42),2)</f>
        <v>0</v>
      </c>
      <c r="I42" s="88">
        <f>ROUND((I45*$D$42),2)</f>
        <v>0</v>
      </c>
      <c r="J42" s="369">
        <f>ROUND((J45*$D$42),2)</f>
        <v>0</v>
      </c>
    </row>
    <row r="43" spans="1:12" ht="19.5" customHeight="1" x14ac:dyDescent="0.3">
      <c r="A43" s="673" t="s">
        <v>556</v>
      </c>
      <c r="B43" s="673"/>
      <c r="C43" s="673"/>
      <c r="D43" s="403">
        <f>SUM(D39:D42)</f>
        <v>0.14250000000000002</v>
      </c>
      <c r="E43" s="404"/>
      <c r="F43" s="405">
        <f>SUM(F39:F42)</f>
        <v>790.81999999999994</v>
      </c>
      <c r="G43" s="405">
        <f>SUM(G39:G42)</f>
        <v>790.81999999999994</v>
      </c>
      <c r="H43" s="405">
        <f>SUM(H39:H42)</f>
        <v>87.64</v>
      </c>
      <c r="I43" s="405">
        <f>SUM(I39:I42)</f>
        <v>11.57</v>
      </c>
      <c r="J43" s="406">
        <f>SUM(J39:J41)</f>
        <v>0</v>
      </c>
    </row>
    <row r="44" spans="1:12" ht="19.5" customHeight="1" x14ac:dyDescent="0.3">
      <c r="A44" s="674" t="str">
        <f>CONCATENATE("Custo Mensal - ",A7)</f>
        <v>Custo Mensal - Assistente Administrativo</v>
      </c>
      <c r="B44" s="674"/>
      <c r="C44" s="674"/>
      <c r="D44" s="674"/>
      <c r="E44" s="674"/>
      <c r="F44" s="407">
        <f>ROUND(F37/(1-D43),2)</f>
        <v>5549.59</v>
      </c>
      <c r="G44" s="407">
        <f>ROUND(G37/(1-D43),2)</f>
        <v>5549.59</v>
      </c>
      <c r="H44" s="407">
        <f>ROUND(H37/(1-D43),2)</f>
        <v>614.96</v>
      </c>
      <c r="I44" s="407">
        <f>ROUND(I37/(1-D43),2)</f>
        <v>81.2</v>
      </c>
      <c r="J44" s="408">
        <f>ROUND(J37/(1-D43),2)</f>
        <v>0</v>
      </c>
    </row>
    <row r="45" spans="1:12" ht="19.5" customHeight="1" x14ac:dyDescent="0.3">
      <c r="A45" s="674" t="str">
        <f>CONCATENATE("Valor do Custo Mensal - ",A7)</f>
        <v>Valor do Custo Mensal - Assistente Administrativo</v>
      </c>
      <c r="B45" s="674"/>
      <c r="C45" s="674"/>
      <c r="D45" s="674"/>
      <c r="E45" s="674"/>
      <c r="F45" s="407">
        <f>F44</f>
        <v>5549.59</v>
      </c>
      <c r="G45" s="407">
        <f>G44</f>
        <v>5549.59</v>
      </c>
      <c r="H45" s="407">
        <f>H44</f>
        <v>614.96</v>
      </c>
      <c r="I45" s="407">
        <f>I44</f>
        <v>81.2</v>
      </c>
      <c r="J45" s="408">
        <f>J44</f>
        <v>0</v>
      </c>
      <c r="K45" s="409"/>
      <c r="L45" s="409"/>
    </row>
    <row r="46" spans="1:12" ht="27.75" customHeight="1" x14ac:dyDescent="0.3">
      <c r="A46" s="675" t="s">
        <v>557</v>
      </c>
      <c r="B46" s="675"/>
      <c r="C46" s="675"/>
      <c r="D46" s="675"/>
      <c r="E46" s="675"/>
      <c r="F46" s="410">
        <f>(F45/F14)</f>
        <v>2.6917804896977224</v>
      </c>
      <c r="G46" s="410">
        <f>(G45/G14)</f>
        <v>2.6917804896977224</v>
      </c>
      <c r="H46" s="672" t="s">
        <v>558</v>
      </c>
      <c r="I46" s="672"/>
      <c r="J46" s="411">
        <v>0</v>
      </c>
    </row>
    <row r="47" spans="1:12" ht="19.5" customHeight="1" x14ac:dyDescent="0.3"/>
  </sheetData>
  <sheetProtection algorithmName="SHA-512" hashValue="HcIHuFYx+vAdHNgrpmb7JA7NxaiW3UkeHGKL56DZVzsQPg+d8WFYL8r85OaNdIzxqeGpjBYrauklFMroslm5ug==" saltValue="IyY1oYMs/GLX0UOyR8niGg==" spinCount="100000" sheet="1" objects="1" scenarios="1"/>
  <mergeCells count="49">
    <mergeCell ref="H46:I46"/>
    <mergeCell ref="A42:C42"/>
    <mergeCell ref="A43:C43"/>
    <mergeCell ref="A44:E44"/>
    <mergeCell ref="A45:E45"/>
    <mergeCell ref="A46:E46"/>
    <mergeCell ref="A37:E37"/>
    <mergeCell ref="A38:J38"/>
    <mergeCell ref="A39:C39"/>
    <mergeCell ref="A40:C40"/>
    <mergeCell ref="A41:C41"/>
    <mergeCell ref="A30:E30"/>
    <mergeCell ref="A31:J31"/>
    <mergeCell ref="A32:C32"/>
    <mergeCell ref="E32:J32"/>
    <mergeCell ref="A34:C34"/>
    <mergeCell ref="A24:B24"/>
    <mergeCell ref="A25:B25"/>
    <mergeCell ref="A26:B26"/>
    <mergeCell ref="A28:B28"/>
    <mergeCell ref="A29:E29"/>
    <mergeCell ref="A19:B19"/>
    <mergeCell ref="A20:B20"/>
    <mergeCell ref="A21:B21"/>
    <mergeCell ref="A22:B22"/>
    <mergeCell ref="A23:B23"/>
    <mergeCell ref="A16:E16"/>
    <mergeCell ref="A17:J17"/>
    <mergeCell ref="A18:B18"/>
    <mergeCell ref="D18:E18"/>
    <mergeCell ref="F18:J18"/>
    <mergeCell ref="A9:J9"/>
    <mergeCell ref="B10:C10"/>
    <mergeCell ref="F10:J10"/>
    <mergeCell ref="A11:A15"/>
    <mergeCell ref="B11:C11"/>
    <mergeCell ref="B12:C12"/>
    <mergeCell ref="B14:E14"/>
    <mergeCell ref="B15:D15"/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</mergeCells>
  <printOptions horizontalCentered="1" verticalCentered="1"/>
  <pageMargins left="0.51180555555555596" right="0.51180555555555596" top="0.78749999999999998" bottom="0.78749999999999998" header="0.511811023622047" footer="0.511811023622047"/>
  <pageSetup paperSize="9" scale="60" fitToHeight="2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MK47"/>
  <sheetViews>
    <sheetView showGridLines="0" view="pageBreakPreview" zoomScaleNormal="100" workbookViewId="0">
      <selection activeCell="J21" sqref="J21"/>
    </sheetView>
  </sheetViews>
  <sheetFormatPr defaultColWidth="8.6640625" defaultRowHeight="14.4" x14ac:dyDescent="0.3"/>
  <cols>
    <col min="1" max="1" width="10.5546875" style="55" customWidth="1"/>
    <col min="2" max="2" width="27.6640625" style="55" customWidth="1"/>
    <col min="3" max="3" width="14.44140625" style="55" customWidth="1"/>
    <col min="4" max="5" width="15" style="55" customWidth="1"/>
    <col min="6" max="6" width="16.6640625" style="355" customWidth="1"/>
    <col min="7" max="8" width="13.109375" style="355" customWidth="1"/>
    <col min="9" max="10" width="12.5546875" style="355" customWidth="1"/>
    <col min="11" max="257" width="9.109375" style="55" customWidth="1"/>
    <col min="258" max="258" width="10.5546875" style="55" customWidth="1"/>
    <col min="259" max="259" width="27.6640625" style="55" customWidth="1"/>
    <col min="260" max="260" width="14.44140625" style="55" customWidth="1"/>
    <col min="261" max="262" width="15" style="55" customWidth="1"/>
    <col min="263" max="263" width="16.6640625" style="55" customWidth="1"/>
    <col min="264" max="264" width="13.109375" style="55" customWidth="1"/>
    <col min="265" max="266" width="12.5546875" style="55" customWidth="1"/>
    <col min="267" max="513" width="9.109375" style="55" customWidth="1"/>
    <col min="514" max="514" width="10.5546875" style="55" customWidth="1"/>
    <col min="515" max="515" width="27.6640625" style="55" customWidth="1"/>
    <col min="516" max="516" width="14.44140625" style="55" customWidth="1"/>
    <col min="517" max="518" width="15" style="55" customWidth="1"/>
    <col min="519" max="519" width="16.6640625" style="55" customWidth="1"/>
    <col min="520" max="520" width="13.109375" style="55" customWidth="1"/>
    <col min="521" max="522" width="12.5546875" style="55" customWidth="1"/>
    <col min="523" max="769" width="9.109375" style="55" customWidth="1"/>
    <col min="770" max="770" width="10.5546875" style="55" customWidth="1"/>
    <col min="771" max="771" width="27.6640625" style="55" customWidth="1"/>
    <col min="772" max="772" width="14.44140625" style="55" customWidth="1"/>
    <col min="773" max="774" width="15" style="55" customWidth="1"/>
    <col min="775" max="775" width="16.6640625" style="55" customWidth="1"/>
    <col min="776" max="776" width="13.109375" style="55" customWidth="1"/>
    <col min="777" max="778" width="12.5546875" style="55" customWidth="1"/>
    <col min="779" max="1025" width="9.109375" style="55" customWidth="1"/>
  </cols>
  <sheetData>
    <row r="1" spans="1:10" x14ac:dyDescent="0.3">
      <c r="A1" s="356"/>
      <c r="B1" s="77" t="str">
        <f>INSTRUÇÕES!B1</f>
        <v>Tribunal Regional Federal da 6ª Região</v>
      </c>
      <c r="C1" s="357"/>
      <c r="D1" s="357"/>
      <c r="E1" s="357"/>
      <c r="F1" s="358"/>
      <c r="G1" s="359"/>
      <c r="H1" s="359"/>
      <c r="I1" s="358"/>
      <c r="J1" s="360"/>
    </row>
    <row r="2" spans="1:10" x14ac:dyDescent="0.3">
      <c r="A2" s="361"/>
      <c r="B2" s="80" t="str">
        <f>INSTRUÇÕES!B2</f>
        <v>Seção Judiciária de Minas Gerais</v>
      </c>
      <c r="C2" s="47"/>
      <c r="D2" s="47"/>
      <c r="E2" s="47"/>
      <c r="F2" s="362"/>
      <c r="I2" s="362"/>
      <c r="J2" s="363"/>
    </row>
    <row r="3" spans="1:10" x14ac:dyDescent="0.3">
      <c r="A3" s="172"/>
      <c r="B3" s="294" t="str">
        <f>INSTRUÇÕES!B3</f>
        <v>Subseção Judiciária de Governador Valadares</v>
      </c>
      <c r="C3" s="47"/>
      <c r="D3" s="47"/>
      <c r="E3" s="47"/>
      <c r="F3" s="362"/>
      <c r="I3" s="362"/>
      <c r="J3" s="363"/>
    </row>
    <row r="4" spans="1:10" ht="19.5" customHeight="1" x14ac:dyDescent="0.3">
      <c r="A4" s="646" t="s">
        <v>523</v>
      </c>
      <c r="B4" s="646"/>
      <c r="C4" s="646"/>
      <c r="D4" s="646"/>
      <c r="E4" s="646"/>
      <c r="F4" s="646"/>
      <c r="G4" s="646"/>
      <c r="H4" s="646"/>
      <c r="I4" s="646"/>
      <c r="J4" s="646"/>
    </row>
    <row r="5" spans="1:10" ht="19.5" customHeight="1" x14ac:dyDescent="0.3">
      <c r="A5" s="647" t="s">
        <v>360</v>
      </c>
      <c r="B5" s="647"/>
      <c r="C5" s="647"/>
      <c r="D5" s="647"/>
      <c r="E5" s="647"/>
      <c r="F5" s="647"/>
      <c r="G5" s="647"/>
      <c r="H5" s="647"/>
      <c r="I5" s="647"/>
      <c r="J5" s="647"/>
    </row>
    <row r="6" spans="1:10" s="1" customFormat="1" ht="36" customHeight="1" x14ac:dyDescent="0.3">
      <c r="A6" s="648" t="str">
        <f>Dados!A4</f>
        <v>Sindicato utilizado - SETHAC-GV e SEAC/MG. Vigência: 01/01/2024 à 31/12/2024. Sendo a data base da categoria 1º de Janeiro. Com número de registro no MTE MG000439/2024.</v>
      </c>
      <c r="B6" s="648"/>
      <c r="C6" s="648"/>
      <c r="D6" s="648"/>
      <c r="E6" s="648"/>
      <c r="F6" s="648"/>
      <c r="G6" s="648"/>
      <c r="H6" s="648"/>
      <c r="I6" s="648"/>
      <c r="J6" s="648"/>
    </row>
    <row r="7" spans="1:10" ht="19.5" customHeight="1" x14ac:dyDescent="0.3">
      <c r="A7" s="649" t="str">
        <f>Dados!C13</f>
        <v>Assistente Administrativo</v>
      </c>
      <c r="B7" s="649"/>
      <c r="C7" s="649"/>
      <c r="D7" s="649"/>
      <c r="E7" s="649"/>
      <c r="F7" s="650" t="s">
        <v>524</v>
      </c>
      <c r="G7" s="650" t="s">
        <v>525</v>
      </c>
      <c r="H7" s="650" t="s">
        <v>526</v>
      </c>
      <c r="I7" s="650" t="s">
        <v>527</v>
      </c>
      <c r="J7" s="650" t="s">
        <v>528</v>
      </c>
    </row>
    <row r="8" spans="1:10" ht="19.5" customHeight="1" x14ac:dyDescent="0.3">
      <c r="A8" s="651" t="s">
        <v>637</v>
      </c>
      <c r="B8" s="651"/>
      <c r="C8" s="651"/>
      <c r="D8" s="651"/>
      <c r="E8" s="364" t="s">
        <v>436</v>
      </c>
      <c r="F8" s="650"/>
      <c r="G8" s="650"/>
      <c r="H8" s="650"/>
      <c r="I8" s="650"/>
      <c r="J8" s="650"/>
    </row>
    <row r="9" spans="1:10" ht="19.5" customHeight="1" x14ac:dyDescent="0.3">
      <c r="A9" s="652" t="s">
        <v>530</v>
      </c>
      <c r="B9" s="652"/>
      <c r="C9" s="652"/>
      <c r="D9" s="652"/>
      <c r="E9" s="652"/>
      <c r="F9" s="652"/>
      <c r="G9" s="652"/>
      <c r="H9" s="652"/>
      <c r="I9" s="652"/>
      <c r="J9" s="652"/>
    </row>
    <row r="10" spans="1:10" ht="24" customHeight="1" x14ac:dyDescent="0.3">
      <c r="A10" s="177" t="s">
        <v>437</v>
      </c>
      <c r="B10" s="653" t="s">
        <v>531</v>
      </c>
      <c r="C10" s="653"/>
      <c r="D10" s="365" t="s">
        <v>532</v>
      </c>
      <c r="E10" s="366" t="s">
        <v>533</v>
      </c>
      <c r="F10" s="654" t="s">
        <v>440</v>
      </c>
      <c r="G10" s="654"/>
      <c r="H10" s="654"/>
      <c r="I10" s="654"/>
      <c r="J10" s="654"/>
    </row>
    <row r="11" spans="1:10" ht="19.5" customHeight="1" x14ac:dyDescent="0.3">
      <c r="A11" s="655">
        <v>1</v>
      </c>
      <c r="B11" s="563" t="str">
        <f>A7</f>
        <v>Assistente Administrativo</v>
      </c>
      <c r="C11" s="563"/>
      <c r="D11" s="25">
        <f>Dados!$D$13</f>
        <v>220</v>
      </c>
      <c r="E11" s="368">
        <f>Dados!$E$13</f>
        <v>2267.85</v>
      </c>
      <c r="F11" s="88">
        <f>ROUND(E11/220*D11,2)</f>
        <v>2267.85</v>
      </c>
      <c r="G11" s="88">
        <f>F11</f>
        <v>2267.85</v>
      </c>
      <c r="H11" s="88"/>
      <c r="I11" s="88"/>
      <c r="J11" s="369"/>
    </row>
    <row r="12" spans="1:10" ht="19.5" customHeight="1" x14ac:dyDescent="0.3">
      <c r="A12" s="655"/>
      <c r="B12" s="563" t="s">
        <v>534</v>
      </c>
      <c r="C12" s="563"/>
      <c r="D12" s="529">
        <f>Dados!G8</f>
        <v>0</v>
      </c>
      <c r="E12" s="368">
        <f>Dados!$G$30</f>
        <v>1518</v>
      </c>
      <c r="F12" s="88">
        <f>D12*E12</f>
        <v>0</v>
      </c>
      <c r="G12" s="88">
        <f>F12</f>
        <v>0</v>
      </c>
      <c r="H12" s="88"/>
      <c r="I12" s="88"/>
      <c r="J12" s="369">
        <f>F12</f>
        <v>0</v>
      </c>
    </row>
    <row r="13" spans="1:10" ht="21.75" customHeight="1" x14ac:dyDescent="0.3">
      <c r="A13" s="655"/>
      <c r="B13" s="530" t="s">
        <v>535</v>
      </c>
      <c r="C13" s="395">
        <f>Dados!$I$13</f>
        <v>0</v>
      </c>
      <c r="D13" s="395">
        <f>Dados!$J$13</f>
        <v>0</v>
      </c>
      <c r="E13" s="373">
        <f>Dados!$K$13</f>
        <v>0</v>
      </c>
      <c r="F13" s="374">
        <f>ROUND((E13*D13*C13),2)</f>
        <v>0</v>
      </c>
      <c r="G13" s="374">
        <f>F13</f>
        <v>0</v>
      </c>
      <c r="H13" s="374"/>
      <c r="I13" s="374"/>
      <c r="J13" s="375"/>
    </row>
    <row r="14" spans="1:10" ht="19.5" customHeight="1" x14ac:dyDescent="0.3">
      <c r="A14" s="655"/>
      <c r="B14" s="657" t="s">
        <v>536</v>
      </c>
      <c r="C14" s="657"/>
      <c r="D14" s="657"/>
      <c r="E14" s="657"/>
      <c r="F14" s="376">
        <f>SUM(F11:F13)</f>
        <v>2267.85</v>
      </c>
      <c r="G14" s="376">
        <f>SUM(G11:G13)</f>
        <v>2267.85</v>
      </c>
      <c r="H14" s="376">
        <f>SUM(H11:H13)</f>
        <v>0</v>
      </c>
      <c r="I14" s="376">
        <f>SUM(I11:I13)</f>
        <v>0</v>
      </c>
      <c r="J14" s="377">
        <f>SUM(J11:J13)</f>
        <v>0</v>
      </c>
    </row>
    <row r="15" spans="1:10" ht="19.5" customHeight="1" x14ac:dyDescent="0.3">
      <c r="A15" s="655"/>
      <c r="B15" s="658" t="s">
        <v>537</v>
      </c>
      <c r="C15" s="658"/>
      <c r="D15" s="658"/>
      <c r="E15" s="306">
        <f>Encargos!$C$57</f>
        <v>0.79049999999999998</v>
      </c>
      <c r="F15" s="88">
        <f>ROUND((E15*F14),2)</f>
        <v>1792.74</v>
      </c>
      <c r="G15" s="88">
        <f>F15</f>
        <v>1792.74</v>
      </c>
      <c r="H15" s="88"/>
      <c r="I15" s="88"/>
      <c r="J15" s="369">
        <f>ROUND((E15*J14),2)</f>
        <v>0</v>
      </c>
    </row>
    <row r="16" spans="1:10" ht="19.5" customHeight="1" x14ac:dyDescent="0.3">
      <c r="A16" s="659" t="s">
        <v>538</v>
      </c>
      <c r="B16" s="659"/>
      <c r="C16" s="659"/>
      <c r="D16" s="659"/>
      <c r="E16" s="659"/>
      <c r="F16" s="379">
        <f>SUM(F14:F15)</f>
        <v>4060.59</v>
      </c>
      <c r="G16" s="379">
        <f>SUM(G14:G15)</f>
        <v>4060.59</v>
      </c>
      <c r="H16" s="379">
        <f>SUM(H14:H15)</f>
        <v>0</v>
      </c>
      <c r="I16" s="379">
        <f>SUM(I14:I15)</f>
        <v>0</v>
      </c>
      <c r="J16" s="380">
        <f>SUM(J14:J15)</f>
        <v>0</v>
      </c>
    </row>
    <row r="17" spans="1:12" ht="19.5" customHeight="1" x14ac:dyDescent="0.3">
      <c r="A17" s="660" t="s">
        <v>539</v>
      </c>
      <c r="B17" s="660"/>
      <c r="C17" s="660"/>
      <c r="D17" s="660"/>
      <c r="E17" s="660"/>
      <c r="F17" s="660"/>
      <c r="G17" s="660"/>
      <c r="H17" s="660"/>
      <c r="I17" s="660"/>
      <c r="J17" s="660"/>
    </row>
    <row r="18" spans="1:12" ht="19.5" customHeight="1" x14ac:dyDescent="0.3">
      <c r="A18" s="661" t="s">
        <v>540</v>
      </c>
      <c r="B18" s="661"/>
      <c r="C18" s="92" t="s">
        <v>439</v>
      </c>
      <c r="D18" s="662" t="s">
        <v>541</v>
      </c>
      <c r="E18" s="662"/>
      <c r="F18" s="663" t="s">
        <v>440</v>
      </c>
      <c r="G18" s="663"/>
      <c r="H18" s="663"/>
      <c r="I18" s="663"/>
      <c r="J18" s="663"/>
    </row>
    <row r="19" spans="1:12" ht="19.5" customHeight="1" x14ac:dyDescent="0.3">
      <c r="A19" s="664" t="s">
        <v>542</v>
      </c>
      <c r="B19" s="664"/>
      <c r="C19" s="382"/>
      <c r="D19" s="382"/>
      <c r="E19" s="382"/>
      <c r="F19" s="88">
        <f>Dados!$N$13</f>
        <v>42.25</v>
      </c>
      <c r="G19" s="88">
        <f>F19</f>
        <v>42.25</v>
      </c>
      <c r="H19" s="88"/>
      <c r="I19" s="88"/>
      <c r="J19" s="369"/>
    </row>
    <row r="20" spans="1:12" ht="19.5" customHeight="1" x14ac:dyDescent="0.3">
      <c r="A20" s="664" t="s">
        <v>543</v>
      </c>
      <c r="B20" s="664"/>
      <c r="C20" s="382"/>
      <c r="D20" s="382"/>
      <c r="E20" s="382"/>
      <c r="F20" s="88">
        <f>Dados!$G$33</f>
        <v>2.84</v>
      </c>
      <c r="G20" s="88">
        <f>F20</f>
        <v>2.84</v>
      </c>
      <c r="H20" s="88"/>
      <c r="I20" s="88"/>
      <c r="J20" s="369"/>
    </row>
    <row r="21" spans="1:12" ht="23.25" customHeight="1" x14ac:dyDescent="0.3">
      <c r="A21" s="665" t="s">
        <v>295</v>
      </c>
      <c r="B21" s="665"/>
      <c r="C21" s="382"/>
      <c r="D21" s="382"/>
      <c r="E21" s="382"/>
      <c r="F21" s="88">
        <f>Dados!G34</f>
        <v>47.15</v>
      </c>
      <c r="G21" s="88">
        <f>F21</f>
        <v>47.15</v>
      </c>
      <c r="H21" s="88"/>
      <c r="I21" s="88"/>
      <c r="J21" s="369"/>
    </row>
    <row r="22" spans="1:12" ht="19.5" customHeight="1" x14ac:dyDescent="0.3">
      <c r="A22" s="664" t="s">
        <v>296</v>
      </c>
      <c r="B22" s="664"/>
      <c r="C22" s="383">
        <f>Dados!$G$37</f>
        <v>22</v>
      </c>
      <c r="D22" s="383">
        <f>Dados!$G$36</f>
        <v>2</v>
      </c>
      <c r="E22" s="382">
        <f>Dados!$G$35</f>
        <v>4.25</v>
      </c>
      <c r="F22" s="88">
        <f>IF(ROUND((E22*D22*C22)-(F11*Dados!$G$38),2)&lt;0,0,ROUND((E22*D22*C22)-(F11*Dados!$G$38),2))</f>
        <v>50.93</v>
      </c>
      <c r="G22" s="88">
        <f>F22</f>
        <v>50.93</v>
      </c>
      <c r="H22" s="88"/>
      <c r="I22" s="88">
        <f>F22</f>
        <v>50.93</v>
      </c>
      <c r="J22" s="369"/>
    </row>
    <row r="23" spans="1:12" ht="19.5" customHeight="1" x14ac:dyDescent="0.3">
      <c r="A23" s="664" t="s">
        <v>305</v>
      </c>
      <c r="B23" s="664"/>
      <c r="C23" s="383">
        <f>Dados!G40</f>
        <v>22</v>
      </c>
      <c r="D23" s="384">
        <f>Dados!G41</f>
        <v>0.2</v>
      </c>
      <c r="E23" s="382">
        <f>Dados!$G$39</f>
        <v>27.24</v>
      </c>
      <c r="F23" s="228">
        <f>ROUND((IF(D11&gt;150,((C23*E23)-(C23*(D23*E23))),0)),2)</f>
        <v>479.42</v>
      </c>
      <c r="G23" s="88">
        <f>F23</f>
        <v>479.42</v>
      </c>
      <c r="H23" s="88">
        <f>$F$23</f>
        <v>479.42</v>
      </c>
      <c r="I23" s="228"/>
      <c r="J23" s="369"/>
    </row>
    <row r="24" spans="1:12" ht="19.5" customHeight="1" x14ac:dyDescent="0.3">
      <c r="A24" s="664" t="s">
        <v>308</v>
      </c>
      <c r="B24" s="664"/>
      <c r="C24" s="383"/>
      <c r="D24" s="383"/>
      <c r="E24" s="382"/>
      <c r="F24" s="228">
        <f>Dados!$G$42</f>
        <v>0</v>
      </c>
      <c r="G24" s="88"/>
      <c r="H24" s="88"/>
      <c r="I24" s="228"/>
      <c r="J24" s="369"/>
    </row>
    <row r="25" spans="1:12" ht="19.5" customHeight="1" x14ac:dyDescent="0.3">
      <c r="A25" s="664" t="s">
        <v>308</v>
      </c>
      <c r="B25" s="664"/>
      <c r="C25" s="383"/>
      <c r="D25" s="383"/>
      <c r="E25" s="382"/>
      <c r="F25" s="228">
        <f>Dados!$G$43</f>
        <v>0</v>
      </c>
      <c r="G25" s="88"/>
      <c r="H25" s="88"/>
      <c r="I25" s="228"/>
      <c r="J25" s="369"/>
    </row>
    <row r="26" spans="1:12" ht="19.5" customHeight="1" x14ac:dyDescent="0.3">
      <c r="A26" s="664" t="s">
        <v>544</v>
      </c>
      <c r="B26" s="664"/>
      <c r="C26" s="383"/>
      <c r="D26" s="382"/>
      <c r="E26" s="382"/>
      <c r="F26" s="88"/>
      <c r="G26" s="88"/>
      <c r="H26" s="88"/>
      <c r="I26" s="88"/>
      <c r="J26" s="369"/>
      <c r="L26" s="386"/>
    </row>
    <row r="27" spans="1:12" ht="19.5" customHeight="1" x14ac:dyDescent="0.3">
      <c r="A27" s="381" t="s">
        <v>545</v>
      </c>
      <c r="B27" s="310"/>
      <c r="C27" s="383"/>
      <c r="D27" s="382"/>
      <c r="E27" s="382"/>
      <c r="F27" s="88"/>
      <c r="G27" s="88"/>
      <c r="H27" s="88"/>
      <c r="I27" s="88"/>
      <c r="J27" s="369"/>
    </row>
    <row r="28" spans="1:12" ht="19.5" customHeight="1" x14ac:dyDescent="0.3">
      <c r="A28" s="666" t="s">
        <v>546</v>
      </c>
      <c r="B28" s="666"/>
      <c r="C28" s="387"/>
      <c r="D28" s="388"/>
      <c r="E28" s="388"/>
      <c r="F28" s="374"/>
      <c r="G28" s="374"/>
      <c r="H28" s="374"/>
      <c r="I28" s="374"/>
      <c r="J28" s="375"/>
    </row>
    <row r="29" spans="1:12" ht="19.5" customHeight="1" x14ac:dyDescent="0.3">
      <c r="A29" s="667" t="s">
        <v>547</v>
      </c>
      <c r="B29" s="667"/>
      <c r="C29" s="667"/>
      <c r="D29" s="667"/>
      <c r="E29" s="667"/>
      <c r="F29" s="379">
        <f>SUM(F19:F28)</f>
        <v>622.59</v>
      </c>
      <c r="G29" s="379">
        <f>SUM(G19:G28)</f>
        <v>622.59</v>
      </c>
      <c r="H29" s="379">
        <f>SUM(H19:H28)</f>
        <v>479.42</v>
      </c>
      <c r="I29" s="379">
        <f>SUM(I19:I28)</f>
        <v>50.93</v>
      </c>
      <c r="J29" s="380">
        <f>SUM(J19:J28)</f>
        <v>0</v>
      </c>
    </row>
    <row r="30" spans="1:12" ht="19.5" customHeight="1" x14ac:dyDescent="0.3">
      <c r="A30" s="667" t="s">
        <v>548</v>
      </c>
      <c r="B30" s="667"/>
      <c r="C30" s="667"/>
      <c r="D30" s="667"/>
      <c r="E30" s="667"/>
      <c r="F30" s="379">
        <f>F16+F29</f>
        <v>4683.18</v>
      </c>
      <c r="G30" s="379">
        <f>G16+G29</f>
        <v>4683.18</v>
      </c>
      <c r="H30" s="379">
        <f>H16+H29</f>
        <v>479.42</v>
      </c>
      <c r="I30" s="379">
        <f>I16+I29</f>
        <v>50.93</v>
      </c>
      <c r="J30" s="380">
        <f>J16+J29</f>
        <v>0</v>
      </c>
    </row>
    <row r="31" spans="1:12" ht="19.5" customHeight="1" x14ac:dyDescent="0.3">
      <c r="A31" s="652" t="s">
        <v>549</v>
      </c>
      <c r="B31" s="652"/>
      <c r="C31" s="652"/>
      <c r="D31" s="652"/>
      <c r="E31" s="652"/>
      <c r="F31" s="652"/>
      <c r="G31" s="652"/>
      <c r="H31" s="652"/>
      <c r="I31" s="652"/>
      <c r="J31" s="652"/>
    </row>
    <row r="32" spans="1:12" ht="19.5" customHeight="1" x14ac:dyDescent="0.3">
      <c r="A32" s="661" t="s">
        <v>550</v>
      </c>
      <c r="B32" s="661"/>
      <c r="C32" s="661"/>
      <c r="D32" s="91" t="s">
        <v>489</v>
      </c>
      <c r="E32" s="668" t="s">
        <v>440</v>
      </c>
      <c r="F32" s="668"/>
      <c r="G32" s="668"/>
      <c r="H32" s="668"/>
      <c r="I32" s="668"/>
      <c r="J32" s="668"/>
    </row>
    <row r="33" spans="1:12" ht="19.5" customHeight="1" x14ac:dyDescent="0.3">
      <c r="A33" s="389" t="s">
        <v>551</v>
      </c>
      <c r="B33" s="390"/>
      <c r="C33" s="390"/>
      <c r="D33" s="391">
        <f>Dados!$G$46</f>
        <v>0.03</v>
      </c>
      <c r="E33" s="392"/>
      <c r="F33" s="88">
        <f>ROUND((F30*$D$33),2)</f>
        <v>140.5</v>
      </c>
      <c r="G33" s="88">
        <f>ROUND((G30*$D$33),2)</f>
        <v>140.5</v>
      </c>
      <c r="H33" s="88">
        <f>ROUND((H30*$D$33),2)</f>
        <v>14.38</v>
      </c>
      <c r="I33" s="88">
        <f>ROUND((I30*$D$33),2)</f>
        <v>1.53</v>
      </c>
      <c r="J33" s="369">
        <f>ROUND((J30*$D$33),2)</f>
        <v>0</v>
      </c>
    </row>
    <row r="34" spans="1:12" ht="19.5" customHeight="1" x14ac:dyDescent="0.3">
      <c r="A34" s="669" t="s">
        <v>552</v>
      </c>
      <c r="B34" s="669"/>
      <c r="C34" s="669"/>
      <c r="D34" s="391"/>
      <c r="E34" s="392"/>
      <c r="F34" s="88">
        <f>F30+F33</f>
        <v>4823.68</v>
      </c>
      <c r="G34" s="88">
        <f>G30+G33</f>
        <v>4823.68</v>
      </c>
      <c r="H34" s="88">
        <f>H30+H33</f>
        <v>493.8</v>
      </c>
      <c r="I34" s="88">
        <f>I30+I33</f>
        <v>52.46</v>
      </c>
      <c r="J34" s="369">
        <f>J30+J33</f>
        <v>0</v>
      </c>
    </row>
    <row r="35" spans="1:12" ht="19.5" customHeight="1" x14ac:dyDescent="0.3">
      <c r="A35" s="393" t="s">
        <v>313</v>
      </c>
      <c r="B35" s="394"/>
      <c r="C35" s="394"/>
      <c r="D35" s="395">
        <f>Dados!$G$47</f>
        <v>6.7900000000000002E-2</v>
      </c>
      <c r="E35" s="396"/>
      <c r="F35" s="374">
        <f>ROUND((F34*$D$35),2)</f>
        <v>327.52999999999997</v>
      </c>
      <c r="G35" s="374">
        <f>ROUND((G34*$D$35),2)</f>
        <v>327.52999999999997</v>
      </c>
      <c r="H35" s="374">
        <f>ROUND((H34*$D$35),2)</f>
        <v>33.53</v>
      </c>
      <c r="I35" s="374">
        <f>ROUND((I34*$D$35),2)</f>
        <v>3.56</v>
      </c>
      <c r="J35" s="375">
        <f>ROUND((J34*$D$35),2)</f>
        <v>0</v>
      </c>
    </row>
    <row r="36" spans="1:12" ht="19.5" customHeight="1" x14ac:dyDescent="0.3">
      <c r="A36" s="397" t="s">
        <v>553</v>
      </c>
      <c r="B36" s="398"/>
      <c r="C36" s="398"/>
      <c r="D36" s="399">
        <f>SUM(D33:D35)</f>
        <v>9.7900000000000001E-2</v>
      </c>
      <c r="E36" s="400"/>
      <c r="F36" s="379">
        <f>F33+F35</f>
        <v>468.03</v>
      </c>
      <c r="G36" s="379">
        <f>G33+G35</f>
        <v>468.03</v>
      </c>
      <c r="H36" s="379">
        <f>H33+H35</f>
        <v>47.910000000000004</v>
      </c>
      <c r="I36" s="379">
        <f>I33+I35</f>
        <v>5.09</v>
      </c>
      <c r="J36" s="380">
        <f>J33+J35</f>
        <v>0</v>
      </c>
    </row>
    <row r="37" spans="1:12" ht="19.5" customHeight="1" x14ac:dyDescent="0.3">
      <c r="A37" s="670" t="s">
        <v>554</v>
      </c>
      <c r="B37" s="670"/>
      <c r="C37" s="670"/>
      <c r="D37" s="670"/>
      <c r="E37" s="670"/>
      <c r="F37" s="401">
        <f>F30+F36</f>
        <v>5151.21</v>
      </c>
      <c r="G37" s="401">
        <f>G30+G36</f>
        <v>5151.21</v>
      </c>
      <c r="H37" s="401">
        <f>H30+H36</f>
        <v>527.33000000000004</v>
      </c>
      <c r="I37" s="401">
        <f>I30+I36</f>
        <v>56.019999999999996</v>
      </c>
      <c r="J37" s="402">
        <f>J30+J36</f>
        <v>0</v>
      </c>
    </row>
    <row r="38" spans="1:12" ht="19.5" customHeight="1" x14ac:dyDescent="0.3">
      <c r="A38" s="671" t="s">
        <v>555</v>
      </c>
      <c r="B38" s="671"/>
      <c r="C38" s="671"/>
      <c r="D38" s="671"/>
      <c r="E38" s="671"/>
      <c r="F38" s="671"/>
      <c r="G38" s="671"/>
      <c r="H38" s="671"/>
      <c r="I38" s="671"/>
      <c r="J38" s="671"/>
    </row>
    <row r="39" spans="1:12" ht="19.5" customHeight="1" x14ac:dyDescent="0.3">
      <c r="A39" s="664" t="s">
        <v>319</v>
      </c>
      <c r="B39" s="664"/>
      <c r="C39" s="664"/>
      <c r="D39" s="391">
        <f>Dados!G54</f>
        <v>7.5999999999999998E-2</v>
      </c>
      <c r="E39" s="88"/>
      <c r="F39" s="88">
        <f>ROUND(($F$45*D39),2)</f>
        <v>456.55</v>
      </c>
      <c r="G39" s="88">
        <f>ROUND((G45*$D$39),2)</f>
        <v>456.55</v>
      </c>
      <c r="H39" s="88">
        <f>ROUND((H45*$D$39),2)</f>
        <v>46.74</v>
      </c>
      <c r="I39" s="88">
        <f>ROUND((I45*$D$39),2)</f>
        <v>4.97</v>
      </c>
      <c r="J39" s="369">
        <f>ROUND((J45*$D$39),2)</f>
        <v>0</v>
      </c>
    </row>
    <row r="40" spans="1:12" ht="19.5" customHeight="1" x14ac:dyDescent="0.3">
      <c r="A40" s="664" t="s">
        <v>321</v>
      </c>
      <c r="B40" s="664"/>
      <c r="C40" s="664"/>
      <c r="D40" s="391">
        <f>Dados!G55</f>
        <v>1.6500000000000001E-2</v>
      </c>
      <c r="E40" s="88"/>
      <c r="F40" s="88">
        <f>ROUND((F45*$D$40),2)</f>
        <v>99.12</v>
      </c>
      <c r="G40" s="88">
        <f>ROUND((G45*$D$40),2)</f>
        <v>99.12</v>
      </c>
      <c r="H40" s="88">
        <f>ROUND((H45*$D$40),2)</f>
        <v>10.15</v>
      </c>
      <c r="I40" s="88">
        <f>ROUND((I45*$D$40),2)</f>
        <v>1.08</v>
      </c>
      <c r="J40" s="369">
        <f>ROUND((J45*$D$40),2)</f>
        <v>0</v>
      </c>
    </row>
    <row r="41" spans="1:12" ht="19.5" customHeight="1" x14ac:dyDescent="0.3">
      <c r="A41" s="664" t="s">
        <v>322</v>
      </c>
      <c r="B41" s="664"/>
      <c r="C41" s="664"/>
      <c r="D41" s="391">
        <f>Dados!G56</f>
        <v>0.05</v>
      </c>
      <c r="E41" s="88"/>
      <c r="F41" s="88">
        <f>ROUND((F45*$D$41),2)</f>
        <v>300.36</v>
      </c>
      <c r="G41" s="88">
        <f>ROUND((G45*$D$41),2)</f>
        <v>300.36</v>
      </c>
      <c r="H41" s="88">
        <f>ROUND((H45*$D$41),2)</f>
        <v>30.75</v>
      </c>
      <c r="I41" s="88">
        <f>ROUND((I45*$D$41),2)</f>
        <v>3.27</v>
      </c>
      <c r="J41" s="369">
        <f>ROUND((J45*$D$41),2)</f>
        <v>0</v>
      </c>
    </row>
    <row r="42" spans="1:12" ht="19.5" customHeight="1" x14ac:dyDescent="0.3">
      <c r="A42" s="664" t="s">
        <v>308</v>
      </c>
      <c r="B42" s="664"/>
      <c r="C42" s="664"/>
      <c r="D42" s="391">
        <f>Dados!G57</f>
        <v>0</v>
      </c>
      <c r="E42" s="88"/>
      <c r="F42" s="88">
        <f>ROUND((F45*$D$42),2)</f>
        <v>0</v>
      </c>
      <c r="G42" s="88">
        <f>ROUND((G45*$D$42),2)</f>
        <v>0</v>
      </c>
      <c r="H42" s="88">
        <f>ROUND((H45*$D$42),2)</f>
        <v>0</v>
      </c>
      <c r="I42" s="88">
        <f>ROUND((I45*$D$42),2)</f>
        <v>0</v>
      </c>
      <c r="J42" s="369">
        <f>ROUND((J45*$D$42),2)</f>
        <v>0</v>
      </c>
    </row>
    <row r="43" spans="1:12" ht="19.5" customHeight="1" x14ac:dyDescent="0.3">
      <c r="A43" s="673" t="s">
        <v>556</v>
      </c>
      <c r="B43" s="673"/>
      <c r="C43" s="673"/>
      <c r="D43" s="403">
        <f>SUM(D39:D42)</f>
        <v>0.14250000000000002</v>
      </c>
      <c r="E43" s="404"/>
      <c r="F43" s="405">
        <f>SUM(F39:F42)</f>
        <v>856.03000000000009</v>
      </c>
      <c r="G43" s="405">
        <f>SUM(G39:G42)</f>
        <v>856.03000000000009</v>
      </c>
      <c r="H43" s="405">
        <f>SUM(H39:H42)</f>
        <v>87.64</v>
      </c>
      <c r="I43" s="405">
        <f>SUM(I39:I42)</f>
        <v>9.32</v>
      </c>
      <c r="J43" s="406">
        <f>SUM(J39:J41)</f>
        <v>0</v>
      </c>
    </row>
    <row r="44" spans="1:12" ht="19.5" customHeight="1" x14ac:dyDescent="0.3">
      <c r="A44" s="674" t="str">
        <f>CONCATENATE("Custo Mensal - ",A7)</f>
        <v>Custo Mensal - Assistente Administrativo</v>
      </c>
      <c r="B44" s="674"/>
      <c r="C44" s="674"/>
      <c r="D44" s="674"/>
      <c r="E44" s="674"/>
      <c r="F44" s="407">
        <f>ROUND(F37/(1-D43),2)</f>
        <v>6007.24</v>
      </c>
      <c r="G44" s="407">
        <f>ROUND(G37/(1-D43),2)</f>
        <v>6007.24</v>
      </c>
      <c r="H44" s="407">
        <f>ROUND(H37/(1-D43),2)</f>
        <v>614.96</v>
      </c>
      <c r="I44" s="407">
        <f>ROUND(I37/(1-D43),2)</f>
        <v>65.33</v>
      </c>
      <c r="J44" s="408">
        <f>ROUND(J37/(1-D43),2)</f>
        <v>0</v>
      </c>
    </row>
    <row r="45" spans="1:12" ht="19.5" customHeight="1" x14ac:dyDescent="0.3">
      <c r="A45" s="674" t="str">
        <f>CONCATENATE("Valor do Custo Mensal - ",A7)</f>
        <v>Valor do Custo Mensal - Assistente Administrativo</v>
      </c>
      <c r="B45" s="674"/>
      <c r="C45" s="674"/>
      <c r="D45" s="674"/>
      <c r="E45" s="674"/>
      <c r="F45" s="407">
        <f>F44</f>
        <v>6007.24</v>
      </c>
      <c r="G45" s="407">
        <f>G44</f>
        <v>6007.24</v>
      </c>
      <c r="H45" s="407">
        <f>H44</f>
        <v>614.96</v>
      </c>
      <c r="I45" s="407">
        <f>I44</f>
        <v>65.33</v>
      </c>
      <c r="J45" s="408">
        <f>J44</f>
        <v>0</v>
      </c>
      <c r="K45" s="409"/>
      <c r="L45" s="409"/>
    </row>
    <row r="46" spans="1:12" ht="27.75" customHeight="1" x14ac:dyDescent="0.3">
      <c r="A46" s="675" t="s">
        <v>557</v>
      </c>
      <c r="B46" s="675"/>
      <c r="C46" s="675"/>
      <c r="D46" s="675"/>
      <c r="E46" s="675"/>
      <c r="F46" s="410">
        <f>(F45/F14)</f>
        <v>2.648870075181339</v>
      </c>
      <c r="G46" s="410">
        <f>(G45/G14)</f>
        <v>2.648870075181339</v>
      </c>
      <c r="H46" s="672" t="s">
        <v>558</v>
      </c>
      <c r="I46" s="672"/>
      <c r="J46" s="411">
        <v>0</v>
      </c>
    </row>
    <row r="47" spans="1:12" ht="19.5" customHeight="1" x14ac:dyDescent="0.3"/>
  </sheetData>
  <sheetProtection password="C354" sheet="1" objects="1" scenarios="1"/>
  <mergeCells count="49">
    <mergeCell ref="H46:I46"/>
    <mergeCell ref="A42:C42"/>
    <mergeCell ref="A43:C43"/>
    <mergeCell ref="A44:E44"/>
    <mergeCell ref="A45:E45"/>
    <mergeCell ref="A46:E46"/>
    <mergeCell ref="A37:E37"/>
    <mergeCell ref="A38:J38"/>
    <mergeCell ref="A39:C39"/>
    <mergeCell ref="A40:C40"/>
    <mergeCell ref="A41:C41"/>
    <mergeCell ref="A30:E30"/>
    <mergeCell ref="A31:J31"/>
    <mergeCell ref="A32:C32"/>
    <mergeCell ref="E32:J32"/>
    <mergeCell ref="A34:C34"/>
    <mergeCell ref="A24:B24"/>
    <mergeCell ref="A25:B25"/>
    <mergeCell ref="A26:B26"/>
    <mergeCell ref="A28:B28"/>
    <mergeCell ref="A29:E29"/>
    <mergeCell ref="A19:B19"/>
    <mergeCell ref="A20:B20"/>
    <mergeCell ref="A21:B21"/>
    <mergeCell ref="A22:B22"/>
    <mergeCell ref="A23:B23"/>
    <mergeCell ref="A16:E16"/>
    <mergeCell ref="A17:J17"/>
    <mergeCell ref="A18:B18"/>
    <mergeCell ref="D18:E18"/>
    <mergeCell ref="F18:J18"/>
    <mergeCell ref="A9:J9"/>
    <mergeCell ref="B10:C10"/>
    <mergeCell ref="F10:J10"/>
    <mergeCell ref="A11:A15"/>
    <mergeCell ref="B11:C11"/>
    <mergeCell ref="B12:C12"/>
    <mergeCell ref="B14:E14"/>
    <mergeCell ref="B15:D15"/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</mergeCells>
  <printOptions horizontalCentered="1" verticalCentered="1"/>
  <pageMargins left="0.51180555555555596" right="0.51180555555555596" top="0.78749999999999998" bottom="0.78749999999999998" header="0.511811023622047" footer="0.511811023622047"/>
  <pageSetup paperSize="9" scale="61" fitToHeight="2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K47"/>
  <sheetViews>
    <sheetView showGridLines="0" view="pageBreakPreview" zoomScaleNormal="100" workbookViewId="0">
      <selection activeCell="F13" sqref="F13"/>
    </sheetView>
  </sheetViews>
  <sheetFormatPr defaultColWidth="8.6640625" defaultRowHeight="14.4" x14ac:dyDescent="0.3"/>
  <cols>
    <col min="1" max="1" width="10.5546875" style="55" customWidth="1"/>
    <col min="2" max="2" width="27.6640625" style="55" customWidth="1"/>
    <col min="3" max="3" width="14.44140625" style="55" customWidth="1"/>
    <col min="4" max="5" width="15" style="55" customWidth="1"/>
    <col min="6" max="6" width="16.6640625" style="355" customWidth="1"/>
    <col min="7" max="8" width="13.109375" style="355" customWidth="1"/>
    <col min="9" max="10" width="12.5546875" style="355" customWidth="1"/>
    <col min="11" max="257" width="9.109375" style="55" customWidth="1"/>
    <col min="258" max="258" width="10.5546875" style="55" customWidth="1"/>
    <col min="259" max="259" width="27.6640625" style="55" customWidth="1"/>
    <col min="260" max="260" width="14.44140625" style="55" customWidth="1"/>
    <col min="261" max="262" width="15" style="55" customWidth="1"/>
    <col min="263" max="263" width="16.6640625" style="55" customWidth="1"/>
    <col min="264" max="264" width="13.109375" style="55" customWidth="1"/>
    <col min="265" max="266" width="12.5546875" style="55" customWidth="1"/>
    <col min="267" max="513" width="9.109375" style="55" customWidth="1"/>
    <col min="514" max="514" width="10.5546875" style="55" customWidth="1"/>
    <col min="515" max="515" width="27.6640625" style="55" customWidth="1"/>
    <col min="516" max="516" width="14.44140625" style="55" customWidth="1"/>
    <col min="517" max="518" width="15" style="55" customWidth="1"/>
    <col min="519" max="519" width="16.6640625" style="55" customWidth="1"/>
    <col min="520" max="520" width="13.109375" style="55" customWidth="1"/>
    <col min="521" max="522" width="12.5546875" style="55" customWidth="1"/>
    <col min="523" max="769" width="9.109375" style="55" customWidth="1"/>
    <col min="770" max="770" width="10.5546875" style="55" customWidth="1"/>
    <col min="771" max="771" width="27.6640625" style="55" customWidth="1"/>
    <col min="772" max="772" width="14.44140625" style="55" customWidth="1"/>
    <col min="773" max="774" width="15" style="55" customWidth="1"/>
    <col min="775" max="775" width="16.6640625" style="55" customWidth="1"/>
    <col min="776" max="776" width="13.109375" style="55" customWidth="1"/>
    <col min="777" max="778" width="12.5546875" style="55" customWidth="1"/>
    <col min="779" max="1025" width="9.109375" style="55" customWidth="1"/>
  </cols>
  <sheetData>
    <row r="1" spans="1:10" x14ac:dyDescent="0.3">
      <c r="A1" s="356"/>
      <c r="B1" s="77" t="str">
        <f>INSTRUÇÕES!B1</f>
        <v>Tribunal Regional Federal da 6ª Região</v>
      </c>
      <c r="C1" s="357"/>
      <c r="D1" s="357"/>
      <c r="E1" s="357"/>
      <c r="F1" s="358"/>
      <c r="G1" s="359"/>
      <c r="H1" s="359"/>
      <c r="I1" s="358"/>
      <c r="J1" s="360"/>
    </row>
    <row r="2" spans="1:10" x14ac:dyDescent="0.3">
      <c r="A2" s="361"/>
      <c r="B2" s="80" t="str">
        <f>INSTRUÇÕES!B2</f>
        <v>Seção Judiciária de Minas Gerais</v>
      </c>
      <c r="C2" s="47"/>
      <c r="D2" s="47"/>
      <c r="E2" s="47"/>
      <c r="F2" s="362"/>
      <c r="I2" s="362"/>
      <c r="J2" s="363"/>
    </row>
    <row r="3" spans="1:10" x14ac:dyDescent="0.3">
      <c r="A3" s="172"/>
      <c r="B3" s="294" t="str">
        <f>INSTRUÇÕES!B3</f>
        <v>Subseção Judiciária de Governador Valadares</v>
      </c>
      <c r="C3" s="47"/>
      <c r="D3" s="47"/>
      <c r="E3" s="47"/>
      <c r="F3" s="362"/>
      <c r="I3" s="362"/>
      <c r="J3" s="363"/>
    </row>
    <row r="4" spans="1:10" ht="19.5" customHeight="1" x14ac:dyDescent="0.3">
      <c r="A4" s="646" t="s">
        <v>523</v>
      </c>
      <c r="B4" s="646"/>
      <c r="C4" s="646"/>
      <c r="D4" s="646"/>
      <c r="E4" s="646"/>
      <c r="F4" s="646"/>
      <c r="G4" s="646"/>
      <c r="H4" s="646"/>
      <c r="I4" s="646"/>
      <c r="J4" s="646"/>
    </row>
    <row r="5" spans="1:10" ht="19.5" customHeight="1" x14ac:dyDescent="0.3">
      <c r="A5" s="647" t="s">
        <v>360</v>
      </c>
      <c r="B5" s="647"/>
      <c r="C5" s="647"/>
      <c r="D5" s="647"/>
      <c r="E5" s="647"/>
      <c r="F5" s="647"/>
      <c r="G5" s="647"/>
      <c r="H5" s="647"/>
      <c r="I5" s="647"/>
      <c r="J5" s="647"/>
    </row>
    <row r="6" spans="1:10" ht="36" customHeight="1" x14ac:dyDescent="0.3">
      <c r="A6" s="648" t="str">
        <f>Dados!A4</f>
        <v>Sindicato utilizado - SETHAC-GV e SEAC/MG. Vigência: 01/01/2024 à 31/12/2024. Sendo a data base da categoria 1º de Janeiro. Com número de registro no MTE MG000439/2024.</v>
      </c>
      <c r="B6" s="648"/>
      <c r="C6" s="648"/>
      <c r="D6" s="648"/>
      <c r="E6" s="648"/>
      <c r="F6" s="648"/>
      <c r="G6" s="648"/>
      <c r="H6" s="648"/>
      <c r="I6" s="648"/>
      <c r="J6" s="648"/>
    </row>
    <row r="7" spans="1:10" ht="19.5" customHeight="1" x14ac:dyDescent="0.3">
      <c r="A7" s="649" t="str">
        <f>Dados!C7</f>
        <v>Servente de Limpeza 40% Insalubridade</v>
      </c>
      <c r="B7" s="649"/>
      <c r="C7" s="649"/>
      <c r="D7" s="649"/>
      <c r="E7" s="649"/>
      <c r="F7" s="650" t="s">
        <v>524</v>
      </c>
      <c r="G7" s="650" t="s">
        <v>525</v>
      </c>
      <c r="H7" s="650" t="s">
        <v>526</v>
      </c>
      <c r="I7" s="650" t="s">
        <v>527</v>
      </c>
      <c r="J7" s="650" t="s">
        <v>528</v>
      </c>
    </row>
    <row r="8" spans="1:10" ht="19.5" customHeight="1" x14ac:dyDescent="0.3">
      <c r="A8" s="651" t="s">
        <v>529</v>
      </c>
      <c r="B8" s="651"/>
      <c r="C8" s="651"/>
      <c r="D8" s="651"/>
      <c r="E8" s="364" t="s">
        <v>436</v>
      </c>
      <c r="F8" s="650"/>
      <c r="G8" s="650"/>
      <c r="H8" s="650"/>
      <c r="I8" s="650"/>
      <c r="J8" s="650"/>
    </row>
    <row r="9" spans="1:10" ht="19.5" customHeight="1" x14ac:dyDescent="0.3">
      <c r="A9" s="652" t="s">
        <v>530</v>
      </c>
      <c r="B9" s="652"/>
      <c r="C9" s="652"/>
      <c r="D9" s="652"/>
      <c r="E9" s="652"/>
      <c r="F9" s="652"/>
      <c r="G9" s="652"/>
      <c r="H9" s="652"/>
      <c r="I9" s="652"/>
      <c r="J9" s="652"/>
    </row>
    <row r="10" spans="1:10" ht="24" customHeight="1" x14ac:dyDescent="0.3">
      <c r="A10" s="177" t="s">
        <v>437</v>
      </c>
      <c r="B10" s="653" t="s">
        <v>531</v>
      </c>
      <c r="C10" s="653"/>
      <c r="D10" s="365" t="s">
        <v>532</v>
      </c>
      <c r="E10" s="366" t="s">
        <v>533</v>
      </c>
      <c r="F10" s="654" t="s">
        <v>440</v>
      </c>
      <c r="G10" s="654"/>
      <c r="H10" s="654"/>
      <c r="I10" s="654"/>
      <c r="J10" s="654"/>
    </row>
    <row r="11" spans="1:10" ht="19.5" customHeight="1" x14ac:dyDescent="0.3">
      <c r="A11" s="655">
        <v>1</v>
      </c>
      <c r="B11" s="656" t="str">
        <f>A7</f>
        <v>Servente de Limpeza 40% Insalubridade</v>
      </c>
      <c r="C11" s="656"/>
      <c r="D11" s="367">
        <f>Dados!D7</f>
        <v>200</v>
      </c>
      <c r="E11" s="368">
        <f>Dados!E7</f>
        <v>1541.23</v>
      </c>
      <c r="F11" s="88">
        <f>ROUND(E11/220*D11,2)</f>
        <v>1401.12</v>
      </c>
      <c r="G11" s="88">
        <f>F11</f>
        <v>1401.12</v>
      </c>
      <c r="H11" s="88"/>
      <c r="I11" s="88"/>
      <c r="J11" s="369"/>
    </row>
    <row r="12" spans="1:10" ht="19.5" customHeight="1" x14ac:dyDescent="0.3">
      <c r="A12" s="655"/>
      <c r="B12" s="656" t="s">
        <v>534</v>
      </c>
      <c r="C12" s="656"/>
      <c r="D12" s="412">
        <f>Dados!G7</f>
        <v>0.4</v>
      </c>
      <c r="E12" s="368">
        <f>Dados!G30</f>
        <v>1518</v>
      </c>
      <c r="F12" s="88">
        <f>D12*E12</f>
        <v>607.20000000000005</v>
      </c>
      <c r="G12" s="88">
        <f>F12</f>
        <v>607.20000000000005</v>
      </c>
      <c r="H12" s="88"/>
      <c r="I12" s="88"/>
      <c r="J12" s="369">
        <f>F12</f>
        <v>607.20000000000005</v>
      </c>
    </row>
    <row r="13" spans="1:10" ht="20.25" customHeight="1" x14ac:dyDescent="0.3">
      <c r="A13" s="655"/>
      <c r="B13" s="371" t="s">
        <v>535</v>
      </c>
      <c r="C13" s="372">
        <f>Dados!I7</f>
        <v>0</v>
      </c>
      <c r="D13" s="372">
        <f>Dados!J7</f>
        <v>0</v>
      </c>
      <c r="E13" s="373">
        <f>Dados!K10</f>
        <v>1569.64</v>
      </c>
      <c r="F13" s="374">
        <f>ROUND((E13*D13*C13),2)</f>
        <v>0</v>
      </c>
      <c r="G13" s="374">
        <f>F13</f>
        <v>0</v>
      </c>
      <c r="H13" s="374"/>
      <c r="I13" s="374"/>
      <c r="J13" s="375"/>
    </row>
    <row r="14" spans="1:10" ht="19.5" customHeight="1" x14ac:dyDescent="0.3">
      <c r="A14" s="655"/>
      <c r="B14" s="657" t="s">
        <v>536</v>
      </c>
      <c r="C14" s="657"/>
      <c r="D14" s="657"/>
      <c r="E14" s="657"/>
      <c r="F14" s="376">
        <f>SUM(F11:F13)</f>
        <v>2008.32</v>
      </c>
      <c r="G14" s="376">
        <f>SUM(G11:G13)</f>
        <v>2008.32</v>
      </c>
      <c r="H14" s="376">
        <f>SUM(H11:H13)</f>
        <v>0</v>
      </c>
      <c r="I14" s="376">
        <f>SUM(I11:I13)</f>
        <v>0</v>
      </c>
      <c r="J14" s="377">
        <f>SUM(J11:J13)</f>
        <v>607.20000000000005</v>
      </c>
    </row>
    <row r="15" spans="1:10" ht="19.5" customHeight="1" x14ac:dyDescent="0.3">
      <c r="A15" s="655"/>
      <c r="B15" s="658" t="s">
        <v>537</v>
      </c>
      <c r="C15" s="658"/>
      <c r="D15" s="658"/>
      <c r="E15" s="378">
        <f>Encargos!$C$57</f>
        <v>0.79049999999999998</v>
      </c>
      <c r="F15" s="88">
        <f>ROUND((E15*F14),2)</f>
        <v>1587.58</v>
      </c>
      <c r="G15" s="88">
        <f>F15</f>
        <v>1587.58</v>
      </c>
      <c r="H15" s="88"/>
      <c r="I15" s="88"/>
      <c r="J15" s="369">
        <f>ROUND((E15*J14),2)</f>
        <v>479.99</v>
      </c>
    </row>
    <row r="16" spans="1:10" ht="19.5" customHeight="1" x14ac:dyDescent="0.3">
      <c r="A16" s="659" t="s">
        <v>538</v>
      </c>
      <c r="B16" s="659"/>
      <c r="C16" s="659"/>
      <c r="D16" s="659"/>
      <c r="E16" s="659"/>
      <c r="F16" s="379">
        <f>SUM(F14:F15)</f>
        <v>3595.8999999999996</v>
      </c>
      <c r="G16" s="379">
        <f>SUM(G14:G15)</f>
        <v>3595.8999999999996</v>
      </c>
      <c r="H16" s="379">
        <f>SUM(H14:H15)</f>
        <v>0</v>
      </c>
      <c r="I16" s="379">
        <f>SUM(I14:I15)</f>
        <v>0</v>
      </c>
      <c r="J16" s="380">
        <f>SUM(J14:J15)</f>
        <v>1087.19</v>
      </c>
    </row>
    <row r="17" spans="1:12" ht="19.5" customHeight="1" x14ac:dyDescent="0.3">
      <c r="A17" s="660" t="s">
        <v>539</v>
      </c>
      <c r="B17" s="660"/>
      <c r="C17" s="660"/>
      <c r="D17" s="660"/>
      <c r="E17" s="660"/>
      <c r="F17" s="660"/>
      <c r="G17" s="660"/>
      <c r="H17" s="660"/>
      <c r="I17" s="660"/>
      <c r="J17" s="660"/>
    </row>
    <row r="18" spans="1:12" ht="19.5" customHeight="1" x14ac:dyDescent="0.3">
      <c r="A18" s="661" t="s">
        <v>540</v>
      </c>
      <c r="B18" s="661"/>
      <c r="C18" s="92" t="s">
        <v>439</v>
      </c>
      <c r="D18" s="662" t="s">
        <v>541</v>
      </c>
      <c r="E18" s="662"/>
      <c r="F18" s="663" t="s">
        <v>440</v>
      </c>
      <c r="G18" s="663"/>
      <c r="H18" s="663"/>
      <c r="I18" s="663"/>
      <c r="J18" s="663"/>
    </row>
    <row r="19" spans="1:12" ht="19.5" customHeight="1" x14ac:dyDescent="0.3">
      <c r="A19" s="664" t="s">
        <v>542</v>
      </c>
      <c r="B19" s="664"/>
      <c r="C19" s="382"/>
      <c r="D19" s="382"/>
      <c r="E19" s="382"/>
      <c r="F19" s="88">
        <f>Dados!$N$7</f>
        <v>26.55</v>
      </c>
      <c r="G19" s="88">
        <f t="shared" ref="G19:G24" si="0">F19</f>
        <v>26.55</v>
      </c>
      <c r="H19" s="88"/>
      <c r="I19" s="88"/>
      <c r="J19" s="369"/>
    </row>
    <row r="20" spans="1:12" ht="19.5" customHeight="1" x14ac:dyDescent="0.3">
      <c r="A20" s="664" t="s">
        <v>543</v>
      </c>
      <c r="B20" s="664"/>
      <c r="C20" s="382"/>
      <c r="D20" s="382"/>
      <c r="E20" s="382"/>
      <c r="F20" s="88">
        <f>Dados!$G$33</f>
        <v>2.84</v>
      </c>
      <c r="G20" s="88">
        <f t="shared" si="0"/>
        <v>2.84</v>
      </c>
      <c r="H20" s="88"/>
      <c r="I20" s="88"/>
      <c r="J20" s="369"/>
    </row>
    <row r="21" spans="1:12" ht="23.25" customHeight="1" x14ac:dyDescent="0.3">
      <c r="A21" s="665" t="s">
        <v>295</v>
      </c>
      <c r="B21" s="665"/>
      <c r="C21" s="382"/>
      <c r="D21" s="382"/>
      <c r="E21" s="382"/>
      <c r="F21" s="88">
        <f>Dados!G34</f>
        <v>47.15</v>
      </c>
      <c r="G21" s="88">
        <f t="shared" si="0"/>
        <v>47.15</v>
      </c>
      <c r="H21" s="88"/>
      <c r="I21" s="88"/>
      <c r="J21" s="369"/>
    </row>
    <row r="22" spans="1:12" ht="19.5" customHeight="1" x14ac:dyDescent="0.3">
      <c r="A22" s="664" t="s">
        <v>296</v>
      </c>
      <c r="B22" s="664"/>
      <c r="C22" s="383">
        <f>Dados!$G$37</f>
        <v>22</v>
      </c>
      <c r="D22" s="383">
        <f>Dados!$G$36</f>
        <v>2</v>
      </c>
      <c r="E22" s="382">
        <f>Dados!$G$35</f>
        <v>4.25</v>
      </c>
      <c r="F22" s="88">
        <f>IF(ROUND((E22*D22*C22)-(F11*Dados!$G$38),2)&lt;0,0,ROUND((E22*D22*C22)-(F11*Dados!$G$38),2))</f>
        <v>102.93</v>
      </c>
      <c r="G22" s="88">
        <f t="shared" si="0"/>
        <v>102.93</v>
      </c>
      <c r="H22" s="88"/>
      <c r="I22" s="88">
        <f>F22</f>
        <v>102.93</v>
      </c>
      <c r="J22" s="369"/>
    </row>
    <row r="23" spans="1:12" ht="19.5" customHeight="1" x14ac:dyDescent="0.3">
      <c r="A23" s="664" t="s">
        <v>305</v>
      </c>
      <c r="B23" s="664"/>
      <c r="C23" s="383">
        <f>Dados!$G$40</f>
        <v>22</v>
      </c>
      <c r="D23" s="384">
        <f>Dados!$G$41</f>
        <v>0.2</v>
      </c>
      <c r="E23" s="382">
        <f>Dados!$G$39</f>
        <v>27.24</v>
      </c>
      <c r="F23" s="385">
        <f>ROUND((IF(D11&gt;150,((C23*E23)-(C23*(D23*E23))),0)),2)</f>
        <v>479.42</v>
      </c>
      <c r="G23" s="88">
        <f t="shared" si="0"/>
        <v>479.42</v>
      </c>
      <c r="H23" s="88">
        <f>$F$23</f>
        <v>479.42</v>
      </c>
      <c r="I23" s="385"/>
      <c r="J23" s="369"/>
    </row>
    <row r="24" spans="1:12" ht="19.5" customHeight="1" x14ac:dyDescent="0.3">
      <c r="A24" s="664" t="s">
        <v>625</v>
      </c>
      <c r="B24" s="664"/>
      <c r="C24" s="383"/>
      <c r="D24" s="383"/>
      <c r="E24" s="382"/>
      <c r="F24" s="385">
        <f>Dados!R7</f>
        <v>4.0999999999999996</v>
      </c>
      <c r="G24" s="88">
        <f t="shared" si="0"/>
        <v>4.0999999999999996</v>
      </c>
      <c r="H24" s="88"/>
      <c r="I24" s="385"/>
      <c r="J24" s="369"/>
    </row>
    <row r="25" spans="1:12" ht="19.5" customHeight="1" x14ac:dyDescent="0.3">
      <c r="A25" s="664" t="s">
        <v>308</v>
      </c>
      <c r="B25" s="664"/>
      <c r="C25" s="383"/>
      <c r="D25" s="383"/>
      <c r="E25" s="382"/>
      <c r="F25" s="385">
        <f>Dados!$G$43</f>
        <v>0</v>
      </c>
      <c r="G25" s="88"/>
      <c r="H25" s="88"/>
      <c r="I25" s="385"/>
      <c r="J25" s="369"/>
    </row>
    <row r="26" spans="1:12" ht="19.5" customHeight="1" x14ac:dyDescent="0.3">
      <c r="A26" s="664" t="s">
        <v>544</v>
      </c>
      <c r="B26" s="664"/>
      <c r="C26" s="383"/>
      <c r="D26" s="382"/>
      <c r="E26" s="382"/>
      <c r="F26" s="88">
        <f>Dados!$O$7</f>
        <v>686.08</v>
      </c>
      <c r="G26" s="88"/>
      <c r="H26" s="88"/>
      <c r="I26" s="88"/>
      <c r="J26" s="369"/>
      <c r="L26" s="386"/>
    </row>
    <row r="27" spans="1:12" ht="19.5" customHeight="1" x14ac:dyDescent="0.3">
      <c r="A27" s="381" t="s">
        <v>545</v>
      </c>
      <c r="B27" s="310"/>
      <c r="C27" s="383"/>
      <c r="D27" s="382"/>
      <c r="E27" s="382"/>
      <c r="F27" s="88"/>
      <c r="G27" s="88"/>
      <c r="H27" s="88"/>
      <c r="I27" s="88"/>
      <c r="J27" s="369"/>
    </row>
    <row r="28" spans="1:12" ht="19.5" customHeight="1" x14ac:dyDescent="0.3">
      <c r="A28" s="666" t="s">
        <v>546</v>
      </c>
      <c r="B28" s="666"/>
      <c r="C28" s="387"/>
      <c r="D28" s="388"/>
      <c r="E28" s="388"/>
      <c r="F28" s="374">
        <f>Dados!$S$7</f>
        <v>5.94</v>
      </c>
      <c r="G28" s="374">
        <f>F28</f>
        <v>5.94</v>
      </c>
      <c r="H28" s="374"/>
      <c r="I28" s="374"/>
      <c r="J28" s="375"/>
    </row>
    <row r="29" spans="1:12" ht="19.5" customHeight="1" x14ac:dyDescent="0.3">
      <c r="A29" s="667" t="s">
        <v>547</v>
      </c>
      <c r="B29" s="667"/>
      <c r="C29" s="667"/>
      <c r="D29" s="667"/>
      <c r="E29" s="667"/>
      <c r="F29" s="379">
        <f>SUM(F19:F28)</f>
        <v>1355.0100000000002</v>
      </c>
      <c r="G29" s="379">
        <f>SUM(G19:G28)</f>
        <v>668.93000000000006</v>
      </c>
      <c r="H29" s="379">
        <f>SUM(H19:H28)</f>
        <v>479.42</v>
      </c>
      <c r="I29" s="379">
        <f>SUM(I19:I28)</f>
        <v>102.93</v>
      </c>
      <c r="J29" s="380">
        <f>SUM(J19:J28)</f>
        <v>0</v>
      </c>
    </row>
    <row r="30" spans="1:12" ht="19.5" customHeight="1" x14ac:dyDescent="0.3">
      <c r="A30" s="667" t="s">
        <v>548</v>
      </c>
      <c r="B30" s="667"/>
      <c r="C30" s="667"/>
      <c r="D30" s="667"/>
      <c r="E30" s="667"/>
      <c r="F30" s="379">
        <f>F16+F29</f>
        <v>4950.91</v>
      </c>
      <c r="G30" s="379">
        <f>G16+G29</f>
        <v>4264.83</v>
      </c>
      <c r="H30" s="379">
        <f>H16+H29</f>
        <v>479.42</v>
      </c>
      <c r="I30" s="379">
        <f>I16+I29</f>
        <v>102.93</v>
      </c>
      <c r="J30" s="380">
        <f>J16+J29</f>
        <v>1087.19</v>
      </c>
    </row>
    <row r="31" spans="1:12" ht="19.5" customHeight="1" x14ac:dyDescent="0.3">
      <c r="A31" s="652" t="s">
        <v>549</v>
      </c>
      <c r="B31" s="652"/>
      <c r="C31" s="652"/>
      <c r="D31" s="652"/>
      <c r="E31" s="652"/>
      <c r="F31" s="652"/>
      <c r="G31" s="652"/>
      <c r="H31" s="652"/>
      <c r="I31" s="652"/>
      <c r="J31" s="652"/>
    </row>
    <row r="32" spans="1:12" ht="19.5" customHeight="1" x14ac:dyDescent="0.3">
      <c r="A32" s="661" t="s">
        <v>550</v>
      </c>
      <c r="B32" s="661"/>
      <c r="C32" s="661"/>
      <c r="D32" s="91" t="s">
        <v>489</v>
      </c>
      <c r="E32" s="668" t="s">
        <v>440</v>
      </c>
      <c r="F32" s="668"/>
      <c r="G32" s="668"/>
      <c r="H32" s="668"/>
      <c r="I32" s="668"/>
      <c r="J32" s="668"/>
    </row>
    <row r="33" spans="1:12" ht="19.5" customHeight="1" x14ac:dyDescent="0.3">
      <c r="A33" s="389" t="s">
        <v>551</v>
      </c>
      <c r="B33" s="390"/>
      <c r="C33" s="390"/>
      <c r="D33" s="391">
        <f>Dados!$G$46</f>
        <v>0.03</v>
      </c>
      <c r="E33" s="392"/>
      <c r="F33" s="88">
        <f>ROUND((F30*$D$33),2)</f>
        <v>148.53</v>
      </c>
      <c r="G33" s="88">
        <f>ROUND((G30*$D$33),2)</f>
        <v>127.94</v>
      </c>
      <c r="H33" s="88">
        <f>ROUND((H30*$D$33),2)</f>
        <v>14.38</v>
      </c>
      <c r="I33" s="88">
        <f>ROUND((I30*$D$33),2)</f>
        <v>3.09</v>
      </c>
      <c r="J33" s="369">
        <f>ROUND((J30*$D$33),2)</f>
        <v>32.619999999999997</v>
      </c>
    </row>
    <row r="34" spans="1:12" ht="19.5" customHeight="1" x14ac:dyDescent="0.3">
      <c r="A34" s="669" t="s">
        <v>552</v>
      </c>
      <c r="B34" s="669"/>
      <c r="C34" s="669"/>
      <c r="D34" s="391"/>
      <c r="E34" s="392"/>
      <c r="F34" s="88">
        <f>F30+F33</f>
        <v>5099.4399999999996</v>
      </c>
      <c r="G34" s="88">
        <f>G30+G33</f>
        <v>4392.7699999999995</v>
      </c>
      <c r="H34" s="88">
        <f>H30+H33</f>
        <v>493.8</v>
      </c>
      <c r="I34" s="88">
        <f>I30+I33</f>
        <v>106.02000000000001</v>
      </c>
      <c r="J34" s="369">
        <f>J30+J33</f>
        <v>1119.81</v>
      </c>
    </row>
    <row r="35" spans="1:12" ht="19.5" customHeight="1" x14ac:dyDescent="0.3">
      <c r="A35" s="393" t="s">
        <v>313</v>
      </c>
      <c r="B35" s="394"/>
      <c r="C35" s="394"/>
      <c r="D35" s="395">
        <f>Dados!$G$47</f>
        <v>6.7900000000000002E-2</v>
      </c>
      <c r="E35" s="396"/>
      <c r="F35" s="374">
        <f>ROUND((F34*$D$35),2)</f>
        <v>346.25</v>
      </c>
      <c r="G35" s="374">
        <f>ROUND((G34*$D$35),2)</f>
        <v>298.27</v>
      </c>
      <c r="H35" s="374">
        <f>ROUND((H34*$D$35),2)</f>
        <v>33.53</v>
      </c>
      <c r="I35" s="374">
        <f>ROUND((I34*$D$35),2)</f>
        <v>7.2</v>
      </c>
      <c r="J35" s="375">
        <f>ROUND((J34*$D$35),2)</f>
        <v>76.040000000000006</v>
      </c>
    </row>
    <row r="36" spans="1:12" ht="19.5" customHeight="1" x14ac:dyDescent="0.3">
      <c r="A36" s="397" t="s">
        <v>553</v>
      </c>
      <c r="B36" s="398"/>
      <c r="C36" s="398"/>
      <c r="D36" s="399">
        <f>SUM(D33:D35)</f>
        <v>9.7900000000000001E-2</v>
      </c>
      <c r="E36" s="400"/>
      <c r="F36" s="379">
        <f>F33+F35</f>
        <v>494.78</v>
      </c>
      <c r="G36" s="379">
        <f>G33+G35</f>
        <v>426.21</v>
      </c>
      <c r="H36" s="379">
        <f>H33+H35</f>
        <v>47.910000000000004</v>
      </c>
      <c r="I36" s="379">
        <f>I33+I35</f>
        <v>10.29</v>
      </c>
      <c r="J36" s="380">
        <f>J33+J35</f>
        <v>108.66</v>
      </c>
    </row>
    <row r="37" spans="1:12" ht="19.5" customHeight="1" x14ac:dyDescent="0.3">
      <c r="A37" s="670" t="s">
        <v>554</v>
      </c>
      <c r="B37" s="670"/>
      <c r="C37" s="670"/>
      <c r="D37" s="670"/>
      <c r="E37" s="670"/>
      <c r="F37" s="401">
        <f>F30+F36</f>
        <v>5445.69</v>
      </c>
      <c r="G37" s="401">
        <f>G30+G36</f>
        <v>4691.04</v>
      </c>
      <c r="H37" s="401">
        <f>H30+H36</f>
        <v>527.33000000000004</v>
      </c>
      <c r="I37" s="401">
        <f>I30+I36</f>
        <v>113.22</v>
      </c>
      <c r="J37" s="402">
        <f>J30+J36</f>
        <v>1195.8500000000001</v>
      </c>
    </row>
    <row r="38" spans="1:12" ht="19.5" customHeight="1" x14ac:dyDescent="0.3">
      <c r="A38" s="671" t="s">
        <v>555</v>
      </c>
      <c r="B38" s="671"/>
      <c r="C38" s="671"/>
      <c r="D38" s="671"/>
      <c r="E38" s="671"/>
      <c r="F38" s="671"/>
      <c r="G38" s="671"/>
      <c r="H38" s="671"/>
      <c r="I38" s="671"/>
      <c r="J38" s="671"/>
    </row>
    <row r="39" spans="1:12" ht="19.5" customHeight="1" x14ac:dyDescent="0.3">
      <c r="A39" s="664" t="s">
        <v>319</v>
      </c>
      <c r="B39" s="664"/>
      <c r="C39" s="664"/>
      <c r="D39" s="391">
        <f>Dados!G54</f>
        <v>7.5999999999999998E-2</v>
      </c>
      <c r="E39" s="88"/>
      <c r="F39" s="88">
        <f>ROUND(($F$45*D39),2)</f>
        <v>482.65</v>
      </c>
      <c r="G39" s="88">
        <f>ROUND((G45*$D$39),2)</f>
        <v>415.77</v>
      </c>
      <c r="H39" s="88">
        <f>ROUND((H45*$D$39),2)</f>
        <v>46.74</v>
      </c>
      <c r="I39" s="88">
        <f>ROUND((I45*$D$39),2)</f>
        <v>10.029999999999999</v>
      </c>
      <c r="J39" s="369">
        <f>ROUND((J45*$D$39),2)</f>
        <v>105.99</v>
      </c>
    </row>
    <row r="40" spans="1:12" ht="19.5" customHeight="1" x14ac:dyDescent="0.3">
      <c r="A40" s="664" t="s">
        <v>321</v>
      </c>
      <c r="B40" s="664"/>
      <c r="C40" s="664"/>
      <c r="D40" s="391">
        <f>Dados!G55</f>
        <v>1.6500000000000001E-2</v>
      </c>
      <c r="E40" s="88"/>
      <c r="F40" s="88">
        <f>ROUND((F45*$D$40),2)</f>
        <v>104.79</v>
      </c>
      <c r="G40" s="88">
        <f>ROUND((G45*$D$40),2)</f>
        <v>90.26</v>
      </c>
      <c r="H40" s="88">
        <f>ROUND((H45*$D$40),2)</f>
        <v>10.15</v>
      </c>
      <c r="I40" s="88">
        <f>ROUND((I45*$D$40),2)</f>
        <v>2.1800000000000002</v>
      </c>
      <c r="J40" s="369">
        <f>ROUND((J45*$D$40),2)</f>
        <v>23.01</v>
      </c>
    </row>
    <row r="41" spans="1:12" ht="19.5" customHeight="1" x14ac:dyDescent="0.3">
      <c r="A41" s="664" t="s">
        <v>322</v>
      </c>
      <c r="B41" s="664"/>
      <c r="C41" s="664"/>
      <c r="D41" s="391">
        <f>Dados!G56</f>
        <v>0.05</v>
      </c>
      <c r="E41" s="88"/>
      <c r="F41" s="88">
        <f>ROUND((F45*$D$41),2)</f>
        <v>317.52999999999997</v>
      </c>
      <c r="G41" s="88">
        <f>ROUND((G45*$D$41),2)</f>
        <v>273.52999999999997</v>
      </c>
      <c r="H41" s="88">
        <f>ROUND((H45*$D$41),2)</f>
        <v>30.75</v>
      </c>
      <c r="I41" s="88">
        <f>ROUND((I45*$D$41),2)</f>
        <v>6.6</v>
      </c>
      <c r="J41" s="369">
        <f>ROUND((J45*$D$41),2)</f>
        <v>69.73</v>
      </c>
    </row>
    <row r="42" spans="1:12" ht="19.5" customHeight="1" x14ac:dyDescent="0.3">
      <c r="A42" s="664" t="s">
        <v>308</v>
      </c>
      <c r="B42" s="664"/>
      <c r="C42" s="664"/>
      <c r="D42" s="391">
        <f>Dados!G57</f>
        <v>0</v>
      </c>
      <c r="E42" s="88"/>
      <c r="F42" s="88">
        <f>ROUND((F45*$D$42),2)</f>
        <v>0</v>
      </c>
      <c r="G42" s="88">
        <f>ROUND((G45*$D$42),2)</f>
        <v>0</v>
      </c>
      <c r="H42" s="88">
        <f>ROUND((H45*$D$42),2)</f>
        <v>0</v>
      </c>
      <c r="I42" s="88">
        <f>ROUND((I45*$D$42),2)</f>
        <v>0</v>
      </c>
      <c r="J42" s="369">
        <f>ROUND((J45*$D$42),2)</f>
        <v>0</v>
      </c>
    </row>
    <row r="43" spans="1:12" ht="19.5" customHeight="1" x14ac:dyDescent="0.3">
      <c r="A43" s="673" t="s">
        <v>556</v>
      </c>
      <c r="B43" s="673"/>
      <c r="C43" s="673"/>
      <c r="D43" s="403">
        <f>SUM(D39:D42)</f>
        <v>0.14250000000000002</v>
      </c>
      <c r="E43" s="404"/>
      <c r="F43" s="405">
        <f>SUM(F39:F42)</f>
        <v>904.96999999999991</v>
      </c>
      <c r="G43" s="405">
        <f>SUM(G39:G42)</f>
        <v>779.56</v>
      </c>
      <c r="H43" s="405">
        <f>SUM(H39:H42)</f>
        <v>87.64</v>
      </c>
      <c r="I43" s="405">
        <f>SUM(I39:I42)</f>
        <v>18.809999999999999</v>
      </c>
      <c r="J43" s="406">
        <f>SUM(J39:J41)</f>
        <v>198.73000000000002</v>
      </c>
    </row>
    <row r="44" spans="1:12" ht="19.5" customHeight="1" x14ac:dyDescent="0.3">
      <c r="A44" s="674" t="str">
        <f>CONCATENATE("Custo Mensal - ",A7)</f>
        <v>Custo Mensal - Servente de Limpeza 40% Insalubridade</v>
      </c>
      <c r="B44" s="674"/>
      <c r="C44" s="674"/>
      <c r="D44" s="674"/>
      <c r="E44" s="674"/>
      <c r="F44" s="407">
        <f>ROUND(F37/(1-D43),2)</f>
        <v>6350.66</v>
      </c>
      <c r="G44" s="407">
        <f>ROUND(G37/(1-D43),2)</f>
        <v>5470.6</v>
      </c>
      <c r="H44" s="407">
        <f>ROUND(H37/(1-D43),2)</f>
        <v>614.96</v>
      </c>
      <c r="I44" s="407">
        <f>ROUND(I37/(1-D43),2)</f>
        <v>132.03</v>
      </c>
      <c r="J44" s="408">
        <f>ROUND(J37/(1-D43),2)</f>
        <v>1394.58</v>
      </c>
    </row>
    <row r="45" spans="1:12" ht="19.5" customHeight="1" x14ac:dyDescent="0.3">
      <c r="A45" s="674" t="str">
        <f>CONCATENATE("Valor do Custo Mensal - ",A7)</f>
        <v>Valor do Custo Mensal - Servente de Limpeza 40% Insalubridade</v>
      </c>
      <c r="B45" s="674"/>
      <c r="C45" s="674"/>
      <c r="D45" s="674"/>
      <c r="E45" s="674"/>
      <c r="F45" s="407">
        <f>F44</f>
        <v>6350.66</v>
      </c>
      <c r="G45" s="407">
        <f>G44</f>
        <v>5470.6</v>
      </c>
      <c r="H45" s="407">
        <f>H44</f>
        <v>614.96</v>
      </c>
      <c r="I45" s="407">
        <f>I44</f>
        <v>132.03</v>
      </c>
      <c r="J45" s="408">
        <f>J44</f>
        <v>1394.58</v>
      </c>
      <c r="K45" s="409"/>
      <c r="L45" s="409"/>
    </row>
    <row r="46" spans="1:12" ht="27.75" customHeight="1" x14ac:dyDescent="0.3">
      <c r="A46" s="675" t="s">
        <v>557</v>
      </c>
      <c r="B46" s="675"/>
      <c r="C46" s="675"/>
      <c r="D46" s="675"/>
      <c r="E46" s="675"/>
      <c r="F46" s="410">
        <f>(F45/F14)</f>
        <v>3.1621753505417463</v>
      </c>
      <c r="G46" s="410">
        <f>(G45/G14)</f>
        <v>2.7239682919056727</v>
      </c>
      <c r="H46" s="672" t="s">
        <v>558</v>
      </c>
      <c r="I46" s="672"/>
      <c r="J46" s="411">
        <f>ROUND((J45/30),2)</f>
        <v>46.49</v>
      </c>
    </row>
    <row r="47" spans="1:12" ht="19.5" customHeight="1" x14ac:dyDescent="0.3"/>
  </sheetData>
  <sheetProtection password="C494" sheet="1" objects="1" scenarios="1"/>
  <mergeCells count="49">
    <mergeCell ref="H46:I46"/>
    <mergeCell ref="A42:C42"/>
    <mergeCell ref="A43:C43"/>
    <mergeCell ref="A44:E44"/>
    <mergeCell ref="A45:E45"/>
    <mergeCell ref="A46:E46"/>
    <mergeCell ref="A37:E37"/>
    <mergeCell ref="A38:J38"/>
    <mergeCell ref="A39:C39"/>
    <mergeCell ref="A40:C40"/>
    <mergeCell ref="A41:C41"/>
    <mergeCell ref="A30:E30"/>
    <mergeCell ref="A31:J31"/>
    <mergeCell ref="A32:C32"/>
    <mergeCell ref="E32:J32"/>
    <mergeCell ref="A34:C34"/>
    <mergeCell ref="A24:B24"/>
    <mergeCell ref="A25:B25"/>
    <mergeCell ref="A26:B26"/>
    <mergeCell ref="A28:B28"/>
    <mergeCell ref="A29:E29"/>
    <mergeCell ref="A19:B19"/>
    <mergeCell ref="A20:B20"/>
    <mergeCell ref="A21:B21"/>
    <mergeCell ref="A22:B22"/>
    <mergeCell ref="A23:B23"/>
    <mergeCell ref="A16:E16"/>
    <mergeCell ref="A17:J17"/>
    <mergeCell ref="A18:B18"/>
    <mergeCell ref="D18:E18"/>
    <mergeCell ref="F18:J18"/>
    <mergeCell ref="A9:J9"/>
    <mergeCell ref="B10:C10"/>
    <mergeCell ref="F10:J10"/>
    <mergeCell ref="A11:A15"/>
    <mergeCell ref="B11:C11"/>
    <mergeCell ref="B12:C12"/>
    <mergeCell ref="B14:E14"/>
    <mergeCell ref="B15:D15"/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</mergeCells>
  <printOptions horizontalCentered="1" verticalCentered="1"/>
  <pageMargins left="0.51180555555555596" right="0.51180555555555596" top="0.78749999999999998" bottom="0.78749999999999998" header="0.511811023622047" footer="0.511811023622047"/>
  <pageSetup paperSize="9" scale="61" fitToHeight="2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K47"/>
  <sheetViews>
    <sheetView showGridLines="0" view="pageBreakPreview" zoomScaleNormal="100" workbookViewId="0">
      <selection activeCell="F16" sqref="F16"/>
    </sheetView>
  </sheetViews>
  <sheetFormatPr defaultColWidth="8.6640625" defaultRowHeight="14.4" x14ac:dyDescent="0.3"/>
  <cols>
    <col min="1" max="1" width="10.5546875" style="55" customWidth="1"/>
    <col min="2" max="2" width="27.6640625" style="55" customWidth="1"/>
    <col min="3" max="3" width="14.44140625" style="55" customWidth="1"/>
    <col min="4" max="5" width="15" style="55" customWidth="1"/>
    <col min="6" max="6" width="16.6640625" style="355" customWidth="1"/>
    <col min="7" max="8" width="13.109375" style="355" customWidth="1"/>
    <col min="9" max="10" width="12.5546875" style="355" customWidth="1"/>
    <col min="11" max="257" width="9.109375" style="55" customWidth="1"/>
    <col min="258" max="258" width="10.5546875" style="55" customWidth="1"/>
    <col min="259" max="259" width="27.6640625" style="55" customWidth="1"/>
    <col min="260" max="260" width="14.44140625" style="55" customWidth="1"/>
    <col min="261" max="262" width="15" style="55" customWidth="1"/>
    <col min="263" max="263" width="16.6640625" style="55" customWidth="1"/>
    <col min="264" max="264" width="13.109375" style="55" customWidth="1"/>
    <col min="265" max="266" width="12.5546875" style="55" customWidth="1"/>
    <col min="267" max="513" width="9.109375" style="55" customWidth="1"/>
    <col min="514" max="514" width="10.5546875" style="55" customWidth="1"/>
    <col min="515" max="515" width="27.6640625" style="55" customWidth="1"/>
    <col min="516" max="516" width="14.44140625" style="55" customWidth="1"/>
    <col min="517" max="518" width="15" style="55" customWidth="1"/>
    <col min="519" max="519" width="16.6640625" style="55" customWidth="1"/>
    <col min="520" max="520" width="13.109375" style="55" customWidth="1"/>
    <col min="521" max="522" width="12.5546875" style="55" customWidth="1"/>
    <col min="523" max="769" width="9.109375" style="55" customWidth="1"/>
    <col min="770" max="770" width="10.5546875" style="55" customWidth="1"/>
    <col min="771" max="771" width="27.6640625" style="55" customWidth="1"/>
    <col min="772" max="772" width="14.44140625" style="55" customWidth="1"/>
    <col min="773" max="774" width="15" style="55" customWidth="1"/>
    <col min="775" max="775" width="16.6640625" style="55" customWidth="1"/>
    <col min="776" max="776" width="13.109375" style="55" customWidth="1"/>
    <col min="777" max="778" width="12.5546875" style="55" customWidth="1"/>
    <col min="779" max="1025" width="9.109375" style="55" customWidth="1"/>
  </cols>
  <sheetData>
    <row r="1" spans="1:10" x14ac:dyDescent="0.3">
      <c r="A1" s="356"/>
      <c r="B1" s="77" t="str">
        <f>INSTRUÇÕES!B1</f>
        <v>Tribunal Regional Federal da 6ª Região</v>
      </c>
      <c r="C1" s="357"/>
      <c r="D1" s="357"/>
      <c r="E1" s="357"/>
      <c r="F1" s="358"/>
      <c r="G1" s="359"/>
      <c r="H1" s="359"/>
      <c r="I1" s="358"/>
      <c r="J1" s="360"/>
    </row>
    <row r="2" spans="1:10" x14ac:dyDescent="0.3">
      <c r="A2" s="361"/>
      <c r="B2" s="80" t="str">
        <f>INSTRUÇÕES!B2</f>
        <v>Seção Judiciária de Minas Gerais</v>
      </c>
      <c r="C2" s="47"/>
      <c r="D2" s="47"/>
      <c r="E2" s="47"/>
      <c r="F2" s="362"/>
      <c r="I2" s="362"/>
      <c r="J2" s="363"/>
    </row>
    <row r="3" spans="1:10" x14ac:dyDescent="0.3">
      <c r="A3" s="172"/>
      <c r="B3" s="294" t="str">
        <f>INSTRUÇÕES!B3</f>
        <v>Subseção Judiciária de Governador Valadares</v>
      </c>
      <c r="C3" s="47"/>
      <c r="D3" s="47"/>
      <c r="E3" s="47"/>
      <c r="F3" s="362"/>
      <c r="I3" s="362"/>
      <c r="J3" s="363"/>
    </row>
    <row r="4" spans="1:10" ht="19.5" customHeight="1" x14ac:dyDescent="0.3">
      <c r="A4" s="646" t="s">
        <v>523</v>
      </c>
      <c r="B4" s="646"/>
      <c r="C4" s="646"/>
      <c r="D4" s="646"/>
      <c r="E4" s="646"/>
      <c r="F4" s="646"/>
      <c r="G4" s="646"/>
      <c r="H4" s="646"/>
      <c r="I4" s="646"/>
      <c r="J4" s="646"/>
    </row>
    <row r="5" spans="1:10" ht="19.5" customHeight="1" x14ac:dyDescent="0.3">
      <c r="A5" s="647" t="s">
        <v>360</v>
      </c>
      <c r="B5" s="647"/>
      <c r="C5" s="647"/>
      <c r="D5" s="647"/>
      <c r="E5" s="647"/>
      <c r="F5" s="647"/>
      <c r="G5" s="647"/>
      <c r="H5" s="647"/>
      <c r="I5" s="647"/>
      <c r="J5" s="647"/>
    </row>
    <row r="6" spans="1:10" ht="36" customHeight="1" x14ac:dyDescent="0.3">
      <c r="A6" s="648" t="str">
        <f>Dados!A4</f>
        <v>Sindicato utilizado - SETHAC-GV e SEAC/MG. Vigência: 01/01/2024 à 31/12/2024. Sendo a data base da categoria 1º de Janeiro. Com número de registro no MTE MG000439/2024.</v>
      </c>
      <c r="B6" s="648"/>
      <c r="C6" s="648"/>
      <c r="D6" s="648"/>
      <c r="E6" s="648"/>
      <c r="F6" s="648"/>
      <c r="G6" s="648"/>
      <c r="H6" s="648"/>
      <c r="I6" s="648"/>
      <c r="J6" s="648"/>
    </row>
    <row r="7" spans="1:10" ht="19.5" customHeight="1" x14ac:dyDescent="0.3">
      <c r="A7" s="649" t="str">
        <f>Dados!C8</f>
        <v xml:space="preserve">Servente de Limpeza  </v>
      </c>
      <c r="B7" s="649"/>
      <c r="C7" s="649"/>
      <c r="D7" s="649"/>
      <c r="E7" s="649"/>
      <c r="F7" s="650" t="s">
        <v>524</v>
      </c>
      <c r="G7" s="650" t="s">
        <v>525</v>
      </c>
      <c r="H7" s="650" t="s">
        <v>526</v>
      </c>
      <c r="I7" s="650" t="s">
        <v>527</v>
      </c>
      <c r="J7" s="650" t="s">
        <v>528</v>
      </c>
    </row>
    <row r="8" spans="1:10" ht="19.5" customHeight="1" x14ac:dyDescent="0.3">
      <c r="A8" s="651" t="s">
        <v>529</v>
      </c>
      <c r="B8" s="651"/>
      <c r="C8" s="651"/>
      <c r="D8" s="651"/>
      <c r="E8" s="364" t="s">
        <v>436</v>
      </c>
      <c r="F8" s="650"/>
      <c r="G8" s="650"/>
      <c r="H8" s="650"/>
      <c r="I8" s="650"/>
      <c r="J8" s="650"/>
    </row>
    <row r="9" spans="1:10" ht="19.5" customHeight="1" x14ac:dyDescent="0.3">
      <c r="A9" s="652" t="s">
        <v>530</v>
      </c>
      <c r="B9" s="652"/>
      <c r="C9" s="652"/>
      <c r="D9" s="652"/>
      <c r="E9" s="652"/>
      <c r="F9" s="652"/>
      <c r="G9" s="652"/>
      <c r="H9" s="652"/>
      <c r="I9" s="652"/>
      <c r="J9" s="652"/>
    </row>
    <row r="10" spans="1:10" ht="24" customHeight="1" x14ac:dyDescent="0.3">
      <c r="A10" s="177" t="s">
        <v>437</v>
      </c>
      <c r="B10" s="653" t="s">
        <v>531</v>
      </c>
      <c r="C10" s="653"/>
      <c r="D10" s="365" t="s">
        <v>532</v>
      </c>
      <c r="E10" s="366" t="s">
        <v>533</v>
      </c>
      <c r="F10" s="654" t="s">
        <v>440</v>
      </c>
      <c r="G10" s="654"/>
      <c r="H10" s="654"/>
      <c r="I10" s="654"/>
      <c r="J10" s="654"/>
    </row>
    <row r="11" spans="1:10" ht="19.5" customHeight="1" x14ac:dyDescent="0.3">
      <c r="A11" s="655">
        <v>1</v>
      </c>
      <c r="B11" s="656" t="str">
        <f>A7</f>
        <v xml:space="preserve">Servente de Limpeza  </v>
      </c>
      <c r="C11" s="656"/>
      <c r="D11" s="367">
        <f>Dados!D8</f>
        <v>200</v>
      </c>
      <c r="E11" s="368">
        <f>Dados!E8</f>
        <v>1541.23</v>
      </c>
      <c r="F11" s="88">
        <f>ROUND(E11/220*D11,2)</f>
        <v>1401.12</v>
      </c>
      <c r="G11" s="88">
        <f>F11</f>
        <v>1401.12</v>
      </c>
      <c r="H11" s="88"/>
      <c r="I11" s="88"/>
      <c r="J11" s="369"/>
    </row>
    <row r="12" spans="1:10" ht="19.5" customHeight="1" x14ac:dyDescent="0.3">
      <c r="A12" s="655"/>
      <c r="B12" s="656" t="s">
        <v>534</v>
      </c>
      <c r="C12" s="656"/>
      <c r="D12" s="370">
        <f>Dados!G8</f>
        <v>0</v>
      </c>
      <c r="E12" s="368">
        <f>Dados!G30</f>
        <v>1518</v>
      </c>
      <c r="F12" s="88">
        <f>D12*E12</f>
        <v>0</v>
      </c>
      <c r="G12" s="88">
        <f>F12</f>
        <v>0</v>
      </c>
      <c r="H12" s="88"/>
      <c r="I12" s="88"/>
      <c r="J12" s="369">
        <f>F12</f>
        <v>0</v>
      </c>
    </row>
    <row r="13" spans="1:10" ht="21" customHeight="1" x14ac:dyDescent="0.3">
      <c r="A13" s="655"/>
      <c r="B13" s="371" t="s">
        <v>535</v>
      </c>
      <c r="C13" s="372">
        <f>Dados!I8</f>
        <v>0</v>
      </c>
      <c r="D13" s="372">
        <f>Dados!J8</f>
        <v>0</v>
      </c>
      <c r="E13" s="373">
        <f>Dados!K8</f>
        <v>0</v>
      </c>
      <c r="F13" s="374">
        <f>ROUND((E13*D13*C13),2)</f>
        <v>0</v>
      </c>
      <c r="G13" s="374">
        <f>F13</f>
        <v>0</v>
      </c>
      <c r="H13" s="374"/>
      <c r="I13" s="374"/>
      <c r="J13" s="375"/>
    </row>
    <row r="14" spans="1:10" ht="19.5" customHeight="1" x14ac:dyDescent="0.3">
      <c r="A14" s="655"/>
      <c r="B14" s="657" t="s">
        <v>536</v>
      </c>
      <c r="C14" s="657"/>
      <c r="D14" s="657"/>
      <c r="E14" s="657"/>
      <c r="F14" s="376">
        <f>SUM(F11:F13)</f>
        <v>1401.12</v>
      </c>
      <c r="G14" s="376">
        <f>SUM(G11:G13)</f>
        <v>1401.12</v>
      </c>
      <c r="H14" s="376">
        <f>SUM(H11:H13)</f>
        <v>0</v>
      </c>
      <c r="I14" s="376">
        <f>SUM(I11:I13)</f>
        <v>0</v>
      </c>
      <c r="J14" s="377">
        <f>SUM(J11:J13)</f>
        <v>0</v>
      </c>
    </row>
    <row r="15" spans="1:10" ht="19.5" customHeight="1" x14ac:dyDescent="0.3">
      <c r="A15" s="655"/>
      <c r="B15" s="658" t="s">
        <v>537</v>
      </c>
      <c r="C15" s="658"/>
      <c r="D15" s="658"/>
      <c r="E15" s="378">
        <f>Encargos!$C$57</f>
        <v>0.79049999999999998</v>
      </c>
      <c r="F15" s="88">
        <f>ROUND((E15*F14),2)</f>
        <v>1107.5899999999999</v>
      </c>
      <c r="G15" s="88">
        <f>F15</f>
        <v>1107.5899999999999</v>
      </c>
      <c r="H15" s="88"/>
      <c r="I15" s="88"/>
      <c r="J15" s="369">
        <f>ROUND((E15*J14),2)</f>
        <v>0</v>
      </c>
    </row>
    <row r="16" spans="1:10" ht="19.5" customHeight="1" x14ac:dyDescent="0.3">
      <c r="A16" s="659" t="s">
        <v>538</v>
      </c>
      <c r="B16" s="659"/>
      <c r="C16" s="659"/>
      <c r="D16" s="659"/>
      <c r="E16" s="659"/>
      <c r="F16" s="379">
        <f>SUM(F14:F15)</f>
        <v>2508.71</v>
      </c>
      <c r="G16" s="379">
        <f>SUM(G14:G15)</f>
        <v>2508.71</v>
      </c>
      <c r="H16" s="379">
        <f>SUM(H14:H15)</f>
        <v>0</v>
      </c>
      <c r="I16" s="379">
        <f>SUM(I14:I15)</f>
        <v>0</v>
      </c>
      <c r="J16" s="380">
        <f>SUM(J14:J15)</f>
        <v>0</v>
      </c>
    </row>
    <row r="17" spans="1:12" ht="19.5" customHeight="1" x14ac:dyDescent="0.3">
      <c r="A17" s="660" t="s">
        <v>539</v>
      </c>
      <c r="B17" s="660"/>
      <c r="C17" s="660"/>
      <c r="D17" s="660"/>
      <c r="E17" s="660"/>
      <c r="F17" s="660"/>
      <c r="G17" s="660"/>
      <c r="H17" s="660"/>
      <c r="I17" s="660"/>
      <c r="J17" s="660"/>
    </row>
    <row r="18" spans="1:12" ht="19.5" customHeight="1" x14ac:dyDescent="0.3">
      <c r="A18" s="661" t="s">
        <v>540</v>
      </c>
      <c r="B18" s="661"/>
      <c r="C18" s="92" t="s">
        <v>439</v>
      </c>
      <c r="D18" s="662" t="s">
        <v>541</v>
      </c>
      <c r="E18" s="662"/>
      <c r="F18" s="663" t="s">
        <v>440</v>
      </c>
      <c r="G18" s="663"/>
      <c r="H18" s="663"/>
      <c r="I18" s="663"/>
      <c r="J18" s="663"/>
    </row>
    <row r="19" spans="1:12" ht="19.5" customHeight="1" x14ac:dyDescent="0.3">
      <c r="A19" s="664" t="s">
        <v>542</v>
      </c>
      <c r="B19" s="664"/>
      <c r="C19" s="382"/>
      <c r="D19" s="382"/>
      <c r="E19" s="382"/>
      <c r="F19" s="88">
        <f>Dados!$N$8</f>
        <v>26.55</v>
      </c>
      <c r="G19" s="88">
        <f t="shared" ref="G19:G24" si="0">F19</f>
        <v>26.55</v>
      </c>
      <c r="H19" s="88"/>
      <c r="I19" s="88"/>
      <c r="J19" s="369"/>
    </row>
    <row r="20" spans="1:12" ht="19.5" customHeight="1" x14ac:dyDescent="0.3">
      <c r="A20" s="664" t="s">
        <v>543</v>
      </c>
      <c r="B20" s="664"/>
      <c r="C20" s="382"/>
      <c r="D20" s="382"/>
      <c r="E20" s="382"/>
      <c r="F20" s="88">
        <f>Dados!$G$33</f>
        <v>2.84</v>
      </c>
      <c r="G20" s="88">
        <f t="shared" si="0"/>
        <v>2.84</v>
      </c>
      <c r="H20" s="88"/>
      <c r="I20" s="88"/>
      <c r="J20" s="369"/>
    </row>
    <row r="21" spans="1:12" ht="23.25" customHeight="1" x14ac:dyDescent="0.3">
      <c r="A21" s="665" t="s">
        <v>295</v>
      </c>
      <c r="B21" s="665"/>
      <c r="C21" s="382"/>
      <c r="D21" s="382"/>
      <c r="E21" s="382"/>
      <c r="F21" s="88">
        <f>Dados!G34</f>
        <v>47.15</v>
      </c>
      <c r="G21" s="88">
        <f t="shared" si="0"/>
        <v>47.15</v>
      </c>
      <c r="H21" s="88"/>
      <c r="I21" s="88"/>
      <c r="J21" s="369"/>
    </row>
    <row r="22" spans="1:12" ht="19.5" customHeight="1" x14ac:dyDescent="0.3">
      <c r="A22" s="664" t="s">
        <v>296</v>
      </c>
      <c r="B22" s="664"/>
      <c r="C22" s="383">
        <f>Dados!$G$37</f>
        <v>22</v>
      </c>
      <c r="D22" s="383">
        <f>Dados!$G$36</f>
        <v>2</v>
      </c>
      <c r="E22" s="382">
        <f>Dados!$G$35</f>
        <v>4.25</v>
      </c>
      <c r="F22" s="88">
        <f>IF(ROUND((E22*D22*C22)-(F11*Dados!$G$38),2)&lt;0,0,ROUND((E22*D22*C22)-(F11*Dados!$G$38),2))</f>
        <v>102.93</v>
      </c>
      <c r="G22" s="88">
        <f t="shared" si="0"/>
        <v>102.93</v>
      </c>
      <c r="H22" s="88"/>
      <c r="I22" s="88">
        <f>F22</f>
        <v>102.93</v>
      </c>
      <c r="J22" s="369"/>
    </row>
    <row r="23" spans="1:12" ht="19.5" customHeight="1" x14ac:dyDescent="0.3">
      <c r="A23" s="664" t="s">
        <v>305</v>
      </c>
      <c r="B23" s="664"/>
      <c r="C23" s="383">
        <f>Dados!G40</f>
        <v>22</v>
      </c>
      <c r="D23" s="384">
        <f>Dados!G41</f>
        <v>0.2</v>
      </c>
      <c r="E23" s="382">
        <f>Dados!$G$39</f>
        <v>27.24</v>
      </c>
      <c r="F23" s="385">
        <f>ROUND((IF(D11&gt;150,((C23*E23)-(C23*(D23*E23))),0)),2)</f>
        <v>479.42</v>
      </c>
      <c r="G23" s="88">
        <f t="shared" si="0"/>
        <v>479.42</v>
      </c>
      <c r="H23" s="88">
        <f>$F$23</f>
        <v>479.42</v>
      </c>
      <c r="I23" s="385"/>
      <c r="J23" s="369"/>
    </row>
    <row r="24" spans="1:12" ht="19.5" customHeight="1" x14ac:dyDescent="0.3">
      <c r="A24" s="664" t="s">
        <v>625</v>
      </c>
      <c r="B24" s="664"/>
      <c r="C24" s="383"/>
      <c r="D24" s="383"/>
      <c r="E24" s="382"/>
      <c r="F24" s="385">
        <f>Dados!R8</f>
        <v>4.0999999999999996</v>
      </c>
      <c r="G24" s="88">
        <f t="shared" si="0"/>
        <v>4.0999999999999996</v>
      </c>
      <c r="H24" s="88"/>
      <c r="I24" s="385"/>
      <c r="J24" s="369"/>
    </row>
    <row r="25" spans="1:12" ht="19.5" customHeight="1" x14ac:dyDescent="0.3">
      <c r="A25" s="664" t="s">
        <v>308</v>
      </c>
      <c r="B25" s="664"/>
      <c r="C25" s="383"/>
      <c r="D25" s="383"/>
      <c r="E25" s="382"/>
      <c r="F25" s="385">
        <f>Dados!$G$43</f>
        <v>0</v>
      </c>
      <c r="G25" s="88"/>
      <c r="H25" s="88"/>
      <c r="I25" s="385"/>
      <c r="J25" s="369"/>
    </row>
    <row r="26" spans="1:12" ht="19.5" customHeight="1" x14ac:dyDescent="0.3">
      <c r="A26" s="664" t="s">
        <v>544</v>
      </c>
      <c r="B26" s="664"/>
      <c r="C26" s="383"/>
      <c r="D26" s="382"/>
      <c r="E26" s="382"/>
      <c r="F26" s="88">
        <f>Dados!$O$8</f>
        <v>686.08</v>
      </c>
      <c r="G26" s="88"/>
      <c r="H26" s="88"/>
      <c r="I26" s="88"/>
      <c r="J26" s="369"/>
      <c r="L26" s="386"/>
    </row>
    <row r="27" spans="1:12" ht="19.5" customHeight="1" x14ac:dyDescent="0.3">
      <c r="A27" s="381" t="s">
        <v>545</v>
      </c>
      <c r="B27" s="310"/>
      <c r="C27" s="383"/>
      <c r="D27" s="382"/>
      <c r="E27" s="382"/>
      <c r="F27" s="88"/>
      <c r="G27" s="88"/>
      <c r="H27" s="88"/>
      <c r="I27" s="88"/>
      <c r="J27" s="369"/>
    </row>
    <row r="28" spans="1:12" ht="19.5" customHeight="1" x14ac:dyDescent="0.3">
      <c r="A28" s="666" t="s">
        <v>546</v>
      </c>
      <c r="B28" s="666"/>
      <c r="C28" s="387"/>
      <c r="D28" s="388"/>
      <c r="E28" s="388"/>
      <c r="F28" s="374">
        <f>Dados!$S$8</f>
        <v>5.94</v>
      </c>
      <c r="G28" s="374">
        <f>F28</f>
        <v>5.94</v>
      </c>
      <c r="H28" s="374"/>
      <c r="I28" s="374"/>
      <c r="J28" s="375"/>
    </row>
    <row r="29" spans="1:12" ht="19.5" customHeight="1" x14ac:dyDescent="0.3">
      <c r="A29" s="667" t="s">
        <v>547</v>
      </c>
      <c r="B29" s="667"/>
      <c r="C29" s="667"/>
      <c r="D29" s="667"/>
      <c r="E29" s="667"/>
      <c r="F29" s="379">
        <f>SUM(F19:F28)</f>
        <v>1355.0100000000002</v>
      </c>
      <c r="G29" s="379">
        <f>SUM(G19:G28)</f>
        <v>668.93000000000006</v>
      </c>
      <c r="H29" s="379">
        <f>SUM(H19:H28)</f>
        <v>479.42</v>
      </c>
      <c r="I29" s="379">
        <f>SUM(I19:I28)</f>
        <v>102.93</v>
      </c>
      <c r="J29" s="380">
        <f>SUM(J19:J28)</f>
        <v>0</v>
      </c>
    </row>
    <row r="30" spans="1:12" ht="19.5" customHeight="1" x14ac:dyDescent="0.3">
      <c r="A30" s="667" t="s">
        <v>548</v>
      </c>
      <c r="B30" s="667"/>
      <c r="C30" s="667"/>
      <c r="D30" s="667"/>
      <c r="E30" s="667"/>
      <c r="F30" s="379">
        <f>F16+F29</f>
        <v>3863.7200000000003</v>
      </c>
      <c r="G30" s="379">
        <f>G16+G29</f>
        <v>3177.6400000000003</v>
      </c>
      <c r="H30" s="379">
        <f>H16+H29</f>
        <v>479.42</v>
      </c>
      <c r="I30" s="379">
        <f>I16+I29</f>
        <v>102.93</v>
      </c>
      <c r="J30" s="380">
        <f>J16+J29</f>
        <v>0</v>
      </c>
    </row>
    <row r="31" spans="1:12" ht="19.5" customHeight="1" x14ac:dyDescent="0.3">
      <c r="A31" s="652" t="s">
        <v>549</v>
      </c>
      <c r="B31" s="652"/>
      <c r="C31" s="652"/>
      <c r="D31" s="652"/>
      <c r="E31" s="652"/>
      <c r="F31" s="652"/>
      <c r="G31" s="652"/>
      <c r="H31" s="652"/>
      <c r="I31" s="652"/>
      <c r="J31" s="652"/>
    </row>
    <row r="32" spans="1:12" ht="19.5" customHeight="1" x14ac:dyDescent="0.3">
      <c r="A32" s="661" t="s">
        <v>550</v>
      </c>
      <c r="B32" s="661"/>
      <c r="C32" s="661"/>
      <c r="D32" s="91" t="s">
        <v>489</v>
      </c>
      <c r="E32" s="668" t="s">
        <v>440</v>
      </c>
      <c r="F32" s="668"/>
      <c r="G32" s="668"/>
      <c r="H32" s="668"/>
      <c r="I32" s="668"/>
      <c r="J32" s="668"/>
    </row>
    <row r="33" spans="1:12" ht="19.5" customHeight="1" x14ac:dyDescent="0.3">
      <c r="A33" s="389" t="s">
        <v>551</v>
      </c>
      <c r="B33" s="390"/>
      <c r="C33" s="390"/>
      <c r="D33" s="391">
        <f>Dados!$G$46</f>
        <v>0.03</v>
      </c>
      <c r="E33" s="392"/>
      <c r="F33" s="88">
        <f>ROUND((F30*$D$33),2)</f>
        <v>115.91</v>
      </c>
      <c r="G33" s="88">
        <f>ROUND((G30*$D$33),2)</f>
        <v>95.33</v>
      </c>
      <c r="H33" s="88">
        <f>ROUND((H30*$D$33),2)</f>
        <v>14.38</v>
      </c>
      <c r="I33" s="88">
        <f>ROUND((I30*$D$33),2)</f>
        <v>3.09</v>
      </c>
      <c r="J33" s="369">
        <f>ROUND((J30*$D$33),2)</f>
        <v>0</v>
      </c>
    </row>
    <row r="34" spans="1:12" ht="19.5" customHeight="1" x14ac:dyDescent="0.3">
      <c r="A34" s="669" t="s">
        <v>552</v>
      </c>
      <c r="B34" s="669"/>
      <c r="C34" s="669"/>
      <c r="D34" s="391"/>
      <c r="E34" s="392"/>
      <c r="F34" s="88">
        <f>F30+F33</f>
        <v>3979.63</v>
      </c>
      <c r="G34" s="88">
        <f>G30+G33</f>
        <v>3272.9700000000003</v>
      </c>
      <c r="H34" s="88">
        <f>H30+H33</f>
        <v>493.8</v>
      </c>
      <c r="I34" s="88">
        <f>I30+I33</f>
        <v>106.02000000000001</v>
      </c>
      <c r="J34" s="369">
        <f>J30+J33</f>
        <v>0</v>
      </c>
    </row>
    <row r="35" spans="1:12" ht="19.5" customHeight="1" x14ac:dyDescent="0.3">
      <c r="A35" s="393" t="s">
        <v>313</v>
      </c>
      <c r="B35" s="394"/>
      <c r="C35" s="394"/>
      <c r="D35" s="395">
        <f>Dados!$G$47</f>
        <v>6.7900000000000002E-2</v>
      </c>
      <c r="E35" s="396"/>
      <c r="F35" s="374">
        <f>ROUND((F34*$D$35),2)</f>
        <v>270.22000000000003</v>
      </c>
      <c r="G35" s="374">
        <f>ROUND((G34*$D$35),2)</f>
        <v>222.23</v>
      </c>
      <c r="H35" s="374">
        <f>ROUND((H34*$D$35),2)</f>
        <v>33.53</v>
      </c>
      <c r="I35" s="374">
        <f>ROUND((I34*$D$35),2)</f>
        <v>7.2</v>
      </c>
      <c r="J35" s="375">
        <f>ROUND((J34*$D$35),2)</f>
        <v>0</v>
      </c>
    </row>
    <row r="36" spans="1:12" ht="19.5" customHeight="1" x14ac:dyDescent="0.3">
      <c r="A36" s="397" t="s">
        <v>553</v>
      </c>
      <c r="B36" s="398"/>
      <c r="C36" s="398"/>
      <c r="D36" s="399">
        <f>SUM(D33:D35)</f>
        <v>9.7900000000000001E-2</v>
      </c>
      <c r="E36" s="400"/>
      <c r="F36" s="379">
        <f>F33+F35</f>
        <v>386.13</v>
      </c>
      <c r="G36" s="379">
        <f>G33+G35</f>
        <v>317.56</v>
      </c>
      <c r="H36" s="379">
        <f>H33+H35</f>
        <v>47.910000000000004</v>
      </c>
      <c r="I36" s="379">
        <f>I33+I35</f>
        <v>10.29</v>
      </c>
      <c r="J36" s="380">
        <f>J33+J35</f>
        <v>0</v>
      </c>
    </row>
    <row r="37" spans="1:12" ht="19.5" customHeight="1" x14ac:dyDescent="0.3">
      <c r="A37" s="670" t="s">
        <v>554</v>
      </c>
      <c r="B37" s="670"/>
      <c r="C37" s="670"/>
      <c r="D37" s="670"/>
      <c r="E37" s="670"/>
      <c r="F37" s="401">
        <f>F30+F36</f>
        <v>4249.8500000000004</v>
      </c>
      <c r="G37" s="401">
        <f>G30+G36</f>
        <v>3495.2000000000003</v>
      </c>
      <c r="H37" s="401">
        <f>H30+H36</f>
        <v>527.33000000000004</v>
      </c>
      <c r="I37" s="401">
        <f>I30+I36</f>
        <v>113.22</v>
      </c>
      <c r="J37" s="402">
        <f>J30+J36</f>
        <v>0</v>
      </c>
    </row>
    <row r="38" spans="1:12" ht="19.5" customHeight="1" x14ac:dyDescent="0.3">
      <c r="A38" s="671" t="s">
        <v>555</v>
      </c>
      <c r="B38" s="671"/>
      <c r="C38" s="671"/>
      <c r="D38" s="671"/>
      <c r="E38" s="671"/>
      <c r="F38" s="671"/>
      <c r="G38" s="671"/>
      <c r="H38" s="671"/>
      <c r="I38" s="671"/>
      <c r="J38" s="671"/>
    </row>
    <row r="39" spans="1:12" ht="19.5" customHeight="1" x14ac:dyDescent="0.3">
      <c r="A39" s="664" t="s">
        <v>319</v>
      </c>
      <c r="B39" s="664"/>
      <c r="C39" s="664"/>
      <c r="D39" s="391">
        <f>Dados!G54</f>
        <v>7.5999999999999998E-2</v>
      </c>
      <c r="E39" s="88"/>
      <c r="F39" s="88">
        <f>ROUND(($F$45*D39),2)</f>
        <v>376.66</v>
      </c>
      <c r="G39" s="88">
        <f>ROUND((G45*$D$39),2)</f>
        <v>309.77999999999997</v>
      </c>
      <c r="H39" s="88">
        <f>ROUND((H45*$D$39),2)</f>
        <v>46.74</v>
      </c>
      <c r="I39" s="88">
        <f>ROUND((I45*$D$39),2)</f>
        <v>10.029999999999999</v>
      </c>
      <c r="J39" s="369">
        <f>ROUND((J45*$D$39),2)</f>
        <v>0</v>
      </c>
    </row>
    <row r="40" spans="1:12" ht="19.5" customHeight="1" x14ac:dyDescent="0.3">
      <c r="A40" s="664" t="s">
        <v>321</v>
      </c>
      <c r="B40" s="664"/>
      <c r="C40" s="664"/>
      <c r="D40" s="391">
        <f>Dados!G55</f>
        <v>1.6500000000000001E-2</v>
      </c>
      <c r="E40" s="88"/>
      <c r="F40" s="88">
        <f>ROUND((F45*$D$40),2)</f>
        <v>81.78</v>
      </c>
      <c r="G40" s="88">
        <f>ROUND((G45*$D$40),2)</f>
        <v>67.25</v>
      </c>
      <c r="H40" s="88">
        <f>ROUND((H45*$D$40),2)</f>
        <v>10.15</v>
      </c>
      <c r="I40" s="88">
        <f>ROUND((I45*$D$40),2)</f>
        <v>2.1800000000000002</v>
      </c>
      <c r="J40" s="369">
        <f>ROUND((J45*$D$40),2)</f>
        <v>0</v>
      </c>
    </row>
    <row r="41" spans="1:12" ht="19.5" customHeight="1" x14ac:dyDescent="0.3">
      <c r="A41" s="664" t="s">
        <v>322</v>
      </c>
      <c r="B41" s="664"/>
      <c r="C41" s="664"/>
      <c r="D41" s="391">
        <f>Dados!G56</f>
        <v>0.05</v>
      </c>
      <c r="E41" s="88"/>
      <c r="F41" s="88">
        <f>ROUND((F45*$D$41),2)</f>
        <v>247.8</v>
      </c>
      <c r="G41" s="88">
        <f>ROUND((G45*$D$41),2)</f>
        <v>203.8</v>
      </c>
      <c r="H41" s="88">
        <f>ROUND((H45*$D$41),2)</f>
        <v>30.75</v>
      </c>
      <c r="I41" s="88">
        <f>ROUND((I45*$D$41),2)</f>
        <v>6.6</v>
      </c>
      <c r="J41" s="369">
        <f>ROUND((J45*$D$41),2)</f>
        <v>0</v>
      </c>
    </row>
    <row r="42" spans="1:12" ht="19.5" customHeight="1" x14ac:dyDescent="0.3">
      <c r="A42" s="664" t="s">
        <v>308</v>
      </c>
      <c r="B42" s="664"/>
      <c r="C42" s="664"/>
      <c r="D42" s="391">
        <f>Dados!G57</f>
        <v>0</v>
      </c>
      <c r="E42" s="88"/>
      <c r="F42" s="88">
        <f>ROUND((F45*$D$42),2)</f>
        <v>0</v>
      </c>
      <c r="G42" s="88">
        <f>ROUND((G45*$D$42),2)</f>
        <v>0</v>
      </c>
      <c r="H42" s="88">
        <f>ROUND((H45*$D$42),2)</f>
        <v>0</v>
      </c>
      <c r="I42" s="88">
        <f>ROUND((I45*$D$42),2)</f>
        <v>0</v>
      </c>
      <c r="J42" s="369">
        <f>ROUND((J45*$D$42),2)</f>
        <v>0</v>
      </c>
    </row>
    <row r="43" spans="1:12" ht="19.5" customHeight="1" x14ac:dyDescent="0.3">
      <c r="A43" s="673" t="s">
        <v>556</v>
      </c>
      <c r="B43" s="673"/>
      <c r="C43" s="673"/>
      <c r="D43" s="403">
        <f>SUM(D39:D42)</f>
        <v>0.14250000000000002</v>
      </c>
      <c r="E43" s="404"/>
      <c r="F43" s="405">
        <f>SUM(F39:F42)</f>
        <v>706.24</v>
      </c>
      <c r="G43" s="405">
        <f>SUM(G39:G42)</f>
        <v>580.82999999999993</v>
      </c>
      <c r="H43" s="405">
        <f>SUM(H39:H42)</f>
        <v>87.64</v>
      </c>
      <c r="I43" s="405">
        <f>SUM(I39:I42)</f>
        <v>18.809999999999999</v>
      </c>
      <c r="J43" s="406">
        <f>SUM(J39:J41)</f>
        <v>0</v>
      </c>
    </row>
    <row r="44" spans="1:12" ht="19.5" customHeight="1" x14ac:dyDescent="0.3">
      <c r="A44" s="674" t="str">
        <f>CONCATENATE("Custo Mensal - ",A7)</f>
        <v xml:space="preserve">Custo Mensal - Servente de Limpeza  </v>
      </c>
      <c r="B44" s="674"/>
      <c r="C44" s="674"/>
      <c r="D44" s="674"/>
      <c r="E44" s="674"/>
      <c r="F44" s="407">
        <f>ROUND(F37/(1-D43),2)</f>
        <v>4956.09</v>
      </c>
      <c r="G44" s="407">
        <f>ROUND(G37/(1-D43),2)</f>
        <v>4076.03</v>
      </c>
      <c r="H44" s="407">
        <f>ROUND(H37/(1-D43),2)</f>
        <v>614.96</v>
      </c>
      <c r="I44" s="407">
        <f>ROUND(I37/(1-D43),2)</f>
        <v>132.03</v>
      </c>
      <c r="J44" s="408">
        <f>ROUND(J37/(1-D43),2)</f>
        <v>0</v>
      </c>
    </row>
    <row r="45" spans="1:12" ht="19.5" customHeight="1" x14ac:dyDescent="0.3">
      <c r="A45" s="674" t="str">
        <f>CONCATENATE("Valor do Custo Mensal - ",A7)</f>
        <v xml:space="preserve">Valor do Custo Mensal - Servente de Limpeza  </v>
      </c>
      <c r="B45" s="674"/>
      <c r="C45" s="674"/>
      <c r="D45" s="674"/>
      <c r="E45" s="674"/>
      <c r="F45" s="407">
        <f>F44</f>
        <v>4956.09</v>
      </c>
      <c r="G45" s="407">
        <f>G44</f>
        <v>4076.03</v>
      </c>
      <c r="H45" s="407">
        <f>H44</f>
        <v>614.96</v>
      </c>
      <c r="I45" s="407">
        <f>I44</f>
        <v>132.03</v>
      </c>
      <c r="J45" s="408">
        <f>J44</f>
        <v>0</v>
      </c>
      <c r="K45" s="409"/>
      <c r="L45" s="409"/>
    </row>
    <row r="46" spans="1:12" ht="27.75" customHeight="1" x14ac:dyDescent="0.3">
      <c r="A46" s="675" t="s">
        <v>557</v>
      </c>
      <c r="B46" s="675"/>
      <c r="C46" s="675"/>
      <c r="D46" s="675"/>
      <c r="E46" s="675"/>
      <c r="F46" s="410">
        <f>(F45/F14)</f>
        <v>3.5372344981157933</v>
      </c>
      <c r="G46" s="410">
        <f>(G45/G14)</f>
        <v>2.9091227018385295</v>
      </c>
      <c r="H46" s="672" t="s">
        <v>558</v>
      </c>
      <c r="I46" s="672"/>
      <c r="J46" s="411">
        <v>0</v>
      </c>
    </row>
    <row r="47" spans="1:12" ht="19.5" customHeight="1" x14ac:dyDescent="0.3"/>
  </sheetData>
  <sheetProtection password="C494" sheet="1" objects="1" scenarios="1"/>
  <mergeCells count="49">
    <mergeCell ref="H46:I46"/>
    <mergeCell ref="A42:C42"/>
    <mergeCell ref="A43:C43"/>
    <mergeCell ref="A44:E44"/>
    <mergeCell ref="A45:E45"/>
    <mergeCell ref="A46:E46"/>
    <mergeCell ref="A37:E37"/>
    <mergeCell ref="A38:J38"/>
    <mergeCell ref="A39:C39"/>
    <mergeCell ref="A40:C40"/>
    <mergeCell ref="A41:C41"/>
    <mergeCell ref="A30:E30"/>
    <mergeCell ref="A31:J31"/>
    <mergeCell ref="A32:C32"/>
    <mergeCell ref="E32:J32"/>
    <mergeCell ref="A34:C34"/>
    <mergeCell ref="A24:B24"/>
    <mergeCell ref="A25:B25"/>
    <mergeCell ref="A26:B26"/>
    <mergeCell ref="A28:B28"/>
    <mergeCell ref="A29:E29"/>
    <mergeCell ref="A19:B19"/>
    <mergeCell ref="A20:B20"/>
    <mergeCell ref="A21:B21"/>
    <mergeCell ref="A22:B22"/>
    <mergeCell ref="A23:B23"/>
    <mergeCell ref="A16:E16"/>
    <mergeCell ref="A17:J17"/>
    <mergeCell ref="A18:B18"/>
    <mergeCell ref="D18:E18"/>
    <mergeCell ref="F18:J18"/>
    <mergeCell ref="A9:J9"/>
    <mergeCell ref="B10:C10"/>
    <mergeCell ref="F10:J10"/>
    <mergeCell ref="A11:A15"/>
    <mergeCell ref="B11:C11"/>
    <mergeCell ref="B12:C12"/>
    <mergeCell ref="B14:E14"/>
    <mergeCell ref="B15:D15"/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</mergeCells>
  <printOptions horizontalCentered="1" verticalCentered="1"/>
  <pageMargins left="0.51180555555555596" right="0.51180555555555596" top="0.78749999999999998" bottom="0.78749999999999998" header="0.511811023622047" footer="0.511811023622047"/>
  <pageSetup paperSize="9" scale="61" fitToHeight="2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MK47"/>
  <sheetViews>
    <sheetView showGridLines="0" view="pageBreakPreview" zoomScaleNormal="100" workbookViewId="0">
      <selection activeCell="A7" sqref="A7:E7"/>
    </sheetView>
  </sheetViews>
  <sheetFormatPr defaultColWidth="8.6640625" defaultRowHeight="14.4" x14ac:dyDescent="0.3"/>
  <cols>
    <col min="1" max="1" width="10.5546875" style="55" customWidth="1"/>
    <col min="2" max="2" width="27.6640625" style="55" customWidth="1"/>
    <col min="3" max="3" width="14.44140625" style="55" customWidth="1"/>
    <col min="4" max="5" width="15" style="55" customWidth="1"/>
    <col min="6" max="6" width="16.6640625" style="355" customWidth="1"/>
    <col min="7" max="8" width="13.109375" style="355" customWidth="1"/>
    <col min="9" max="10" width="12.5546875" style="355" customWidth="1"/>
    <col min="11" max="257" width="9.109375" style="55" customWidth="1"/>
    <col min="258" max="258" width="10.5546875" style="55" customWidth="1"/>
    <col min="259" max="259" width="27.6640625" style="55" customWidth="1"/>
    <col min="260" max="260" width="14.44140625" style="55" customWidth="1"/>
    <col min="261" max="262" width="15" style="55" customWidth="1"/>
    <col min="263" max="263" width="16.6640625" style="55" customWidth="1"/>
    <col min="264" max="264" width="13.109375" style="55" customWidth="1"/>
    <col min="265" max="266" width="12.5546875" style="55" customWidth="1"/>
    <col min="267" max="513" width="9.109375" style="55" customWidth="1"/>
    <col min="514" max="514" width="10.5546875" style="55" customWidth="1"/>
    <col min="515" max="515" width="27.6640625" style="55" customWidth="1"/>
    <col min="516" max="516" width="14.44140625" style="55" customWidth="1"/>
    <col min="517" max="518" width="15" style="55" customWidth="1"/>
    <col min="519" max="519" width="16.6640625" style="55" customWidth="1"/>
    <col min="520" max="520" width="13.109375" style="55" customWidth="1"/>
    <col min="521" max="522" width="12.5546875" style="55" customWidth="1"/>
    <col min="523" max="769" width="9.109375" style="55" customWidth="1"/>
    <col min="770" max="770" width="10.5546875" style="55" customWidth="1"/>
    <col min="771" max="771" width="27.6640625" style="55" customWidth="1"/>
    <col min="772" max="772" width="14.44140625" style="55" customWidth="1"/>
    <col min="773" max="774" width="15" style="55" customWidth="1"/>
    <col min="775" max="775" width="16.6640625" style="55" customWidth="1"/>
    <col min="776" max="776" width="13.109375" style="55" customWidth="1"/>
    <col min="777" max="778" width="12.5546875" style="55" customWidth="1"/>
    <col min="779" max="1025" width="9.109375" style="55" customWidth="1"/>
  </cols>
  <sheetData>
    <row r="1" spans="1:10" x14ac:dyDescent="0.3">
      <c r="A1" s="356"/>
      <c r="B1" s="77" t="str">
        <f>INSTRUÇÕES!B1</f>
        <v>Tribunal Regional Federal da 6ª Região</v>
      </c>
      <c r="C1" s="357"/>
      <c r="D1" s="357"/>
      <c r="E1" s="357"/>
      <c r="F1" s="358"/>
      <c r="G1" s="359"/>
      <c r="H1" s="359"/>
      <c r="I1" s="358"/>
      <c r="J1" s="360"/>
    </row>
    <row r="2" spans="1:10" x14ac:dyDescent="0.3">
      <c r="A2" s="361"/>
      <c r="B2" s="80" t="str">
        <f>INSTRUÇÕES!B2</f>
        <v>Seção Judiciária de Minas Gerais</v>
      </c>
      <c r="C2" s="47"/>
      <c r="D2" s="47"/>
      <c r="E2" s="47"/>
      <c r="F2" s="362"/>
      <c r="I2" s="362"/>
      <c r="J2" s="363"/>
    </row>
    <row r="3" spans="1:10" x14ac:dyDescent="0.3">
      <c r="A3" s="172"/>
      <c r="B3" s="294" t="str">
        <f>INSTRUÇÕES!B3</f>
        <v>Subseção Judiciária de Governador Valadares</v>
      </c>
      <c r="C3" s="47"/>
      <c r="D3" s="47"/>
      <c r="E3" s="47"/>
      <c r="F3" s="362"/>
      <c r="I3" s="362"/>
      <c r="J3" s="363"/>
    </row>
    <row r="4" spans="1:10" ht="19.5" customHeight="1" x14ac:dyDescent="0.3">
      <c r="A4" s="646" t="s">
        <v>523</v>
      </c>
      <c r="B4" s="646"/>
      <c r="C4" s="646"/>
      <c r="D4" s="646"/>
      <c r="E4" s="646"/>
      <c r="F4" s="646"/>
      <c r="G4" s="646"/>
      <c r="H4" s="646"/>
      <c r="I4" s="646"/>
      <c r="J4" s="646"/>
    </row>
    <row r="5" spans="1:10" ht="19.5" customHeight="1" x14ac:dyDescent="0.3">
      <c r="A5" s="647" t="s">
        <v>360</v>
      </c>
      <c r="B5" s="647"/>
      <c r="C5" s="647"/>
      <c r="D5" s="647"/>
      <c r="E5" s="647"/>
      <c r="F5" s="647"/>
      <c r="G5" s="647"/>
      <c r="H5" s="647"/>
      <c r="I5" s="647"/>
      <c r="J5" s="647"/>
    </row>
    <row r="6" spans="1:10" ht="36" customHeight="1" x14ac:dyDescent="0.3">
      <c r="A6" s="648" t="str">
        <f>Dados!A4</f>
        <v>Sindicato utilizado - SETHAC-GV e SEAC/MG. Vigência: 01/01/2024 à 31/12/2024. Sendo a data base da categoria 1º de Janeiro. Com número de registro no MTE MG000439/2024.</v>
      </c>
      <c r="B6" s="648"/>
      <c r="C6" s="648"/>
      <c r="D6" s="648"/>
      <c r="E6" s="648"/>
      <c r="F6" s="648"/>
      <c r="G6" s="648"/>
      <c r="H6" s="648"/>
      <c r="I6" s="648"/>
      <c r="J6" s="648"/>
    </row>
    <row r="7" spans="1:10" ht="19.5" customHeight="1" x14ac:dyDescent="0.3">
      <c r="A7" s="649" t="str">
        <f>Resumo!B14</f>
        <v>Servente acúmulo Copeira</v>
      </c>
      <c r="B7" s="649"/>
      <c r="C7" s="649"/>
      <c r="D7" s="649"/>
      <c r="E7" s="649"/>
      <c r="F7" s="650" t="s">
        <v>524</v>
      </c>
      <c r="G7" s="650" t="s">
        <v>525</v>
      </c>
      <c r="H7" s="650" t="s">
        <v>526</v>
      </c>
      <c r="I7" s="650" t="s">
        <v>527</v>
      </c>
      <c r="J7" s="650" t="s">
        <v>528</v>
      </c>
    </row>
    <row r="8" spans="1:10" ht="19.5" customHeight="1" x14ac:dyDescent="0.3">
      <c r="A8" s="651" t="s">
        <v>529</v>
      </c>
      <c r="B8" s="651"/>
      <c r="C8" s="651"/>
      <c r="D8" s="651"/>
      <c r="E8" s="364" t="s">
        <v>436</v>
      </c>
      <c r="F8" s="650"/>
      <c r="G8" s="650"/>
      <c r="H8" s="650"/>
      <c r="I8" s="650"/>
      <c r="J8" s="650"/>
    </row>
    <row r="9" spans="1:10" ht="19.5" customHeight="1" x14ac:dyDescent="0.3">
      <c r="A9" s="652" t="s">
        <v>530</v>
      </c>
      <c r="B9" s="652"/>
      <c r="C9" s="652"/>
      <c r="D9" s="652"/>
      <c r="E9" s="652"/>
      <c r="F9" s="652"/>
      <c r="G9" s="652"/>
      <c r="H9" s="652"/>
      <c r="I9" s="652"/>
      <c r="J9" s="652"/>
    </row>
    <row r="10" spans="1:10" ht="24" customHeight="1" x14ac:dyDescent="0.3">
      <c r="A10" s="177" t="s">
        <v>437</v>
      </c>
      <c r="B10" s="653" t="s">
        <v>531</v>
      </c>
      <c r="C10" s="653"/>
      <c r="D10" s="365" t="s">
        <v>532</v>
      </c>
      <c r="E10" s="366" t="s">
        <v>533</v>
      </c>
      <c r="F10" s="654" t="s">
        <v>440</v>
      </c>
      <c r="G10" s="654"/>
      <c r="H10" s="654"/>
      <c r="I10" s="654"/>
      <c r="J10" s="654"/>
    </row>
    <row r="11" spans="1:10" ht="19.5" customHeight="1" x14ac:dyDescent="0.3">
      <c r="A11" s="655">
        <v>1</v>
      </c>
      <c r="B11" s="656" t="str">
        <f>A7</f>
        <v>Servente acúmulo Copeira</v>
      </c>
      <c r="C11" s="656"/>
      <c r="D11" s="367">
        <f>Dados!$D$9</f>
        <v>200</v>
      </c>
      <c r="E11" s="368">
        <f>Dados!$E$9</f>
        <v>1541.23</v>
      </c>
      <c r="F11" s="88">
        <f>ROUND(E11/220*D11,2)</f>
        <v>1401.12</v>
      </c>
      <c r="G11" s="88">
        <f>F11</f>
        <v>1401.12</v>
      </c>
      <c r="H11" s="88"/>
      <c r="I11" s="88"/>
      <c r="J11" s="369"/>
    </row>
    <row r="12" spans="1:10" ht="19.5" customHeight="1" x14ac:dyDescent="0.3">
      <c r="A12" s="655"/>
      <c r="B12" s="656" t="s">
        <v>534</v>
      </c>
      <c r="C12" s="656"/>
      <c r="D12" s="370">
        <f>Dados!G8</f>
        <v>0</v>
      </c>
      <c r="E12" s="368">
        <f>Dados!$G$30</f>
        <v>1518</v>
      </c>
      <c r="F12" s="88">
        <f>D12*E12</f>
        <v>0</v>
      </c>
      <c r="G12" s="88">
        <f>F12</f>
        <v>0</v>
      </c>
      <c r="H12" s="88"/>
      <c r="I12" s="88"/>
      <c r="J12" s="369">
        <f>F12</f>
        <v>0</v>
      </c>
    </row>
    <row r="13" spans="1:10" ht="22.5" customHeight="1" x14ac:dyDescent="0.3">
      <c r="A13" s="655"/>
      <c r="B13" s="371" t="s">
        <v>535</v>
      </c>
      <c r="C13" s="372">
        <f>Dados!$I$9</f>
        <v>0.12</v>
      </c>
      <c r="D13" s="372">
        <f>Dados!$J$9</f>
        <v>0.25</v>
      </c>
      <c r="E13" s="373">
        <f>Dados!$K$9</f>
        <v>1401.12</v>
      </c>
      <c r="F13" s="374">
        <f>ROUND((E13*D13*C13),2)</f>
        <v>42.03</v>
      </c>
      <c r="G13" s="374">
        <f>F13</f>
        <v>42.03</v>
      </c>
      <c r="H13" s="374"/>
      <c r="I13" s="374"/>
      <c r="J13" s="375"/>
    </row>
    <row r="14" spans="1:10" ht="19.5" customHeight="1" x14ac:dyDescent="0.3">
      <c r="A14" s="655"/>
      <c r="B14" s="657" t="s">
        <v>536</v>
      </c>
      <c r="C14" s="657"/>
      <c r="D14" s="657"/>
      <c r="E14" s="657"/>
      <c r="F14" s="376">
        <f>SUM(F11:F13)</f>
        <v>1443.1499999999999</v>
      </c>
      <c r="G14" s="376">
        <f>SUM(G11:G13)</f>
        <v>1443.1499999999999</v>
      </c>
      <c r="H14" s="376">
        <f>SUM(H11:H13)</f>
        <v>0</v>
      </c>
      <c r="I14" s="376">
        <f>SUM(I11:I13)</f>
        <v>0</v>
      </c>
      <c r="J14" s="377">
        <f>SUM(J11:J13)</f>
        <v>0</v>
      </c>
    </row>
    <row r="15" spans="1:10" ht="19.5" customHeight="1" x14ac:dyDescent="0.3">
      <c r="A15" s="655"/>
      <c r="B15" s="658" t="s">
        <v>537</v>
      </c>
      <c r="C15" s="658"/>
      <c r="D15" s="658"/>
      <c r="E15" s="378">
        <f>Encargos!$C$57</f>
        <v>0.79049999999999998</v>
      </c>
      <c r="F15" s="88">
        <f>ROUND((E15*F14),2)</f>
        <v>1140.81</v>
      </c>
      <c r="G15" s="88">
        <f>F15</f>
        <v>1140.81</v>
      </c>
      <c r="H15" s="88"/>
      <c r="I15" s="88"/>
      <c r="J15" s="369">
        <f>ROUND((E15*J14),2)</f>
        <v>0</v>
      </c>
    </row>
    <row r="16" spans="1:10" ht="19.5" customHeight="1" x14ac:dyDescent="0.3">
      <c r="A16" s="659" t="s">
        <v>538</v>
      </c>
      <c r="B16" s="659"/>
      <c r="C16" s="659"/>
      <c r="D16" s="659"/>
      <c r="E16" s="659"/>
      <c r="F16" s="379">
        <f>SUM(F14:F15)</f>
        <v>2583.96</v>
      </c>
      <c r="G16" s="379">
        <f>SUM(G14:G15)</f>
        <v>2583.96</v>
      </c>
      <c r="H16" s="379">
        <f>SUM(H14:H15)</f>
        <v>0</v>
      </c>
      <c r="I16" s="379">
        <f>SUM(I14:I15)</f>
        <v>0</v>
      </c>
      <c r="J16" s="380">
        <f>SUM(J14:J15)</f>
        <v>0</v>
      </c>
    </row>
    <row r="17" spans="1:12" ht="19.5" customHeight="1" x14ac:dyDescent="0.3">
      <c r="A17" s="660" t="s">
        <v>539</v>
      </c>
      <c r="B17" s="660"/>
      <c r="C17" s="660"/>
      <c r="D17" s="660"/>
      <c r="E17" s="660"/>
      <c r="F17" s="660"/>
      <c r="G17" s="660"/>
      <c r="H17" s="660"/>
      <c r="I17" s="660"/>
      <c r="J17" s="660"/>
    </row>
    <row r="18" spans="1:12" ht="19.5" customHeight="1" x14ac:dyDescent="0.3">
      <c r="A18" s="661" t="s">
        <v>540</v>
      </c>
      <c r="B18" s="661"/>
      <c r="C18" s="92" t="s">
        <v>439</v>
      </c>
      <c r="D18" s="662" t="s">
        <v>541</v>
      </c>
      <c r="E18" s="662"/>
      <c r="F18" s="663" t="s">
        <v>440</v>
      </c>
      <c r="G18" s="663"/>
      <c r="H18" s="663"/>
      <c r="I18" s="663"/>
      <c r="J18" s="663"/>
    </row>
    <row r="19" spans="1:12" ht="19.5" customHeight="1" x14ac:dyDescent="0.3">
      <c r="A19" s="664" t="s">
        <v>542</v>
      </c>
      <c r="B19" s="664"/>
      <c r="C19" s="382"/>
      <c r="D19" s="382"/>
      <c r="E19" s="382"/>
      <c r="F19" s="88">
        <f>Dados!$N$9</f>
        <v>34.82</v>
      </c>
      <c r="G19" s="88">
        <f t="shared" ref="G19:G24" si="0">F19</f>
        <v>34.82</v>
      </c>
      <c r="H19" s="88"/>
      <c r="I19" s="88"/>
      <c r="J19" s="369"/>
    </row>
    <row r="20" spans="1:12" ht="19.5" customHeight="1" x14ac:dyDescent="0.3">
      <c r="A20" s="664" t="s">
        <v>543</v>
      </c>
      <c r="B20" s="664"/>
      <c r="C20" s="382"/>
      <c r="D20" s="382"/>
      <c r="E20" s="382"/>
      <c r="F20" s="88">
        <f>Dados!$G$33</f>
        <v>2.84</v>
      </c>
      <c r="G20" s="88">
        <f t="shared" si="0"/>
        <v>2.84</v>
      </c>
      <c r="H20" s="88"/>
      <c r="I20" s="88"/>
      <c r="J20" s="369"/>
    </row>
    <row r="21" spans="1:12" ht="23.25" customHeight="1" x14ac:dyDescent="0.3">
      <c r="A21" s="665" t="s">
        <v>295</v>
      </c>
      <c r="B21" s="665"/>
      <c r="C21" s="382"/>
      <c r="D21" s="382"/>
      <c r="E21" s="382"/>
      <c r="F21" s="88">
        <f>Dados!G34</f>
        <v>47.15</v>
      </c>
      <c r="G21" s="88">
        <f t="shared" si="0"/>
        <v>47.15</v>
      </c>
      <c r="H21" s="88"/>
      <c r="I21" s="88"/>
      <c r="J21" s="369"/>
    </row>
    <row r="22" spans="1:12" ht="19.5" customHeight="1" x14ac:dyDescent="0.3">
      <c r="A22" s="664" t="s">
        <v>296</v>
      </c>
      <c r="B22" s="664"/>
      <c r="C22" s="383">
        <f>Dados!$G$37</f>
        <v>22</v>
      </c>
      <c r="D22" s="383">
        <f>Dados!$G$36</f>
        <v>2</v>
      </c>
      <c r="E22" s="382">
        <f>Dados!$G$35</f>
        <v>4.25</v>
      </c>
      <c r="F22" s="88">
        <f>IF(ROUND((E22*D22*C22)-(F11*Dados!$G$38),2)&lt;0,0,ROUND((E22*D22*C22)-(F11*Dados!$G$38),2))</f>
        <v>102.93</v>
      </c>
      <c r="G22" s="88">
        <f t="shared" si="0"/>
        <v>102.93</v>
      </c>
      <c r="H22" s="88"/>
      <c r="I22" s="88">
        <f>F22</f>
        <v>102.93</v>
      </c>
      <c r="J22" s="369"/>
    </row>
    <row r="23" spans="1:12" ht="19.5" customHeight="1" x14ac:dyDescent="0.3">
      <c r="A23" s="664" t="s">
        <v>305</v>
      </c>
      <c r="B23" s="664"/>
      <c r="C23" s="383">
        <f>Dados!G40</f>
        <v>22</v>
      </c>
      <c r="D23" s="384">
        <f>Dados!G41</f>
        <v>0.2</v>
      </c>
      <c r="E23" s="382">
        <f>Dados!$G$39</f>
        <v>27.24</v>
      </c>
      <c r="F23" s="385">
        <f>ROUND((IF(D11&gt;150,((C23*E23)-(C23*(D23*E23))),0)),2)</f>
        <v>479.42</v>
      </c>
      <c r="G23" s="88">
        <f t="shared" si="0"/>
        <v>479.42</v>
      </c>
      <c r="H23" s="88">
        <f>$F$23</f>
        <v>479.42</v>
      </c>
      <c r="I23" s="385"/>
      <c r="J23" s="369"/>
    </row>
    <row r="24" spans="1:12" ht="19.5" customHeight="1" x14ac:dyDescent="0.3">
      <c r="A24" s="664" t="s">
        <v>625</v>
      </c>
      <c r="B24" s="664"/>
      <c r="C24" s="383"/>
      <c r="D24" s="383"/>
      <c r="E24" s="382"/>
      <c r="F24" s="385">
        <f>Dados!R9</f>
        <v>4.0999999999999996</v>
      </c>
      <c r="G24" s="88">
        <f t="shared" si="0"/>
        <v>4.0999999999999996</v>
      </c>
      <c r="H24" s="88"/>
      <c r="I24" s="385"/>
      <c r="J24" s="369"/>
    </row>
    <row r="25" spans="1:12" ht="19.5" customHeight="1" x14ac:dyDescent="0.3">
      <c r="A25" s="664" t="s">
        <v>308</v>
      </c>
      <c r="B25" s="664"/>
      <c r="C25" s="383"/>
      <c r="D25" s="383"/>
      <c r="E25" s="382"/>
      <c r="F25" s="385">
        <f>Dados!$G$43</f>
        <v>0</v>
      </c>
      <c r="G25" s="88"/>
      <c r="H25" s="88"/>
      <c r="I25" s="385"/>
      <c r="J25" s="369"/>
    </row>
    <row r="26" spans="1:12" ht="19.5" customHeight="1" x14ac:dyDescent="0.3">
      <c r="A26" s="664" t="s">
        <v>544</v>
      </c>
      <c r="B26" s="664"/>
      <c r="C26" s="383"/>
      <c r="D26" s="382"/>
      <c r="E26" s="382"/>
      <c r="F26" s="88"/>
      <c r="G26" s="88"/>
      <c r="H26" s="88"/>
      <c r="I26" s="88"/>
      <c r="J26" s="369"/>
      <c r="L26" s="386"/>
    </row>
    <row r="27" spans="1:12" ht="19.5" customHeight="1" x14ac:dyDescent="0.3">
      <c r="A27" s="381" t="s">
        <v>545</v>
      </c>
      <c r="B27" s="310"/>
      <c r="C27" s="383"/>
      <c r="D27" s="382"/>
      <c r="E27" s="382"/>
      <c r="F27" s="88">
        <f>Dados!$P$9</f>
        <v>93.163333333333327</v>
      </c>
      <c r="G27" s="88"/>
      <c r="H27" s="88"/>
      <c r="I27" s="88"/>
      <c r="J27" s="369"/>
    </row>
    <row r="28" spans="1:12" ht="19.5" customHeight="1" x14ac:dyDescent="0.3">
      <c r="A28" s="666" t="s">
        <v>546</v>
      </c>
      <c r="B28" s="666"/>
      <c r="C28" s="387"/>
      <c r="D28" s="388"/>
      <c r="E28" s="388"/>
      <c r="F28" s="374"/>
      <c r="G28" s="374"/>
      <c r="H28" s="374"/>
      <c r="I28" s="374"/>
      <c r="J28" s="375"/>
    </row>
    <row r="29" spans="1:12" ht="19.5" customHeight="1" x14ac:dyDescent="0.3">
      <c r="A29" s="667" t="s">
        <v>547</v>
      </c>
      <c r="B29" s="667"/>
      <c r="C29" s="667"/>
      <c r="D29" s="667"/>
      <c r="E29" s="667"/>
      <c r="F29" s="379">
        <f>SUM(F19:F28)</f>
        <v>764.4233333333334</v>
      </c>
      <c r="G29" s="379">
        <f>SUM(G19:G28)</f>
        <v>671.2600000000001</v>
      </c>
      <c r="H29" s="379">
        <f>SUM(H19:H28)</f>
        <v>479.42</v>
      </c>
      <c r="I29" s="379">
        <f>SUM(I19:I28)</f>
        <v>102.93</v>
      </c>
      <c r="J29" s="380">
        <f>SUM(J19:J28)</f>
        <v>0</v>
      </c>
    </row>
    <row r="30" spans="1:12" ht="19.5" customHeight="1" x14ac:dyDescent="0.3">
      <c r="A30" s="667" t="s">
        <v>548</v>
      </c>
      <c r="B30" s="667"/>
      <c r="C30" s="667"/>
      <c r="D30" s="667"/>
      <c r="E30" s="667"/>
      <c r="F30" s="379">
        <f>F16+F29</f>
        <v>3348.3833333333332</v>
      </c>
      <c r="G30" s="379">
        <f>G16+G29</f>
        <v>3255.2200000000003</v>
      </c>
      <c r="H30" s="379">
        <f>H16+H29</f>
        <v>479.42</v>
      </c>
      <c r="I30" s="379">
        <f>I16+I29</f>
        <v>102.93</v>
      </c>
      <c r="J30" s="380">
        <f>J16+J29</f>
        <v>0</v>
      </c>
    </row>
    <row r="31" spans="1:12" ht="19.5" customHeight="1" x14ac:dyDescent="0.3">
      <c r="A31" s="652" t="s">
        <v>549</v>
      </c>
      <c r="B31" s="652"/>
      <c r="C31" s="652"/>
      <c r="D31" s="652"/>
      <c r="E31" s="652"/>
      <c r="F31" s="652"/>
      <c r="G31" s="652"/>
      <c r="H31" s="652"/>
      <c r="I31" s="652"/>
      <c r="J31" s="652"/>
    </row>
    <row r="32" spans="1:12" ht="19.5" customHeight="1" x14ac:dyDescent="0.3">
      <c r="A32" s="661" t="s">
        <v>550</v>
      </c>
      <c r="B32" s="661"/>
      <c r="C32" s="661"/>
      <c r="D32" s="91" t="s">
        <v>489</v>
      </c>
      <c r="E32" s="668" t="s">
        <v>440</v>
      </c>
      <c r="F32" s="668"/>
      <c r="G32" s="668"/>
      <c r="H32" s="668"/>
      <c r="I32" s="668"/>
      <c r="J32" s="668"/>
    </row>
    <row r="33" spans="1:12" ht="19.5" customHeight="1" x14ac:dyDescent="0.3">
      <c r="A33" s="389" t="s">
        <v>551</v>
      </c>
      <c r="B33" s="390"/>
      <c r="C33" s="390"/>
      <c r="D33" s="391">
        <f>Dados!$G$46</f>
        <v>0.03</v>
      </c>
      <c r="E33" s="392"/>
      <c r="F33" s="88">
        <f>ROUND((F30*$D$33),2)</f>
        <v>100.45</v>
      </c>
      <c r="G33" s="88">
        <f>ROUND((G30*$D$33),2)</f>
        <v>97.66</v>
      </c>
      <c r="H33" s="88">
        <f>ROUND((H30*$D$33),2)</f>
        <v>14.38</v>
      </c>
      <c r="I33" s="88">
        <f>ROUND((I30*$D$33),2)</f>
        <v>3.09</v>
      </c>
      <c r="J33" s="369">
        <f>ROUND((J30*$D$33),2)</f>
        <v>0</v>
      </c>
    </row>
    <row r="34" spans="1:12" ht="19.5" customHeight="1" x14ac:dyDescent="0.3">
      <c r="A34" s="669" t="s">
        <v>552</v>
      </c>
      <c r="B34" s="669"/>
      <c r="C34" s="669"/>
      <c r="D34" s="391"/>
      <c r="E34" s="392"/>
      <c r="F34" s="88">
        <f>F30+F33</f>
        <v>3448.833333333333</v>
      </c>
      <c r="G34" s="88">
        <f>G30+G33</f>
        <v>3352.88</v>
      </c>
      <c r="H34" s="88">
        <f>H30+H33</f>
        <v>493.8</v>
      </c>
      <c r="I34" s="88">
        <f>I30+I33</f>
        <v>106.02000000000001</v>
      </c>
      <c r="J34" s="369">
        <f>J30+J33</f>
        <v>0</v>
      </c>
    </row>
    <row r="35" spans="1:12" ht="19.5" customHeight="1" x14ac:dyDescent="0.3">
      <c r="A35" s="393" t="s">
        <v>313</v>
      </c>
      <c r="B35" s="394"/>
      <c r="C35" s="394"/>
      <c r="D35" s="395">
        <f>Dados!$G$47</f>
        <v>6.7900000000000002E-2</v>
      </c>
      <c r="E35" s="396"/>
      <c r="F35" s="374">
        <f>ROUND((F34*$D$35),2)</f>
        <v>234.18</v>
      </c>
      <c r="G35" s="374">
        <f>ROUND((G34*$D$35),2)</f>
        <v>227.66</v>
      </c>
      <c r="H35" s="374">
        <f>ROUND((H34*$D$35),2)</f>
        <v>33.53</v>
      </c>
      <c r="I35" s="374">
        <f>ROUND((I34*$D$35),2)</f>
        <v>7.2</v>
      </c>
      <c r="J35" s="375">
        <f>ROUND((J34*$D$35),2)</f>
        <v>0</v>
      </c>
    </row>
    <row r="36" spans="1:12" ht="19.5" customHeight="1" x14ac:dyDescent="0.3">
      <c r="A36" s="397" t="s">
        <v>553</v>
      </c>
      <c r="B36" s="398"/>
      <c r="C36" s="398"/>
      <c r="D36" s="399">
        <f>SUM(D33:D35)</f>
        <v>9.7900000000000001E-2</v>
      </c>
      <c r="E36" s="400"/>
      <c r="F36" s="379">
        <f>F33+F35</f>
        <v>334.63</v>
      </c>
      <c r="G36" s="379">
        <f>G33+G35</f>
        <v>325.32</v>
      </c>
      <c r="H36" s="379">
        <f>H33+H35</f>
        <v>47.910000000000004</v>
      </c>
      <c r="I36" s="379">
        <f>I33+I35</f>
        <v>10.29</v>
      </c>
      <c r="J36" s="380">
        <f>J33+J35</f>
        <v>0</v>
      </c>
    </row>
    <row r="37" spans="1:12" ht="19.5" customHeight="1" x14ac:dyDescent="0.3">
      <c r="A37" s="670" t="s">
        <v>554</v>
      </c>
      <c r="B37" s="670"/>
      <c r="C37" s="670"/>
      <c r="D37" s="670"/>
      <c r="E37" s="670"/>
      <c r="F37" s="401">
        <f>F30+F36</f>
        <v>3683.0133333333333</v>
      </c>
      <c r="G37" s="401">
        <f>G30+G36</f>
        <v>3580.5400000000004</v>
      </c>
      <c r="H37" s="401">
        <f>H30+H36</f>
        <v>527.33000000000004</v>
      </c>
      <c r="I37" s="401">
        <f>I30+I36</f>
        <v>113.22</v>
      </c>
      <c r="J37" s="402">
        <f>J30+J36</f>
        <v>0</v>
      </c>
    </row>
    <row r="38" spans="1:12" ht="19.5" customHeight="1" x14ac:dyDescent="0.3">
      <c r="A38" s="671" t="s">
        <v>555</v>
      </c>
      <c r="B38" s="671"/>
      <c r="C38" s="671"/>
      <c r="D38" s="671"/>
      <c r="E38" s="671"/>
      <c r="F38" s="671"/>
      <c r="G38" s="671"/>
      <c r="H38" s="671"/>
      <c r="I38" s="671"/>
      <c r="J38" s="671"/>
    </row>
    <row r="39" spans="1:12" ht="19.5" customHeight="1" x14ac:dyDescent="0.3">
      <c r="A39" s="664" t="s">
        <v>319</v>
      </c>
      <c r="B39" s="664"/>
      <c r="C39" s="664"/>
      <c r="D39" s="391">
        <f>Dados!G54</f>
        <v>7.5999999999999998E-2</v>
      </c>
      <c r="E39" s="88"/>
      <c r="F39" s="88">
        <f>ROUND(($F$45*D39),2)</f>
        <v>326.42</v>
      </c>
      <c r="G39" s="88">
        <f>ROUND((G45*$D$39),2)</f>
        <v>317.33999999999997</v>
      </c>
      <c r="H39" s="88">
        <f>ROUND((H45*$D$39),2)</f>
        <v>46.74</v>
      </c>
      <c r="I39" s="88">
        <f>ROUND((I45*$D$39),2)</f>
        <v>10.029999999999999</v>
      </c>
      <c r="J39" s="369">
        <f>ROUND((J45*$D$39),2)</f>
        <v>0</v>
      </c>
    </row>
    <row r="40" spans="1:12" ht="19.5" customHeight="1" x14ac:dyDescent="0.3">
      <c r="A40" s="664" t="s">
        <v>321</v>
      </c>
      <c r="B40" s="664"/>
      <c r="C40" s="664"/>
      <c r="D40" s="391">
        <f>Dados!G55</f>
        <v>1.6500000000000001E-2</v>
      </c>
      <c r="E40" s="88"/>
      <c r="F40" s="88">
        <f>ROUND((F45*$D$40),2)</f>
        <v>70.87</v>
      </c>
      <c r="G40" s="88">
        <f>ROUND((G45*$D$40),2)</f>
        <v>68.900000000000006</v>
      </c>
      <c r="H40" s="88">
        <f>ROUND((H45*$D$40),2)</f>
        <v>10.15</v>
      </c>
      <c r="I40" s="88">
        <f>ROUND((I45*$D$40),2)</f>
        <v>2.1800000000000002</v>
      </c>
      <c r="J40" s="369">
        <f>ROUND((J45*$D$40),2)</f>
        <v>0</v>
      </c>
    </row>
    <row r="41" spans="1:12" ht="19.5" customHeight="1" x14ac:dyDescent="0.3">
      <c r="A41" s="664" t="s">
        <v>322</v>
      </c>
      <c r="B41" s="664"/>
      <c r="C41" s="664"/>
      <c r="D41" s="391">
        <f>Dados!G56</f>
        <v>0.05</v>
      </c>
      <c r="E41" s="88"/>
      <c r="F41" s="88">
        <f>ROUND((F45*$D$41),2)</f>
        <v>214.75</v>
      </c>
      <c r="G41" s="88">
        <f>ROUND((G45*$D$41),2)</f>
        <v>208.78</v>
      </c>
      <c r="H41" s="88">
        <f>ROUND((H45*$D$41),2)</f>
        <v>30.75</v>
      </c>
      <c r="I41" s="88">
        <f>ROUND((I45*$D$41),2)</f>
        <v>6.6</v>
      </c>
      <c r="J41" s="369">
        <f>ROUND((J45*$D$41),2)</f>
        <v>0</v>
      </c>
    </row>
    <row r="42" spans="1:12" ht="19.5" customHeight="1" x14ac:dyDescent="0.3">
      <c r="A42" s="664" t="s">
        <v>308</v>
      </c>
      <c r="B42" s="664"/>
      <c r="C42" s="664"/>
      <c r="D42" s="391">
        <f>Dados!G57</f>
        <v>0</v>
      </c>
      <c r="E42" s="88"/>
      <c r="F42" s="88">
        <f>ROUND((F45*$D$42),2)</f>
        <v>0</v>
      </c>
      <c r="G42" s="88">
        <f>ROUND((G45*$D$42),2)</f>
        <v>0</v>
      </c>
      <c r="H42" s="88">
        <f>ROUND((H45*$D$42),2)</f>
        <v>0</v>
      </c>
      <c r="I42" s="88">
        <f>ROUND((I45*$D$42),2)</f>
        <v>0</v>
      </c>
      <c r="J42" s="369">
        <f>ROUND((J45*$D$42),2)</f>
        <v>0</v>
      </c>
    </row>
    <row r="43" spans="1:12" ht="19.5" customHeight="1" x14ac:dyDescent="0.3">
      <c r="A43" s="673" t="s">
        <v>556</v>
      </c>
      <c r="B43" s="673"/>
      <c r="C43" s="673"/>
      <c r="D43" s="403">
        <f>SUM(D39:D42)</f>
        <v>0.14250000000000002</v>
      </c>
      <c r="E43" s="404"/>
      <c r="F43" s="405">
        <f>SUM(F39:F42)</f>
        <v>612.04</v>
      </c>
      <c r="G43" s="405">
        <f>SUM(G39:G42)</f>
        <v>595.02</v>
      </c>
      <c r="H43" s="405">
        <f>SUM(H39:H42)</f>
        <v>87.64</v>
      </c>
      <c r="I43" s="405">
        <f>SUM(I39:I42)</f>
        <v>18.809999999999999</v>
      </c>
      <c r="J43" s="406">
        <f>SUM(J39:J41)</f>
        <v>0</v>
      </c>
    </row>
    <row r="44" spans="1:12" ht="19.5" customHeight="1" x14ac:dyDescent="0.3">
      <c r="A44" s="674" t="str">
        <f>CONCATENATE("Custo Mensal - ",A7)</f>
        <v>Custo Mensal - Servente acúmulo Copeira</v>
      </c>
      <c r="B44" s="674"/>
      <c r="C44" s="674"/>
      <c r="D44" s="674"/>
      <c r="E44" s="674"/>
      <c r="F44" s="407">
        <f>ROUND(F37/(1-D43),2)</f>
        <v>4295.0600000000004</v>
      </c>
      <c r="G44" s="407">
        <f>ROUND(G37/(1-D43),2)</f>
        <v>4175.5600000000004</v>
      </c>
      <c r="H44" s="407">
        <f>ROUND(H37/(1-D43),2)</f>
        <v>614.96</v>
      </c>
      <c r="I44" s="407">
        <f>ROUND(I37/(1-D43),2)</f>
        <v>132.03</v>
      </c>
      <c r="J44" s="408">
        <f>ROUND(J37/(1-D43),2)</f>
        <v>0</v>
      </c>
    </row>
    <row r="45" spans="1:12" ht="19.5" customHeight="1" x14ac:dyDescent="0.3">
      <c r="A45" s="674" t="str">
        <f>CONCATENATE("Valor do Custo Mensal - ",A7)</f>
        <v>Valor do Custo Mensal - Servente acúmulo Copeira</v>
      </c>
      <c r="B45" s="674"/>
      <c r="C45" s="674"/>
      <c r="D45" s="674"/>
      <c r="E45" s="674"/>
      <c r="F45" s="407">
        <f>F44</f>
        <v>4295.0600000000004</v>
      </c>
      <c r="G45" s="407">
        <f>G44</f>
        <v>4175.5600000000004</v>
      </c>
      <c r="H45" s="407">
        <f>H44</f>
        <v>614.96</v>
      </c>
      <c r="I45" s="407">
        <f>I44</f>
        <v>132.03</v>
      </c>
      <c r="J45" s="408">
        <f>J44</f>
        <v>0</v>
      </c>
      <c r="K45" s="409"/>
      <c r="L45" s="409"/>
    </row>
    <row r="46" spans="1:12" ht="27.75" customHeight="1" x14ac:dyDescent="0.3">
      <c r="A46" s="675" t="s">
        <v>557</v>
      </c>
      <c r="B46" s="675"/>
      <c r="C46" s="675"/>
      <c r="D46" s="675"/>
      <c r="E46" s="675"/>
      <c r="F46" s="410">
        <f>(F45/F14)</f>
        <v>2.9761701832796321</v>
      </c>
      <c r="G46" s="410">
        <f>(G45/G14)</f>
        <v>2.8933652080518315</v>
      </c>
      <c r="H46" s="672" t="s">
        <v>558</v>
      </c>
      <c r="I46" s="672"/>
      <c r="J46" s="411">
        <v>0</v>
      </c>
    </row>
    <row r="47" spans="1:12" ht="19.5" customHeight="1" x14ac:dyDescent="0.3"/>
  </sheetData>
  <sheetProtection password="C494" sheet="1" objects="1" scenarios="1"/>
  <mergeCells count="49">
    <mergeCell ref="H46:I46"/>
    <mergeCell ref="A42:C42"/>
    <mergeCell ref="A43:C43"/>
    <mergeCell ref="A44:E44"/>
    <mergeCell ref="A45:E45"/>
    <mergeCell ref="A46:E46"/>
    <mergeCell ref="A37:E37"/>
    <mergeCell ref="A38:J38"/>
    <mergeCell ref="A39:C39"/>
    <mergeCell ref="A40:C40"/>
    <mergeCell ref="A41:C41"/>
    <mergeCell ref="A30:E30"/>
    <mergeCell ref="A31:J31"/>
    <mergeCell ref="A32:C32"/>
    <mergeCell ref="E32:J32"/>
    <mergeCell ref="A34:C34"/>
    <mergeCell ref="A24:B24"/>
    <mergeCell ref="A25:B25"/>
    <mergeCell ref="A26:B26"/>
    <mergeCell ref="A28:B28"/>
    <mergeCell ref="A29:E29"/>
    <mergeCell ref="A19:B19"/>
    <mergeCell ref="A20:B20"/>
    <mergeCell ref="A21:B21"/>
    <mergeCell ref="A22:B22"/>
    <mergeCell ref="A23:B23"/>
    <mergeCell ref="A16:E16"/>
    <mergeCell ref="A17:J17"/>
    <mergeCell ref="A18:B18"/>
    <mergeCell ref="D18:E18"/>
    <mergeCell ref="F18:J18"/>
    <mergeCell ref="A9:J9"/>
    <mergeCell ref="B10:C10"/>
    <mergeCell ref="F10:J10"/>
    <mergeCell ref="A11:A15"/>
    <mergeCell ref="B11:C11"/>
    <mergeCell ref="B12:C12"/>
    <mergeCell ref="B14:E14"/>
    <mergeCell ref="B15:D15"/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</mergeCells>
  <printOptions horizontalCentered="1" verticalCentered="1"/>
  <pageMargins left="0.51180555555555596" right="0.51180555555555596" top="0.78749999999999998" bottom="0.78749999999999998" header="0.511811023622047" footer="0.511811023622047"/>
  <pageSetup paperSize="9" scale="61" fitToHeight="2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MK47"/>
  <sheetViews>
    <sheetView showGridLines="0" view="pageBreakPreview" zoomScaleNormal="100" workbookViewId="0">
      <selection activeCell="G25" sqref="G25"/>
    </sheetView>
  </sheetViews>
  <sheetFormatPr defaultColWidth="8.6640625" defaultRowHeight="14.4" x14ac:dyDescent="0.3"/>
  <cols>
    <col min="1" max="1" width="10.5546875" style="55" customWidth="1"/>
    <col min="2" max="2" width="27.6640625" style="55" customWidth="1"/>
    <col min="3" max="3" width="14.44140625" style="55" customWidth="1"/>
    <col min="4" max="5" width="15" style="55" customWidth="1"/>
    <col min="6" max="6" width="16.6640625" style="355" customWidth="1"/>
    <col min="7" max="8" width="13.109375" style="355" customWidth="1"/>
    <col min="9" max="10" width="12.5546875" style="355" customWidth="1"/>
    <col min="11" max="257" width="9.109375" style="55" customWidth="1"/>
    <col min="258" max="258" width="10.5546875" style="55" customWidth="1"/>
    <col min="259" max="259" width="27.6640625" style="55" customWidth="1"/>
    <col min="260" max="260" width="14.44140625" style="55" customWidth="1"/>
    <col min="261" max="262" width="15" style="55" customWidth="1"/>
    <col min="263" max="263" width="16.6640625" style="55" customWidth="1"/>
    <col min="264" max="264" width="13.109375" style="55" customWidth="1"/>
    <col min="265" max="266" width="12.5546875" style="55" customWidth="1"/>
    <col min="267" max="513" width="9.109375" style="55" customWidth="1"/>
    <col min="514" max="514" width="10.5546875" style="55" customWidth="1"/>
    <col min="515" max="515" width="27.6640625" style="55" customWidth="1"/>
    <col min="516" max="516" width="14.44140625" style="55" customWidth="1"/>
    <col min="517" max="518" width="15" style="55" customWidth="1"/>
    <col min="519" max="519" width="16.6640625" style="55" customWidth="1"/>
    <col min="520" max="520" width="13.109375" style="55" customWidth="1"/>
    <col min="521" max="522" width="12.5546875" style="55" customWidth="1"/>
    <col min="523" max="769" width="9.109375" style="55" customWidth="1"/>
    <col min="770" max="770" width="10.5546875" style="55" customWidth="1"/>
    <col min="771" max="771" width="27.6640625" style="55" customWidth="1"/>
    <col min="772" max="772" width="14.44140625" style="55" customWidth="1"/>
    <col min="773" max="774" width="15" style="55" customWidth="1"/>
    <col min="775" max="775" width="16.6640625" style="55" customWidth="1"/>
    <col min="776" max="776" width="13.109375" style="55" customWidth="1"/>
    <col min="777" max="778" width="12.5546875" style="55" customWidth="1"/>
    <col min="779" max="1025" width="9.109375" style="55" customWidth="1"/>
  </cols>
  <sheetData>
    <row r="1" spans="1:10" x14ac:dyDescent="0.3">
      <c r="A1" s="356"/>
      <c r="B1" s="77" t="str">
        <f>INSTRUÇÕES!B1</f>
        <v>Tribunal Regional Federal da 6ª Região</v>
      </c>
      <c r="C1" s="357"/>
      <c r="D1" s="357"/>
      <c r="E1" s="357"/>
      <c r="F1" s="358"/>
      <c r="G1" s="359"/>
      <c r="H1" s="359"/>
      <c r="I1" s="358"/>
      <c r="J1" s="360"/>
    </row>
    <row r="2" spans="1:10" x14ac:dyDescent="0.3">
      <c r="A2" s="361"/>
      <c r="B2" s="80" t="str">
        <f>INSTRUÇÕES!B2</f>
        <v>Seção Judiciária de Minas Gerais</v>
      </c>
      <c r="C2" s="47"/>
      <c r="D2" s="47"/>
      <c r="E2" s="47"/>
      <c r="F2" s="362"/>
      <c r="I2" s="362"/>
      <c r="J2" s="363"/>
    </row>
    <row r="3" spans="1:10" x14ac:dyDescent="0.3">
      <c r="A3" s="172"/>
      <c r="B3" s="294" t="str">
        <f>INSTRUÇÕES!B3</f>
        <v>Subseção Judiciária de Governador Valadares</v>
      </c>
      <c r="C3" s="47"/>
      <c r="D3" s="47"/>
      <c r="E3" s="47"/>
      <c r="F3" s="362"/>
      <c r="I3" s="362"/>
      <c r="J3" s="363"/>
    </row>
    <row r="4" spans="1:10" ht="19.5" customHeight="1" x14ac:dyDescent="0.3">
      <c r="A4" s="646" t="s">
        <v>523</v>
      </c>
      <c r="B4" s="646"/>
      <c r="C4" s="646"/>
      <c r="D4" s="646"/>
      <c r="E4" s="646"/>
      <c r="F4" s="646"/>
      <c r="G4" s="646"/>
      <c r="H4" s="646"/>
      <c r="I4" s="646"/>
      <c r="J4" s="646"/>
    </row>
    <row r="5" spans="1:10" ht="19.5" customHeight="1" x14ac:dyDescent="0.3">
      <c r="A5" s="647" t="s">
        <v>360</v>
      </c>
      <c r="B5" s="647"/>
      <c r="C5" s="647"/>
      <c r="D5" s="647"/>
      <c r="E5" s="647"/>
      <c r="F5" s="647"/>
      <c r="G5" s="647"/>
      <c r="H5" s="647"/>
      <c r="I5" s="647"/>
      <c r="J5" s="647"/>
    </row>
    <row r="6" spans="1:10" ht="36" customHeight="1" x14ac:dyDescent="0.3">
      <c r="A6" s="648" t="str">
        <f>Dados!A4</f>
        <v>Sindicato utilizado - SETHAC-GV e SEAC/MG. Vigência: 01/01/2024 à 31/12/2024. Sendo a data base da categoria 1º de Janeiro. Com número de registro no MTE MG000439/2024.</v>
      </c>
      <c r="B6" s="648"/>
      <c r="C6" s="648"/>
      <c r="D6" s="648"/>
      <c r="E6" s="648"/>
      <c r="F6" s="648"/>
      <c r="G6" s="648"/>
      <c r="H6" s="648"/>
      <c r="I6" s="648"/>
      <c r="J6" s="648"/>
    </row>
    <row r="7" spans="1:10" ht="19.5" customHeight="1" x14ac:dyDescent="0.3">
      <c r="A7" s="649" t="str">
        <f>Dados!C10</f>
        <v>Zelador acúmulo Lavador de Carro</v>
      </c>
      <c r="B7" s="649"/>
      <c r="C7" s="649"/>
      <c r="D7" s="649"/>
      <c r="E7" s="649"/>
      <c r="F7" s="650" t="s">
        <v>524</v>
      </c>
      <c r="G7" s="650" t="s">
        <v>525</v>
      </c>
      <c r="H7" s="650" t="s">
        <v>526</v>
      </c>
      <c r="I7" s="650" t="s">
        <v>527</v>
      </c>
      <c r="J7" s="650" t="s">
        <v>528</v>
      </c>
    </row>
    <row r="8" spans="1:10" ht="19.5" customHeight="1" x14ac:dyDescent="0.3">
      <c r="A8" s="651" t="s">
        <v>529</v>
      </c>
      <c r="B8" s="651"/>
      <c r="C8" s="651"/>
      <c r="D8" s="651"/>
      <c r="E8" s="364" t="s">
        <v>436</v>
      </c>
      <c r="F8" s="650"/>
      <c r="G8" s="650"/>
      <c r="H8" s="650"/>
      <c r="I8" s="650"/>
      <c r="J8" s="650"/>
    </row>
    <row r="9" spans="1:10" ht="19.5" customHeight="1" x14ac:dyDescent="0.3">
      <c r="A9" s="652" t="s">
        <v>530</v>
      </c>
      <c r="B9" s="652"/>
      <c r="C9" s="652"/>
      <c r="D9" s="652"/>
      <c r="E9" s="652"/>
      <c r="F9" s="652"/>
      <c r="G9" s="652"/>
      <c r="H9" s="652"/>
      <c r="I9" s="652"/>
      <c r="J9" s="652"/>
    </row>
    <row r="10" spans="1:10" ht="24" customHeight="1" x14ac:dyDescent="0.3">
      <c r="A10" s="177" t="s">
        <v>437</v>
      </c>
      <c r="B10" s="653" t="s">
        <v>531</v>
      </c>
      <c r="C10" s="653"/>
      <c r="D10" s="365" t="s">
        <v>532</v>
      </c>
      <c r="E10" s="366" t="s">
        <v>533</v>
      </c>
      <c r="F10" s="654" t="s">
        <v>440</v>
      </c>
      <c r="G10" s="654"/>
      <c r="H10" s="654"/>
      <c r="I10" s="654"/>
      <c r="J10" s="654"/>
    </row>
    <row r="11" spans="1:10" ht="19.5" customHeight="1" x14ac:dyDescent="0.3">
      <c r="A11" s="655">
        <v>1</v>
      </c>
      <c r="B11" s="656" t="str">
        <f>A7</f>
        <v>Zelador acúmulo Lavador de Carro</v>
      </c>
      <c r="C11" s="656"/>
      <c r="D11" s="367">
        <f>Dados!$D$10</f>
        <v>150</v>
      </c>
      <c r="E11" s="368">
        <f>Dados!$E$10</f>
        <v>2302.14</v>
      </c>
      <c r="F11" s="88">
        <f>ROUND(E11/220*D11,2)</f>
        <v>1569.64</v>
      </c>
      <c r="G11" s="88">
        <f>F11</f>
        <v>1569.64</v>
      </c>
      <c r="H11" s="88"/>
      <c r="I11" s="88"/>
      <c r="J11" s="369"/>
    </row>
    <row r="12" spans="1:10" ht="19.5" customHeight="1" x14ac:dyDescent="0.3">
      <c r="A12" s="655"/>
      <c r="B12" s="656" t="s">
        <v>534</v>
      </c>
      <c r="C12" s="656"/>
      <c r="D12" s="370">
        <f>Dados!G8</f>
        <v>0</v>
      </c>
      <c r="E12" s="368">
        <f>Dados!$G$30</f>
        <v>1518</v>
      </c>
      <c r="F12" s="88">
        <f>D12*E12</f>
        <v>0</v>
      </c>
      <c r="G12" s="88">
        <f>F12</f>
        <v>0</v>
      </c>
      <c r="H12" s="88"/>
      <c r="I12" s="88"/>
      <c r="J12" s="369">
        <f>F12</f>
        <v>0</v>
      </c>
    </row>
    <row r="13" spans="1:10" ht="30.75" customHeight="1" x14ac:dyDescent="0.3">
      <c r="A13" s="655"/>
      <c r="B13" s="371" t="s">
        <v>535</v>
      </c>
      <c r="C13" s="372">
        <f>Dados!$I$10</f>
        <v>0.12</v>
      </c>
      <c r="D13" s="372">
        <f>Dados!$J$10</f>
        <v>0.25</v>
      </c>
      <c r="E13" s="373">
        <f>Dados!$K$10</f>
        <v>1569.64</v>
      </c>
      <c r="F13" s="374">
        <f>ROUND((E13*D13*C13),2)</f>
        <v>47.09</v>
      </c>
      <c r="G13" s="374">
        <f>F13</f>
        <v>47.09</v>
      </c>
      <c r="H13" s="374"/>
      <c r="I13" s="374"/>
      <c r="J13" s="375"/>
    </row>
    <row r="14" spans="1:10" ht="19.5" customHeight="1" x14ac:dyDescent="0.3">
      <c r="A14" s="655"/>
      <c r="B14" s="657" t="s">
        <v>536</v>
      </c>
      <c r="C14" s="657"/>
      <c r="D14" s="657"/>
      <c r="E14" s="657"/>
      <c r="F14" s="376">
        <f>SUM(F11:F13)</f>
        <v>1616.73</v>
      </c>
      <c r="G14" s="376">
        <f>SUM(G11:G13)</f>
        <v>1616.73</v>
      </c>
      <c r="H14" s="376">
        <f>SUM(H11:H13)</f>
        <v>0</v>
      </c>
      <c r="I14" s="376">
        <f>SUM(I11:I13)</f>
        <v>0</v>
      </c>
      <c r="J14" s="377">
        <f>SUM(J11:J13)</f>
        <v>0</v>
      </c>
    </row>
    <row r="15" spans="1:10" ht="19.5" customHeight="1" x14ac:dyDescent="0.3">
      <c r="A15" s="655"/>
      <c r="B15" s="658" t="s">
        <v>537</v>
      </c>
      <c r="C15" s="658"/>
      <c r="D15" s="658"/>
      <c r="E15" s="378">
        <f>Encargos!$C$57</f>
        <v>0.79049999999999998</v>
      </c>
      <c r="F15" s="88">
        <f>ROUND((E15*F14),2)</f>
        <v>1278.03</v>
      </c>
      <c r="G15" s="88">
        <f>F15</f>
        <v>1278.03</v>
      </c>
      <c r="H15" s="88"/>
      <c r="I15" s="88"/>
      <c r="J15" s="369">
        <f>ROUND((E15*J14),2)</f>
        <v>0</v>
      </c>
    </row>
    <row r="16" spans="1:10" ht="19.5" customHeight="1" x14ac:dyDescent="0.3">
      <c r="A16" s="659" t="s">
        <v>538</v>
      </c>
      <c r="B16" s="659"/>
      <c r="C16" s="659"/>
      <c r="D16" s="659"/>
      <c r="E16" s="659"/>
      <c r="F16" s="379">
        <f>SUM(F14:F15)</f>
        <v>2894.76</v>
      </c>
      <c r="G16" s="379">
        <f>SUM(G14:G15)</f>
        <v>2894.76</v>
      </c>
      <c r="H16" s="379">
        <f>SUM(H14:H15)</f>
        <v>0</v>
      </c>
      <c r="I16" s="379">
        <f>SUM(I14:I15)</f>
        <v>0</v>
      </c>
      <c r="J16" s="380">
        <f>SUM(J14:J15)</f>
        <v>0</v>
      </c>
    </row>
    <row r="17" spans="1:12" ht="19.5" customHeight="1" x14ac:dyDescent="0.3">
      <c r="A17" s="660" t="s">
        <v>539</v>
      </c>
      <c r="B17" s="660"/>
      <c r="C17" s="660"/>
      <c r="D17" s="660"/>
      <c r="E17" s="660"/>
      <c r="F17" s="660"/>
      <c r="G17" s="660"/>
      <c r="H17" s="660"/>
      <c r="I17" s="660"/>
      <c r="J17" s="660"/>
    </row>
    <row r="18" spans="1:12" ht="19.5" customHeight="1" x14ac:dyDescent="0.3">
      <c r="A18" s="661" t="s">
        <v>540</v>
      </c>
      <c r="B18" s="661"/>
      <c r="C18" s="92" t="s">
        <v>439</v>
      </c>
      <c r="D18" s="662" t="s">
        <v>541</v>
      </c>
      <c r="E18" s="662"/>
      <c r="F18" s="663" t="s">
        <v>440</v>
      </c>
      <c r="G18" s="663"/>
      <c r="H18" s="663"/>
      <c r="I18" s="663"/>
      <c r="J18" s="663"/>
    </row>
    <row r="19" spans="1:12" ht="19.5" customHeight="1" x14ac:dyDescent="0.3">
      <c r="A19" s="664" t="s">
        <v>542</v>
      </c>
      <c r="B19" s="664"/>
      <c r="C19" s="382"/>
      <c r="D19" s="382"/>
      <c r="E19" s="382"/>
      <c r="F19" s="88">
        <f>Dados!$N$10</f>
        <v>33.14</v>
      </c>
      <c r="G19" s="88">
        <f t="shared" ref="G19:G24" si="0">F19</f>
        <v>33.14</v>
      </c>
      <c r="H19" s="88"/>
      <c r="I19" s="88"/>
      <c r="J19" s="369"/>
    </row>
    <row r="20" spans="1:12" ht="19.5" customHeight="1" x14ac:dyDescent="0.3">
      <c r="A20" s="664" t="s">
        <v>543</v>
      </c>
      <c r="B20" s="664"/>
      <c r="C20" s="382"/>
      <c r="D20" s="382"/>
      <c r="E20" s="382"/>
      <c r="F20" s="88">
        <f>Dados!$G$33</f>
        <v>2.84</v>
      </c>
      <c r="G20" s="88">
        <f t="shared" si="0"/>
        <v>2.84</v>
      </c>
      <c r="H20" s="88"/>
      <c r="I20" s="88"/>
      <c r="J20" s="369"/>
    </row>
    <row r="21" spans="1:12" ht="23.25" customHeight="1" x14ac:dyDescent="0.3">
      <c r="A21" s="665" t="s">
        <v>295</v>
      </c>
      <c r="B21" s="665"/>
      <c r="C21" s="382"/>
      <c r="D21" s="382"/>
      <c r="E21" s="382"/>
      <c r="F21" s="88">
        <f>Dados!G34</f>
        <v>47.15</v>
      </c>
      <c r="G21" s="88">
        <f t="shared" si="0"/>
        <v>47.15</v>
      </c>
      <c r="H21" s="88"/>
      <c r="I21" s="88"/>
      <c r="J21" s="369"/>
    </row>
    <row r="22" spans="1:12" ht="19.5" customHeight="1" x14ac:dyDescent="0.3">
      <c r="A22" s="664" t="s">
        <v>296</v>
      </c>
      <c r="B22" s="664"/>
      <c r="C22" s="383">
        <f>Dados!$G$37</f>
        <v>22</v>
      </c>
      <c r="D22" s="383">
        <f>Dados!$G$36</f>
        <v>2</v>
      </c>
      <c r="E22" s="382">
        <f>Dados!$G$35</f>
        <v>4.25</v>
      </c>
      <c r="F22" s="88">
        <f>IF(ROUND((E22*D22*C22)-(F11*Dados!$G$38),2)&lt;0,0,ROUND((E22*D22*C22)-(F11*Dados!$G$38),2))</f>
        <v>92.82</v>
      </c>
      <c r="G22" s="88">
        <f t="shared" si="0"/>
        <v>92.82</v>
      </c>
      <c r="H22" s="88"/>
      <c r="I22" s="88">
        <f>F22</f>
        <v>92.82</v>
      </c>
      <c r="J22" s="369"/>
    </row>
    <row r="23" spans="1:12" ht="19.5" customHeight="1" x14ac:dyDescent="0.3">
      <c r="A23" s="664" t="s">
        <v>305</v>
      </c>
      <c r="B23" s="664"/>
      <c r="C23" s="383">
        <f>Dados!G40</f>
        <v>22</v>
      </c>
      <c r="D23" s="384">
        <f>Dados!G41</f>
        <v>0.2</v>
      </c>
      <c r="E23" s="382">
        <f>Dados!$G$39</f>
        <v>27.24</v>
      </c>
      <c r="F23" s="385">
        <f>ROUND((IF(D11&gt;150,((C23*E23)-(C23*(D23*E23))),0)),2)</f>
        <v>0</v>
      </c>
      <c r="G23" s="88">
        <f t="shared" si="0"/>
        <v>0</v>
      </c>
      <c r="H23" s="88">
        <f>$F$23</f>
        <v>0</v>
      </c>
      <c r="I23" s="385"/>
      <c r="J23" s="369"/>
    </row>
    <row r="24" spans="1:12" ht="19.5" customHeight="1" x14ac:dyDescent="0.3">
      <c r="A24" s="664" t="s">
        <v>625</v>
      </c>
      <c r="B24" s="664"/>
      <c r="C24" s="383"/>
      <c r="D24" s="383"/>
      <c r="E24" s="382"/>
      <c r="F24" s="385">
        <f>Dados!R10</f>
        <v>5.43</v>
      </c>
      <c r="G24" s="385">
        <f t="shared" si="0"/>
        <v>5.43</v>
      </c>
      <c r="H24" s="88"/>
      <c r="I24" s="385"/>
      <c r="J24" s="369"/>
    </row>
    <row r="25" spans="1:12" ht="19.5" customHeight="1" x14ac:dyDescent="0.3">
      <c r="A25" s="664" t="s">
        <v>308</v>
      </c>
      <c r="B25" s="664"/>
      <c r="C25" s="383"/>
      <c r="D25" s="383"/>
      <c r="E25" s="382"/>
      <c r="F25" s="385">
        <f>Dados!$G$43</f>
        <v>0</v>
      </c>
      <c r="G25" s="88"/>
      <c r="H25" s="88"/>
      <c r="I25" s="385"/>
      <c r="J25" s="369"/>
    </row>
    <row r="26" spans="1:12" ht="19.5" customHeight="1" x14ac:dyDescent="0.3">
      <c r="A26" s="664" t="s">
        <v>544</v>
      </c>
      <c r="B26" s="664"/>
      <c r="C26" s="383"/>
      <c r="D26" s="382"/>
      <c r="E26" s="382"/>
      <c r="F26" s="88">
        <f>Dados!Q10</f>
        <v>35.249166666666667</v>
      </c>
      <c r="G26" s="88"/>
      <c r="H26" s="88"/>
      <c r="I26" s="88"/>
      <c r="J26" s="369"/>
      <c r="L26" s="386"/>
    </row>
    <row r="27" spans="1:12" ht="19.5" customHeight="1" x14ac:dyDescent="0.3">
      <c r="A27" s="381" t="s">
        <v>545</v>
      </c>
      <c r="B27" s="310"/>
      <c r="C27" s="383"/>
      <c r="D27" s="382"/>
      <c r="E27" s="382"/>
      <c r="F27" s="88"/>
      <c r="G27" s="88"/>
      <c r="H27" s="88"/>
      <c r="I27" s="88"/>
      <c r="J27" s="369"/>
    </row>
    <row r="28" spans="1:12" ht="19.5" customHeight="1" x14ac:dyDescent="0.3">
      <c r="A28" s="666" t="s">
        <v>546</v>
      </c>
      <c r="B28" s="666"/>
      <c r="C28" s="387"/>
      <c r="D28" s="388"/>
      <c r="E28" s="388"/>
      <c r="F28" s="374"/>
      <c r="G28" s="374"/>
      <c r="H28" s="374"/>
      <c r="I28" s="374"/>
      <c r="J28" s="375"/>
    </row>
    <row r="29" spans="1:12" ht="19.5" customHeight="1" x14ac:dyDescent="0.3">
      <c r="A29" s="667" t="s">
        <v>547</v>
      </c>
      <c r="B29" s="667"/>
      <c r="C29" s="667"/>
      <c r="D29" s="667"/>
      <c r="E29" s="667"/>
      <c r="F29" s="379">
        <f>SUM(F19:F28)</f>
        <v>216.62916666666666</v>
      </c>
      <c r="G29" s="379">
        <f>SUM(G19:G28)</f>
        <v>181.38</v>
      </c>
      <c r="H29" s="379">
        <f>SUM(H19:H28)</f>
        <v>0</v>
      </c>
      <c r="I29" s="379">
        <f>SUM(I19:I28)</f>
        <v>92.82</v>
      </c>
      <c r="J29" s="380">
        <f>SUM(J19:J28)</f>
        <v>0</v>
      </c>
    </row>
    <row r="30" spans="1:12" ht="19.5" customHeight="1" x14ac:dyDescent="0.3">
      <c r="A30" s="667" t="s">
        <v>548</v>
      </c>
      <c r="B30" s="667"/>
      <c r="C30" s="667"/>
      <c r="D30" s="667"/>
      <c r="E30" s="667"/>
      <c r="F30" s="379">
        <f>F16+F29</f>
        <v>3111.3891666666668</v>
      </c>
      <c r="G30" s="379">
        <f>G16+G29</f>
        <v>3076.1400000000003</v>
      </c>
      <c r="H30" s="379">
        <f>H16+H29</f>
        <v>0</v>
      </c>
      <c r="I30" s="379">
        <f>I16+I29</f>
        <v>92.82</v>
      </c>
      <c r="J30" s="380">
        <f>J16+J29</f>
        <v>0</v>
      </c>
    </row>
    <row r="31" spans="1:12" ht="19.5" customHeight="1" x14ac:dyDescent="0.3">
      <c r="A31" s="652" t="s">
        <v>549</v>
      </c>
      <c r="B31" s="652"/>
      <c r="C31" s="652"/>
      <c r="D31" s="652"/>
      <c r="E31" s="652"/>
      <c r="F31" s="652"/>
      <c r="G31" s="652"/>
      <c r="H31" s="652"/>
      <c r="I31" s="652"/>
      <c r="J31" s="652"/>
    </row>
    <row r="32" spans="1:12" ht="19.5" customHeight="1" x14ac:dyDescent="0.3">
      <c r="A32" s="661" t="s">
        <v>550</v>
      </c>
      <c r="B32" s="661"/>
      <c r="C32" s="661"/>
      <c r="D32" s="91" t="s">
        <v>489</v>
      </c>
      <c r="E32" s="668" t="s">
        <v>440</v>
      </c>
      <c r="F32" s="668"/>
      <c r="G32" s="668"/>
      <c r="H32" s="668"/>
      <c r="I32" s="668"/>
      <c r="J32" s="668"/>
    </row>
    <row r="33" spans="1:12" ht="19.5" customHeight="1" x14ac:dyDescent="0.3">
      <c r="A33" s="389" t="s">
        <v>551</v>
      </c>
      <c r="B33" s="390"/>
      <c r="C33" s="390"/>
      <c r="D33" s="391">
        <f>Dados!$G$46</f>
        <v>0.03</v>
      </c>
      <c r="E33" s="392"/>
      <c r="F33" s="88">
        <f>ROUND((F30*$D$33),2)</f>
        <v>93.34</v>
      </c>
      <c r="G33" s="88">
        <f>ROUND((G30*$D$33),2)</f>
        <v>92.28</v>
      </c>
      <c r="H33" s="88">
        <f>ROUND((H30*$D$33),2)</f>
        <v>0</v>
      </c>
      <c r="I33" s="88">
        <f>ROUND((I30*$D$33),2)</f>
        <v>2.78</v>
      </c>
      <c r="J33" s="369">
        <f>ROUND((J30*$D$33),2)</f>
        <v>0</v>
      </c>
    </row>
    <row r="34" spans="1:12" ht="19.5" customHeight="1" x14ac:dyDescent="0.3">
      <c r="A34" s="669" t="s">
        <v>552</v>
      </c>
      <c r="B34" s="669"/>
      <c r="C34" s="669"/>
      <c r="D34" s="391"/>
      <c r="E34" s="392"/>
      <c r="F34" s="88">
        <f>F30+F33</f>
        <v>3204.729166666667</v>
      </c>
      <c r="G34" s="88">
        <f>G30+G33</f>
        <v>3168.4200000000005</v>
      </c>
      <c r="H34" s="88">
        <f>H30+H33</f>
        <v>0</v>
      </c>
      <c r="I34" s="88">
        <f>I30+I33</f>
        <v>95.6</v>
      </c>
      <c r="J34" s="369">
        <f>J30+J33</f>
        <v>0</v>
      </c>
    </row>
    <row r="35" spans="1:12" ht="19.5" customHeight="1" x14ac:dyDescent="0.3">
      <c r="A35" s="393" t="s">
        <v>313</v>
      </c>
      <c r="B35" s="394"/>
      <c r="C35" s="394"/>
      <c r="D35" s="395">
        <f>Dados!$G$47</f>
        <v>6.7900000000000002E-2</v>
      </c>
      <c r="E35" s="396"/>
      <c r="F35" s="374">
        <f>ROUND((F34*$D$35),2)</f>
        <v>217.6</v>
      </c>
      <c r="G35" s="374">
        <f>ROUND((G34*$D$35),2)</f>
        <v>215.14</v>
      </c>
      <c r="H35" s="374">
        <f>ROUND((H34*$D$35),2)</f>
        <v>0</v>
      </c>
      <c r="I35" s="374">
        <f>ROUND((I34*$D$35),2)</f>
        <v>6.49</v>
      </c>
      <c r="J35" s="375">
        <f>ROUND((J34*$D$35),2)</f>
        <v>0</v>
      </c>
    </row>
    <row r="36" spans="1:12" ht="19.5" customHeight="1" x14ac:dyDescent="0.3">
      <c r="A36" s="397" t="s">
        <v>553</v>
      </c>
      <c r="B36" s="398"/>
      <c r="C36" s="398"/>
      <c r="D36" s="399">
        <f>SUM(D33:D35)</f>
        <v>9.7900000000000001E-2</v>
      </c>
      <c r="E36" s="400"/>
      <c r="F36" s="379">
        <f>F33+F35</f>
        <v>310.94</v>
      </c>
      <c r="G36" s="379">
        <f>G33+G35</f>
        <v>307.41999999999996</v>
      </c>
      <c r="H36" s="379">
        <f>H33+H35</f>
        <v>0</v>
      </c>
      <c r="I36" s="379">
        <f>I33+I35</f>
        <v>9.27</v>
      </c>
      <c r="J36" s="380">
        <f>J33+J35</f>
        <v>0</v>
      </c>
    </row>
    <row r="37" spans="1:12" ht="19.5" customHeight="1" x14ac:dyDescent="0.3">
      <c r="A37" s="670" t="s">
        <v>554</v>
      </c>
      <c r="B37" s="670"/>
      <c r="C37" s="670"/>
      <c r="D37" s="670"/>
      <c r="E37" s="670"/>
      <c r="F37" s="401">
        <f>F30+F36</f>
        <v>3422.3291666666669</v>
      </c>
      <c r="G37" s="401">
        <f>G30+G36</f>
        <v>3383.5600000000004</v>
      </c>
      <c r="H37" s="401">
        <f>H30+H36</f>
        <v>0</v>
      </c>
      <c r="I37" s="401">
        <f>I30+I36</f>
        <v>102.08999999999999</v>
      </c>
      <c r="J37" s="402">
        <f>J30+J36</f>
        <v>0</v>
      </c>
    </row>
    <row r="38" spans="1:12" ht="19.5" customHeight="1" x14ac:dyDescent="0.3">
      <c r="A38" s="671" t="s">
        <v>555</v>
      </c>
      <c r="B38" s="671"/>
      <c r="C38" s="671"/>
      <c r="D38" s="671"/>
      <c r="E38" s="671"/>
      <c r="F38" s="671"/>
      <c r="G38" s="671"/>
      <c r="H38" s="671"/>
      <c r="I38" s="671"/>
      <c r="J38" s="671"/>
    </row>
    <row r="39" spans="1:12" ht="19.5" customHeight="1" x14ac:dyDescent="0.3">
      <c r="A39" s="664" t="s">
        <v>319</v>
      </c>
      <c r="B39" s="664"/>
      <c r="C39" s="664"/>
      <c r="D39" s="391">
        <f>Dados!G54</f>
        <v>7.5999999999999998E-2</v>
      </c>
      <c r="E39" s="88"/>
      <c r="F39" s="88">
        <f>ROUND(($F$45*D39),2)</f>
        <v>303.32</v>
      </c>
      <c r="G39" s="88">
        <f>ROUND((G45*$D$39),2)</f>
        <v>299.88</v>
      </c>
      <c r="H39" s="88">
        <f>ROUND((H45*$D$39),2)</f>
        <v>0</v>
      </c>
      <c r="I39" s="88">
        <f>ROUND((I45*$D$39),2)</f>
        <v>9.0500000000000007</v>
      </c>
      <c r="J39" s="369">
        <f>ROUND((J45*$D$39),2)</f>
        <v>0</v>
      </c>
    </row>
    <row r="40" spans="1:12" ht="19.5" customHeight="1" x14ac:dyDescent="0.3">
      <c r="A40" s="664" t="s">
        <v>321</v>
      </c>
      <c r="B40" s="664"/>
      <c r="C40" s="664"/>
      <c r="D40" s="391">
        <f>Dados!G55</f>
        <v>1.6500000000000001E-2</v>
      </c>
      <c r="E40" s="88"/>
      <c r="F40" s="88">
        <f>ROUND((F45*$D$40),2)</f>
        <v>65.849999999999994</v>
      </c>
      <c r="G40" s="88">
        <f>ROUND((G45*$D$40),2)</f>
        <v>65.11</v>
      </c>
      <c r="H40" s="88">
        <f>ROUND((H45*$D$40),2)</f>
        <v>0</v>
      </c>
      <c r="I40" s="88">
        <f>ROUND((I45*$D$40),2)</f>
        <v>1.96</v>
      </c>
      <c r="J40" s="369">
        <f>ROUND((J45*$D$40),2)</f>
        <v>0</v>
      </c>
    </row>
    <row r="41" spans="1:12" ht="19.5" customHeight="1" x14ac:dyDescent="0.3">
      <c r="A41" s="664" t="s">
        <v>322</v>
      </c>
      <c r="B41" s="664"/>
      <c r="C41" s="664"/>
      <c r="D41" s="391">
        <f>Dados!G56</f>
        <v>0.05</v>
      </c>
      <c r="E41" s="88"/>
      <c r="F41" s="88">
        <f>ROUND((F45*$D$41),2)</f>
        <v>199.55</v>
      </c>
      <c r="G41" s="88">
        <f>ROUND((G45*$D$41),2)</f>
        <v>197.29</v>
      </c>
      <c r="H41" s="88">
        <f>ROUND((H45*$D$41),2)</f>
        <v>0</v>
      </c>
      <c r="I41" s="88">
        <f>ROUND((I45*$D$41),2)</f>
        <v>5.95</v>
      </c>
      <c r="J41" s="369">
        <f>ROUND((J45*$D$41),2)</f>
        <v>0</v>
      </c>
    </row>
    <row r="42" spans="1:12" ht="19.5" customHeight="1" x14ac:dyDescent="0.3">
      <c r="A42" s="664" t="s">
        <v>308</v>
      </c>
      <c r="B42" s="664"/>
      <c r="C42" s="664"/>
      <c r="D42" s="391">
        <f>Dados!G57</f>
        <v>0</v>
      </c>
      <c r="E42" s="88"/>
      <c r="F42" s="88">
        <f>ROUND((F45*$D$42),2)</f>
        <v>0</v>
      </c>
      <c r="G42" s="88">
        <f>ROUND((G45*$D$42),2)</f>
        <v>0</v>
      </c>
      <c r="H42" s="88">
        <f>ROUND((H45*$D$42),2)</f>
        <v>0</v>
      </c>
      <c r="I42" s="88">
        <f>ROUND((I45*$D$42),2)</f>
        <v>0</v>
      </c>
      <c r="J42" s="369">
        <f>ROUND((J45*$D$42),2)</f>
        <v>0</v>
      </c>
    </row>
    <row r="43" spans="1:12" ht="19.5" customHeight="1" x14ac:dyDescent="0.3">
      <c r="A43" s="673" t="s">
        <v>556</v>
      </c>
      <c r="B43" s="673"/>
      <c r="C43" s="673"/>
      <c r="D43" s="403">
        <f>SUM(D39:D42)</f>
        <v>0.14250000000000002</v>
      </c>
      <c r="E43" s="404"/>
      <c r="F43" s="405">
        <f>SUM(F39:F42)</f>
        <v>568.72</v>
      </c>
      <c r="G43" s="405">
        <f>SUM(G39:G42)</f>
        <v>562.28</v>
      </c>
      <c r="H43" s="405">
        <f>SUM(H39:H42)</f>
        <v>0</v>
      </c>
      <c r="I43" s="405">
        <f>SUM(I39:I42)</f>
        <v>16.96</v>
      </c>
      <c r="J43" s="406">
        <f>SUM(J39:J41)</f>
        <v>0</v>
      </c>
    </row>
    <row r="44" spans="1:12" ht="19.5" customHeight="1" x14ac:dyDescent="0.3">
      <c r="A44" s="674" t="str">
        <f>CONCATENATE("Custo Mensal - ",A7)</f>
        <v>Custo Mensal - Zelador acúmulo Lavador de Carro</v>
      </c>
      <c r="B44" s="674"/>
      <c r="C44" s="674"/>
      <c r="D44" s="674"/>
      <c r="E44" s="674"/>
      <c r="F44" s="407">
        <f>ROUND(F37/(1-D43),2)</f>
        <v>3991.05</v>
      </c>
      <c r="G44" s="407">
        <f>ROUND(G37/(1-D43),2)</f>
        <v>3945.84</v>
      </c>
      <c r="H44" s="407">
        <f>ROUND(H37/(1-D43),2)</f>
        <v>0</v>
      </c>
      <c r="I44" s="407">
        <f>ROUND(I37/(1-D43),2)</f>
        <v>119.06</v>
      </c>
      <c r="J44" s="408">
        <f>ROUND(J37/(1-D43),2)</f>
        <v>0</v>
      </c>
    </row>
    <row r="45" spans="1:12" ht="19.5" customHeight="1" x14ac:dyDescent="0.3">
      <c r="A45" s="674" t="str">
        <f>CONCATENATE("Valor do Custo Mensal - ",A7)</f>
        <v>Valor do Custo Mensal - Zelador acúmulo Lavador de Carro</v>
      </c>
      <c r="B45" s="674"/>
      <c r="C45" s="674"/>
      <c r="D45" s="674"/>
      <c r="E45" s="674"/>
      <c r="F45" s="407">
        <f>F44</f>
        <v>3991.05</v>
      </c>
      <c r="G45" s="407">
        <f>G44</f>
        <v>3945.84</v>
      </c>
      <c r="H45" s="407">
        <f>H44</f>
        <v>0</v>
      </c>
      <c r="I45" s="407">
        <f>I44</f>
        <v>119.06</v>
      </c>
      <c r="J45" s="408">
        <f>J44</f>
        <v>0</v>
      </c>
      <c r="K45" s="409"/>
      <c r="L45" s="409"/>
    </row>
    <row r="46" spans="1:12" ht="27.75" customHeight="1" x14ac:dyDescent="0.3">
      <c r="A46" s="675" t="s">
        <v>557</v>
      </c>
      <c r="B46" s="675"/>
      <c r="C46" s="675"/>
      <c r="D46" s="675"/>
      <c r="E46" s="675"/>
      <c r="F46" s="410">
        <f>(F45/F14)</f>
        <v>2.4685940138427567</v>
      </c>
      <c r="G46" s="410">
        <f>(G45/G14)</f>
        <v>2.4406301608802954</v>
      </c>
      <c r="H46" s="672" t="s">
        <v>558</v>
      </c>
      <c r="I46" s="672"/>
      <c r="J46" s="411">
        <v>0</v>
      </c>
    </row>
    <row r="47" spans="1:12" ht="19.5" customHeight="1" x14ac:dyDescent="0.3"/>
  </sheetData>
  <sheetProtection algorithmName="SHA-512" hashValue="gtdkzoAhA51+kEmUMyTCqoIBHi9FBSXDyvYy9CM99AIgj3mL/VSwe5QuReYtDzeCYTrfZ8XbOxTQIqXSK/PBtg==" saltValue="mnSC/1dt5fUT9MoCjh4fVA==" spinCount="100000" sheet="1" objects="1" scenarios="1"/>
  <mergeCells count="49">
    <mergeCell ref="H46:I46"/>
    <mergeCell ref="A42:C42"/>
    <mergeCell ref="A43:C43"/>
    <mergeCell ref="A44:E44"/>
    <mergeCell ref="A45:E45"/>
    <mergeCell ref="A46:E46"/>
    <mergeCell ref="A37:E37"/>
    <mergeCell ref="A38:J38"/>
    <mergeCell ref="A39:C39"/>
    <mergeCell ref="A40:C40"/>
    <mergeCell ref="A41:C41"/>
    <mergeCell ref="A30:E30"/>
    <mergeCell ref="A31:J31"/>
    <mergeCell ref="A32:C32"/>
    <mergeCell ref="E32:J32"/>
    <mergeCell ref="A34:C34"/>
    <mergeCell ref="A24:B24"/>
    <mergeCell ref="A25:B25"/>
    <mergeCell ref="A26:B26"/>
    <mergeCell ref="A28:B28"/>
    <mergeCell ref="A29:E29"/>
    <mergeCell ref="A19:B19"/>
    <mergeCell ref="A20:B20"/>
    <mergeCell ref="A21:B21"/>
    <mergeCell ref="A22:B22"/>
    <mergeCell ref="A23:B23"/>
    <mergeCell ref="A16:E16"/>
    <mergeCell ref="A17:J17"/>
    <mergeCell ref="A18:B18"/>
    <mergeCell ref="D18:E18"/>
    <mergeCell ref="F18:J18"/>
    <mergeCell ref="A9:J9"/>
    <mergeCell ref="B10:C10"/>
    <mergeCell ref="F10:J10"/>
    <mergeCell ref="A11:A15"/>
    <mergeCell ref="B11:C11"/>
    <mergeCell ref="B12:C12"/>
    <mergeCell ref="B14:E14"/>
    <mergeCell ref="B15:D15"/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</mergeCells>
  <printOptions horizontalCentered="1" verticalCentered="1"/>
  <pageMargins left="0.51180555555555596" right="0.51180555555555596" top="0.78749999999999998" bottom="0.78749999999999998" header="0.511811023622047" footer="0.511811023622047"/>
  <pageSetup paperSize="9" scale="61" fitToHeight="2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  <pageSetUpPr fitToPage="1"/>
  </sheetPr>
  <dimension ref="A1:AMK26"/>
  <sheetViews>
    <sheetView showGridLines="0" tabSelected="1" view="pageBreakPreview" zoomScaleNormal="100" workbookViewId="0">
      <selection activeCell="B16" sqref="B16"/>
    </sheetView>
  </sheetViews>
  <sheetFormatPr defaultColWidth="8.6640625" defaultRowHeight="14.4" x14ac:dyDescent="0.3"/>
  <cols>
    <col min="1" max="1" width="13.109375" style="1" customWidth="1"/>
    <col min="2" max="2" width="44.44140625" style="1" customWidth="1"/>
    <col min="3" max="3" width="7.109375" style="1" customWidth="1"/>
    <col min="4" max="4" width="6.6640625" style="1" customWidth="1"/>
    <col min="5" max="5" width="10.109375" style="1" customWidth="1"/>
    <col min="6" max="6" width="12.5546875" style="1" customWidth="1"/>
    <col min="7" max="7" width="12.33203125" style="1" customWidth="1"/>
    <col min="8" max="8" width="13.44140625" style="1" customWidth="1"/>
    <col min="9" max="9" width="11.88671875" style="1" customWidth="1"/>
    <col min="10" max="10" width="13.6640625" style="1" customWidth="1"/>
    <col min="11" max="11" width="11.33203125" style="1" customWidth="1"/>
    <col min="12" max="12" width="15.5546875" style="1" customWidth="1"/>
    <col min="13" max="13" width="12.33203125" style="1" customWidth="1"/>
    <col min="14" max="14" width="7.44140625" style="1" customWidth="1"/>
    <col min="15" max="15" width="13.33203125" style="1" customWidth="1"/>
    <col min="16" max="16" width="12" style="1" customWidth="1"/>
    <col min="17" max="17" width="9.5546875" style="1" customWidth="1"/>
    <col min="18" max="18" width="11.33203125" style="1" customWidth="1"/>
    <col min="19" max="19" width="16.109375" style="1" customWidth="1"/>
    <col min="20" max="20" width="12.109375" style="1" customWidth="1"/>
    <col min="21" max="22" width="10.109375" style="1" customWidth="1"/>
    <col min="23" max="23" width="16.44140625" style="1" customWidth="1"/>
    <col min="24" max="259" width="9.109375" style="1" customWidth="1"/>
    <col min="260" max="260" width="13.109375" style="1" customWidth="1"/>
    <col min="261" max="261" width="38.44140625" style="1" customWidth="1"/>
    <col min="262" max="262" width="7.109375" style="1" customWidth="1"/>
    <col min="263" max="263" width="6.6640625" style="1" customWidth="1"/>
    <col min="264" max="264" width="10.109375" style="1" customWidth="1"/>
    <col min="265" max="265" width="12.5546875" style="1" customWidth="1"/>
    <col min="266" max="266" width="12.33203125" style="1" customWidth="1"/>
    <col min="267" max="267" width="13.44140625" style="1" customWidth="1"/>
    <col min="268" max="268" width="12.109375" style="1" customWidth="1"/>
    <col min="269" max="269" width="13.6640625" style="1" customWidth="1"/>
    <col min="270" max="270" width="11.33203125" style="1" customWidth="1"/>
    <col min="271" max="271" width="15.5546875" style="1" customWidth="1"/>
    <col min="272" max="272" width="12.33203125" style="1" customWidth="1"/>
    <col min="273" max="273" width="7.44140625" style="1" customWidth="1"/>
    <col min="274" max="274" width="13.33203125" style="1" customWidth="1"/>
    <col min="275" max="275" width="14" style="1" customWidth="1"/>
    <col min="276" max="276" width="12.109375" style="1" customWidth="1"/>
    <col min="277" max="278" width="10.109375" style="1" customWidth="1"/>
    <col min="279" max="279" width="16.44140625" style="1" customWidth="1"/>
    <col min="280" max="515" width="9.109375" style="1" customWidth="1"/>
    <col min="516" max="516" width="13.109375" style="1" customWidth="1"/>
    <col min="517" max="517" width="38.44140625" style="1" customWidth="1"/>
    <col min="518" max="518" width="7.109375" style="1" customWidth="1"/>
    <col min="519" max="519" width="6.6640625" style="1" customWidth="1"/>
    <col min="520" max="520" width="10.109375" style="1" customWidth="1"/>
    <col min="521" max="521" width="12.5546875" style="1" customWidth="1"/>
    <col min="522" max="522" width="12.33203125" style="1" customWidth="1"/>
    <col min="523" max="523" width="13.44140625" style="1" customWidth="1"/>
    <col min="524" max="524" width="12.109375" style="1" customWidth="1"/>
    <col min="525" max="525" width="13.6640625" style="1" customWidth="1"/>
    <col min="526" max="526" width="11.33203125" style="1" customWidth="1"/>
    <col min="527" max="527" width="15.5546875" style="1" customWidth="1"/>
    <col min="528" max="528" width="12.33203125" style="1" customWidth="1"/>
    <col min="529" max="529" width="7.44140625" style="1" customWidth="1"/>
    <col min="530" max="530" width="13.33203125" style="1" customWidth="1"/>
    <col min="531" max="531" width="14" style="1" customWidth="1"/>
    <col min="532" max="532" width="12.109375" style="1" customWidth="1"/>
    <col min="533" max="534" width="10.109375" style="1" customWidth="1"/>
    <col min="535" max="535" width="16.44140625" style="1" customWidth="1"/>
    <col min="536" max="771" width="9.109375" style="1" customWidth="1"/>
    <col min="772" max="772" width="13.109375" style="1" customWidth="1"/>
    <col min="773" max="773" width="38.44140625" style="1" customWidth="1"/>
    <col min="774" max="774" width="7.109375" style="1" customWidth="1"/>
    <col min="775" max="775" width="6.6640625" style="1" customWidth="1"/>
    <col min="776" max="776" width="10.109375" style="1" customWidth="1"/>
    <col min="777" max="777" width="12.5546875" style="1" customWidth="1"/>
    <col min="778" max="778" width="12.33203125" style="1" customWidth="1"/>
    <col min="779" max="779" width="13.44140625" style="1" customWidth="1"/>
    <col min="780" max="780" width="12.109375" style="1" customWidth="1"/>
    <col min="781" max="781" width="13.6640625" style="1" customWidth="1"/>
    <col min="782" max="782" width="11.33203125" style="1" customWidth="1"/>
    <col min="783" max="783" width="15.5546875" style="1" customWidth="1"/>
    <col min="784" max="784" width="12.33203125" style="1" customWidth="1"/>
    <col min="785" max="785" width="7.44140625" style="1" customWidth="1"/>
    <col min="786" max="786" width="13.33203125" style="1" customWidth="1"/>
    <col min="787" max="787" width="14" style="1" customWidth="1"/>
    <col min="788" max="788" width="12.109375" style="1" customWidth="1"/>
    <col min="789" max="790" width="10.109375" style="1" customWidth="1"/>
    <col min="791" max="791" width="16.44140625" style="1" customWidth="1"/>
    <col min="792" max="1025" width="9.109375" style="1" customWidth="1"/>
  </cols>
  <sheetData>
    <row r="1" spans="1:23" x14ac:dyDescent="0.3">
      <c r="A1" s="4"/>
      <c r="B1" s="413" t="str">
        <f>INSTRUÇÕES!B1</f>
        <v>Tribunal Regional Federal da 6ª Região</v>
      </c>
      <c r="C1" s="78"/>
      <c r="D1" s="78"/>
      <c r="E1" s="78"/>
      <c r="F1" s="78"/>
      <c r="G1" s="78"/>
      <c r="H1" s="78"/>
      <c r="I1" s="78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5"/>
    </row>
    <row r="2" spans="1:23" x14ac:dyDescent="0.3">
      <c r="A2" s="416"/>
      <c r="B2" s="123" t="str">
        <f>INSTRUÇÕES!B2</f>
        <v>Seção Judiciária de Minas Gerais</v>
      </c>
      <c r="C2" s="55"/>
      <c r="D2" s="55"/>
      <c r="E2" s="55"/>
      <c r="F2" s="55"/>
      <c r="G2" s="55"/>
      <c r="H2" s="55"/>
      <c r="I2" s="55"/>
      <c r="W2" s="417"/>
    </row>
    <row r="3" spans="1:23" x14ac:dyDescent="0.3">
      <c r="A3" s="416"/>
      <c r="B3" s="123" t="str">
        <f>INSTRUÇÕES!B3</f>
        <v>Subseção Judiciária de Governador Valadares</v>
      </c>
      <c r="C3" s="55"/>
      <c r="D3" s="55"/>
      <c r="E3" s="55"/>
      <c r="F3" s="55"/>
      <c r="G3" s="55"/>
      <c r="H3" s="55"/>
      <c r="I3" s="55"/>
      <c r="W3" s="417"/>
    </row>
    <row r="4" spans="1:23" s="418" customFormat="1" ht="18.75" customHeight="1" x14ac:dyDescent="0.3">
      <c r="A4" s="677" t="s">
        <v>559</v>
      </c>
      <c r="B4" s="677"/>
      <c r="C4" s="677"/>
      <c r="D4" s="677"/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  <c r="V4" s="677"/>
      <c r="W4" s="677"/>
    </row>
    <row r="5" spans="1:23" s="127" customFormat="1" ht="21" customHeight="1" x14ac:dyDescent="0.3">
      <c r="A5" s="678" t="str">
        <f>"PREÇO MENSAL GLOBAL - "&amp;B3</f>
        <v>PREÇO MENSAL GLOBAL - Subseção Judiciária de Governador Valadares</v>
      </c>
      <c r="B5" s="678"/>
      <c r="C5" s="678"/>
      <c r="D5" s="678"/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</row>
    <row r="6" spans="1:23" s="3" customFormat="1" ht="23.25" customHeight="1" x14ac:dyDescent="0.3">
      <c r="A6" s="679" t="str">
        <f>Dados!A4</f>
        <v>Sindicato utilizado - SETHAC-GV e SEAC/MG. Vigência: 01/01/2024 à 31/12/2024. Sendo a data base da categoria 1º de Janeiro. Com número de registro no MTE MG000439/2024.</v>
      </c>
      <c r="B6" s="679"/>
      <c r="C6" s="679"/>
      <c r="D6" s="679"/>
      <c r="E6" s="679"/>
      <c r="F6" s="679"/>
      <c r="G6" s="679"/>
      <c r="H6" s="679"/>
      <c r="I6" s="679"/>
      <c r="J6" s="679"/>
      <c r="K6" s="679"/>
      <c r="L6" s="679"/>
      <c r="M6" s="679"/>
      <c r="N6" s="679"/>
      <c r="O6" s="679"/>
      <c r="P6" s="679"/>
      <c r="Q6" s="679"/>
      <c r="R6" s="679"/>
      <c r="S6" s="679"/>
      <c r="T6" s="679"/>
      <c r="U6" s="679"/>
      <c r="V6" s="679"/>
      <c r="W6" s="679"/>
    </row>
    <row r="7" spans="1:23" s="16" customFormat="1" ht="18.75" customHeight="1" x14ac:dyDescent="0.3">
      <c r="A7" s="419"/>
      <c r="B7" s="420"/>
      <c r="C7" s="420"/>
      <c r="D7" s="420"/>
      <c r="E7" s="421"/>
      <c r="F7" s="421"/>
      <c r="G7" s="421"/>
      <c r="H7" s="422" t="s">
        <v>560</v>
      </c>
      <c r="I7" s="423"/>
      <c r="J7" s="423"/>
      <c r="K7" s="421"/>
      <c r="L7" s="421"/>
      <c r="M7" s="421"/>
      <c r="N7" s="421"/>
      <c r="O7" s="421"/>
      <c r="P7" s="421"/>
      <c r="Q7" s="421"/>
      <c r="R7" s="421"/>
      <c r="S7" s="680" t="s">
        <v>561</v>
      </c>
      <c r="T7" s="680"/>
      <c r="U7" s="680"/>
      <c r="V7" s="680"/>
      <c r="W7" s="680"/>
    </row>
    <row r="8" spans="1:23" s="16" customFormat="1" ht="22.5" customHeight="1" x14ac:dyDescent="0.3">
      <c r="A8" s="681" t="s">
        <v>562</v>
      </c>
      <c r="B8" s="683" t="s">
        <v>563</v>
      </c>
      <c r="C8" s="683"/>
      <c r="D8" s="684" t="s">
        <v>44</v>
      </c>
      <c r="E8" s="684"/>
      <c r="F8" s="684"/>
      <c r="G8" s="684"/>
      <c r="H8" s="684"/>
      <c r="I8" s="684"/>
      <c r="J8" s="684"/>
      <c r="K8" s="684"/>
      <c r="L8" s="684"/>
      <c r="M8" s="684"/>
      <c r="N8" s="684"/>
      <c r="O8" s="684"/>
      <c r="P8" s="684"/>
      <c r="Q8" s="684"/>
      <c r="R8" s="684"/>
      <c r="S8" s="684"/>
      <c r="T8" s="684"/>
      <c r="U8" s="684"/>
      <c r="V8" s="684"/>
      <c r="W8" s="685" t="s">
        <v>564</v>
      </c>
    </row>
    <row r="9" spans="1:23" s="16" customFormat="1" ht="20.25" customHeight="1" x14ac:dyDescent="0.3">
      <c r="A9" s="681"/>
      <c r="B9" s="683"/>
      <c r="C9" s="683"/>
      <c r="D9" s="686" t="s">
        <v>565</v>
      </c>
      <c r="E9" s="686"/>
      <c r="F9" s="686"/>
      <c r="G9" s="686" t="s">
        <v>566</v>
      </c>
      <c r="H9" s="686"/>
      <c r="I9" s="686"/>
      <c r="J9" s="687" t="s">
        <v>567</v>
      </c>
      <c r="K9" s="687"/>
      <c r="L9" s="687"/>
      <c r="M9" s="687"/>
      <c r="N9" s="687"/>
      <c r="O9" s="687"/>
      <c r="P9" s="688" t="s">
        <v>568</v>
      </c>
      <c r="Q9" s="688"/>
      <c r="R9" s="688"/>
      <c r="S9" s="424" t="s">
        <v>569</v>
      </c>
      <c r="T9" s="689" t="s">
        <v>570</v>
      </c>
      <c r="U9" s="689"/>
      <c r="V9" s="689"/>
      <c r="W9" s="685"/>
    </row>
    <row r="10" spans="1:23" s="16" customFormat="1" ht="27.75" customHeight="1" thickBot="1" x14ac:dyDescent="0.35">
      <c r="A10" s="681"/>
      <c r="B10" s="683"/>
      <c r="C10" s="683"/>
      <c r="D10" s="690" t="s">
        <v>571</v>
      </c>
      <c r="E10" s="690"/>
      <c r="F10" s="690"/>
      <c r="G10" s="691" t="s">
        <v>572</v>
      </c>
      <c r="H10" s="692" t="s">
        <v>573</v>
      </c>
      <c r="I10" s="692"/>
      <c r="J10" s="693" t="s">
        <v>574</v>
      </c>
      <c r="K10" s="693"/>
      <c r="L10" s="693"/>
      <c r="M10" s="694" t="s">
        <v>575</v>
      </c>
      <c r="N10" s="694"/>
      <c r="O10" s="694"/>
      <c r="P10" s="695" t="s">
        <v>576</v>
      </c>
      <c r="Q10" s="695"/>
      <c r="R10" s="695"/>
      <c r="S10" s="696" t="s">
        <v>577</v>
      </c>
      <c r="T10" s="695" t="s">
        <v>578</v>
      </c>
      <c r="U10" s="695"/>
      <c r="V10" s="695"/>
      <c r="W10" s="685"/>
    </row>
    <row r="11" spans="1:23" s="16" customFormat="1" ht="69.599999999999994" thickBot="1" x14ac:dyDescent="0.35">
      <c r="A11" s="682"/>
      <c r="B11" s="425" t="s">
        <v>25</v>
      </c>
      <c r="C11" s="426" t="s">
        <v>26</v>
      </c>
      <c r="D11" s="427" t="s">
        <v>24</v>
      </c>
      <c r="E11" s="428" t="s">
        <v>579</v>
      </c>
      <c r="F11" s="429" t="s">
        <v>580</v>
      </c>
      <c r="G11" s="691"/>
      <c r="H11" s="430" t="s">
        <v>581</v>
      </c>
      <c r="I11" s="431" t="s">
        <v>582</v>
      </c>
      <c r="J11" s="432" t="s">
        <v>583</v>
      </c>
      <c r="K11" s="430" t="s">
        <v>33</v>
      </c>
      <c r="L11" s="433" t="s">
        <v>584</v>
      </c>
      <c r="M11" s="425" t="s">
        <v>585</v>
      </c>
      <c r="N11" s="428" t="s">
        <v>34</v>
      </c>
      <c r="O11" s="434" t="s">
        <v>586</v>
      </c>
      <c r="P11" s="425" t="s">
        <v>587</v>
      </c>
      <c r="Q11" s="428" t="s">
        <v>588</v>
      </c>
      <c r="R11" s="426" t="s">
        <v>589</v>
      </c>
      <c r="S11" s="696"/>
      <c r="T11" s="425" t="s">
        <v>590</v>
      </c>
      <c r="U11" s="428" t="s">
        <v>591</v>
      </c>
      <c r="V11" s="435" t="s">
        <v>592</v>
      </c>
      <c r="W11" s="685"/>
    </row>
    <row r="12" spans="1:23" s="16" customFormat="1" ht="15.75" customHeight="1" x14ac:dyDescent="0.3">
      <c r="A12" s="700" t="s">
        <v>593</v>
      </c>
      <c r="B12" s="436" t="str">
        <f>Dados!C7</f>
        <v>Servente de Limpeza 40% Insalubridade</v>
      </c>
      <c r="C12" s="437">
        <f>Dados!D7</f>
        <v>200</v>
      </c>
      <c r="D12" s="438">
        <f>Dados!B7</f>
        <v>1</v>
      </c>
      <c r="E12" s="439">
        <f>'Servente Insalubre'!$F$45</f>
        <v>6350.66</v>
      </c>
      <c r="F12" s="440">
        <f t="shared" ref="F12:F18" si="0">ROUND((D12*E12),2)</f>
        <v>6350.66</v>
      </c>
      <c r="G12" s="441">
        <f>'Servente Insalubre'!$I$45</f>
        <v>132.03</v>
      </c>
      <c r="H12" s="442">
        <f>'Ocorrências Mensais - FAT'!F11+'Ocorrências Mensais - FAT'!H11</f>
        <v>0</v>
      </c>
      <c r="I12" s="443">
        <f>(ROUND((G12/Dados!$G$37*H12)-(G12/'Ocorrências Mensais - FAT'!$E$5*'Ocorrências Mensais - FAT'!G11),2))</f>
        <v>0</v>
      </c>
      <c r="J12" s="444">
        <f>'Servente Insalubre'!$G$45</f>
        <v>5470.6</v>
      </c>
      <c r="K12" s="445">
        <f>'Ocorrências Mensais - FAT'!K11</f>
        <v>0</v>
      </c>
      <c r="L12" s="446">
        <f>J12/'Ocorrências Mensais - FAT'!$E$5*K12</f>
        <v>0</v>
      </c>
      <c r="M12" s="447">
        <f>'Custo Estimado Substituto'!$F$34</f>
        <v>4675.5199999999995</v>
      </c>
      <c r="N12" s="448">
        <f>'Ocorrências Mensais - FAT'!L11</f>
        <v>0</v>
      </c>
      <c r="O12" s="446">
        <f>M12/'Ocorrências Mensais - FAT'!$E$5*N12</f>
        <v>0</v>
      </c>
      <c r="P12" s="444">
        <f>'Servente Insalubre'!$H$45</f>
        <v>614.96</v>
      </c>
      <c r="Q12" s="449">
        <f>'Ocorrências Mensais - FAT'!M11</f>
        <v>0</v>
      </c>
      <c r="R12" s="450">
        <f>ROUND((P12/Dados!$G$40*Q12),2)</f>
        <v>0</v>
      </c>
      <c r="S12" s="451">
        <f t="shared" ref="S12:S18" si="1">I12+L12+O12+R12</f>
        <v>0</v>
      </c>
      <c r="T12" s="452"/>
      <c r="U12" s="453"/>
      <c r="V12" s="454"/>
      <c r="W12" s="455">
        <f t="shared" ref="W12:W18" si="2">ROUND((F12-S12+V12),2)</f>
        <v>6350.66</v>
      </c>
    </row>
    <row r="13" spans="1:23" s="16" customFormat="1" ht="15.6" x14ac:dyDescent="0.3">
      <c r="A13" s="700"/>
      <c r="B13" s="436" t="str">
        <f>Dados!C8</f>
        <v xml:space="preserve">Servente de Limpeza  </v>
      </c>
      <c r="C13" s="437">
        <f>Dados!D8</f>
        <v>200</v>
      </c>
      <c r="D13" s="438">
        <f>Dados!B8</f>
        <v>1</v>
      </c>
      <c r="E13" s="439">
        <f>'Servente 200'!$F$45</f>
        <v>4956.09</v>
      </c>
      <c r="F13" s="440">
        <f t="shared" si="0"/>
        <v>4956.09</v>
      </c>
      <c r="G13" s="456">
        <f>'Servente 200'!$I$45</f>
        <v>132.03</v>
      </c>
      <c r="H13" s="457">
        <f>'Ocorrências Mensais - FAT'!F12+'Ocorrências Mensais - FAT'!H12</f>
        <v>0</v>
      </c>
      <c r="I13" s="458">
        <f>(ROUND((G13/Dados!$G$37*H13)-(G13/'Ocorrências Mensais - FAT'!$E$5*'Ocorrências Mensais - FAT'!G12),2))</f>
        <v>0</v>
      </c>
      <c r="J13" s="459">
        <f>'Servente 200'!$G$45</f>
        <v>4076.03</v>
      </c>
      <c r="K13" s="448">
        <f>'Ocorrências Mensais - FAT'!K12</f>
        <v>0</v>
      </c>
      <c r="L13" s="460">
        <f>J13/'Ocorrências Mensais - FAT'!$E$5*K13</f>
        <v>0</v>
      </c>
      <c r="M13" s="459">
        <f>'Custo Estimado Substituto'!G34</f>
        <v>3487.67</v>
      </c>
      <c r="N13" s="448">
        <f>'Ocorrências Mensais - FAT'!L12</f>
        <v>0</v>
      </c>
      <c r="O13" s="460">
        <f>M13/'Ocorrências Mensais - FAT'!$E$5*N13</f>
        <v>0</v>
      </c>
      <c r="P13" s="459">
        <f>'Servente 200'!$H$45</f>
        <v>614.96</v>
      </c>
      <c r="Q13" s="449">
        <f>'Ocorrências Mensais - FAT'!M12</f>
        <v>0</v>
      </c>
      <c r="R13" s="450">
        <f>ROUND((P13/Dados!$G$40*Q13),2)</f>
        <v>0</v>
      </c>
      <c r="S13" s="451">
        <f t="shared" si="1"/>
        <v>0</v>
      </c>
      <c r="T13" s="456">
        <f>'Servente Insalubre'!$J$46</f>
        <v>46.49</v>
      </c>
      <c r="U13" s="461">
        <f>'Ocorrências Mensais - FAT'!N12</f>
        <v>0</v>
      </c>
      <c r="V13" s="462">
        <f>T13*U13</f>
        <v>0</v>
      </c>
      <c r="W13" s="455">
        <f t="shared" si="2"/>
        <v>4956.09</v>
      </c>
    </row>
    <row r="14" spans="1:23" s="16" customFormat="1" ht="15.6" x14ac:dyDescent="0.3">
      <c r="A14" s="700"/>
      <c r="B14" s="436" t="str">
        <f>Dados!C9</f>
        <v>Servente acúmulo Copeira</v>
      </c>
      <c r="C14" s="437">
        <f>Dados!D9</f>
        <v>200</v>
      </c>
      <c r="D14" s="438">
        <f>Dados!B9</f>
        <v>1</v>
      </c>
      <c r="E14" s="439">
        <f>'Servente acúmulo Copa'!$F$45</f>
        <v>4295.0600000000004</v>
      </c>
      <c r="F14" s="440">
        <f t="shared" si="0"/>
        <v>4295.0600000000004</v>
      </c>
      <c r="G14" s="456">
        <f>'Servente acúmulo Copa'!$I$45</f>
        <v>132.03</v>
      </c>
      <c r="H14" s="457">
        <f>'Ocorrências Mensais - FAT'!F13+'Ocorrências Mensais - FAT'!H13</f>
        <v>0</v>
      </c>
      <c r="I14" s="460">
        <f>(ROUND((G14/Dados!$G$37*H14)-(G14/'Ocorrências Mensais - FAT'!$E$5*'Ocorrências Mensais - FAT'!G13),2))</f>
        <v>0</v>
      </c>
      <c r="J14" s="459">
        <f>'Servente acúmulo Copa'!$G$45</f>
        <v>4175.5600000000004</v>
      </c>
      <c r="K14" s="448">
        <f>'Ocorrências Mensais - FAT'!K13</f>
        <v>0</v>
      </c>
      <c r="L14" s="460">
        <f>J14/'Ocorrências Mensais - FAT'!$E$5*K14</f>
        <v>0</v>
      </c>
      <c r="M14" s="459">
        <f>'Custo Estimado Substituto'!H34</f>
        <v>3569.87</v>
      </c>
      <c r="N14" s="448">
        <f>'Ocorrências Mensais - FAT'!L13</f>
        <v>0</v>
      </c>
      <c r="O14" s="460">
        <f>M14/'Ocorrências Mensais - FAT'!$E$5*N14</f>
        <v>0</v>
      </c>
      <c r="P14" s="459">
        <f>'Servente acúmulo Copa'!$H$45</f>
        <v>614.96</v>
      </c>
      <c r="Q14" s="449">
        <f>'Ocorrências Mensais - FAT'!M13</f>
        <v>0</v>
      </c>
      <c r="R14" s="450">
        <f>ROUND((P14/Dados!$G$40*Q14),2)</f>
        <v>0</v>
      </c>
      <c r="S14" s="451">
        <f t="shared" si="1"/>
        <v>0</v>
      </c>
      <c r="T14" s="463"/>
      <c r="U14" s="464"/>
      <c r="V14" s="465"/>
      <c r="W14" s="455">
        <f t="shared" si="2"/>
        <v>4295.0600000000004</v>
      </c>
    </row>
    <row r="15" spans="1:23" s="16" customFormat="1" ht="15.6" x14ac:dyDescent="0.3">
      <c r="A15" s="700"/>
      <c r="B15" s="436" t="str">
        <f>Dados!C10</f>
        <v>Zelador acúmulo Lavador de Carro</v>
      </c>
      <c r="C15" s="437">
        <f>Dados!D10</f>
        <v>150</v>
      </c>
      <c r="D15" s="438">
        <f>Dados!B10</f>
        <v>1</v>
      </c>
      <c r="E15" s="439">
        <f>'Zelador acúmulo Lavador'!$F$45</f>
        <v>3991.05</v>
      </c>
      <c r="F15" s="440">
        <f t="shared" si="0"/>
        <v>3991.05</v>
      </c>
      <c r="G15" s="456">
        <f>'Zelador acúmulo Lavador'!$I$45</f>
        <v>119.06</v>
      </c>
      <c r="H15" s="457">
        <f>'Ocorrências Mensais - FAT'!F14+'Ocorrências Mensais - FAT'!H14</f>
        <v>0</v>
      </c>
      <c r="I15" s="460">
        <f>(ROUND((G15/Dados!$G$37*H15)-(G15/'Ocorrências Mensais - FAT'!$E$5*'Ocorrências Mensais - FAT'!G14),2))</f>
        <v>0</v>
      </c>
      <c r="J15" s="459">
        <f>'Zelador acúmulo Lavador'!$G$45</f>
        <v>3945.84</v>
      </c>
      <c r="K15" s="448">
        <f>'Ocorrências Mensais - FAT'!K14</f>
        <v>0</v>
      </c>
      <c r="L15" s="460">
        <f>J15/'Ocorrências Mensais - FAT'!$E$5*K15</f>
        <v>0</v>
      </c>
      <c r="M15" s="459">
        <f>'Custo Estimado Substituto'!I34</f>
        <v>3281.4900000000002</v>
      </c>
      <c r="N15" s="448">
        <f>'Ocorrências Mensais - FAT'!L14</f>
        <v>0</v>
      </c>
      <c r="O15" s="460">
        <f>M15/'Ocorrências Mensais - FAT'!$E$5*N15</f>
        <v>0</v>
      </c>
      <c r="P15" s="459">
        <f>'Zelador acúmulo Lavador'!$H$45</f>
        <v>0</v>
      </c>
      <c r="Q15" s="449">
        <f>'Ocorrências Mensais - FAT'!M14</f>
        <v>0</v>
      </c>
      <c r="R15" s="450">
        <f>ROUND((P15/Dados!$G$40*Q15),2)</f>
        <v>0</v>
      </c>
      <c r="S15" s="451">
        <f t="shared" si="1"/>
        <v>0</v>
      </c>
      <c r="T15" s="463"/>
      <c r="U15" s="464"/>
      <c r="V15" s="465"/>
      <c r="W15" s="455">
        <f t="shared" si="2"/>
        <v>3991.05</v>
      </c>
    </row>
    <row r="16" spans="1:23" s="16" customFormat="1" ht="15.6" x14ac:dyDescent="0.3">
      <c r="A16" s="700" t="s">
        <v>638</v>
      </c>
      <c r="B16" s="436" t="str">
        <f>Dados!C11</f>
        <v>Assistente Administrativo</v>
      </c>
      <c r="C16" s="437">
        <f>Dados!D11</f>
        <v>200</v>
      </c>
      <c r="D16" s="438">
        <f>Dados!B11</f>
        <v>3</v>
      </c>
      <c r="E16" s="143">
        <f>'Ass. Adm 200'!F45</f>
        <v>5549.59</v>
      </c>
      <c r="F16" s="466">
        <f t="shared" si="0"/>
        <v>16648.77</v>
      </c>
      <c r="G16" s="293">
        <f>'Ass. Adm 200'!I45</f>
        <v>81.2</v>
      </c>
      <c r="H16" s="448">
        <f>'Ocorrências Mensais - FAT'!F15+'Ocorrências Mensais - FAT'!H15</f>
        <v>0</v>
      </c>
      <c r="I16" s="460">
        <f>(ROUND((G16/Dados!$G$37*H16)-(G16/'Ocorrências Mensais - FAT'!$E$5*'Ocorrências Mensais - FAT'!G15),2))</f>
        <v>0</v>
      </c>
      <c r="J16" s="293">
        <f>'Ass. Adm 200'!G45</f>
        <v>5549.59</v>
      </c>
      <c r="K16" s="448">
        <f>'Ocorrências Mensais - FAT'!K15</f>
        <v>0</v>
      </c>
      <c r="L16" s="460">
        <f>J16/'Ocorrências Mensais - FAT'!$E$5*K16</f>
        <v>0</v>
      </c>
      <c r="M16" s="459">
        <f>'Custo Estimado Substituto'!J34</f>
        <v>4729.05</v>
      </c>
      <c r="N16" s="448">
        <f>'Ocorrências Mensais - FAT'!L15</f>
        <v>0</v>
      </c>
      <c r="O16" s="460">
        <f>M16/'Ocorrências Mensais - FAT'!$E$5*N16</f>
        <v>0</v>
      </c>
      <c r="P16" s="293">
        <f>'Ass. Adm 200'!H45</f>
        <v>614.96</v>
      </c>
      <c r="Q16" s="449">
        <f>'Ocorrências Mensais - FAT'!M15</f>
        <v>0</v>
      </c>
      <c r="R16" s="450">
        <f>ROUND((P16/Dados!$G$40*Q16),2)</f>
        <v>0</v>
      </c>
      <c r="S16" s="451">
        <f t="shared" si="1"/>
        <v>0</v>
      </c>
      <c r="T16" s="463"/>
      <c r="U16" s="464"/>
      <c r="V16" s="465"/>
      <c r="W16" s="455">
        <f t="shared" si="2"/>
        <v>16648.77</v>
      </c>
    </row>
    <row r="17" spans="1:25" s="16" customFormat="1" ht="15.6" x14ac:dyDescent="0.3">
      <c r="A17" s="700"/>
      <c r="B17" s="436" t="str">
        <f>Dados!C12</f>
        <v>Assistente Administrativo</v>
      </c>
      <c r="C17" s="437">
        <f>Dados!D12</f>
        <v>150</v>
      </c>
      <c r="D17" s="438">
        <f>Dados!B12</f>
        <v>1</v>
      </c>
      <c r="E17" s="143">
        <f>'Ass. Adm 150'!F45</f>
        <v>3790.51</v>
      </c>
      <c r="F17" s="466">
        <f t="shared" si="0"/>
        <v>3790.51</v>
      </c>
      <c r="G17" s="456">
        <f>'Ass. Adm 150'!I45</f>
        <v>120.86</v>
      </c>
      <c r="H17" s="468">
        <f>'Ocorrências Mensais - FAT'!F16+'Ocorrências Mensais - FAT'!H16</f>
        <v>0</v>
      </c>
      <c r="I17" s="460">
        <f>(ROUND((G17/Dados!$G$37*H17)-(G17/'Ocorrências Mensais - FAT'!$E$5*'Ocorrências Mensais - FAT'!G16),2))</f>
        <v>0</v>
      </c>
      <c r="J17" s="469">
        <f>'Ass. Adm 150'!G45</f>
        <v>3790.51</v>
      </c>
      <c r="K17" s="448">
        <f>'Ocorrências Mensais - FAT'!K16</f>
        <v>0</v>
      </c>
      <c r="L17" s="460">
        <f>J17/'Ocorrências Mensais - FAT'!$E$5*K17</f>
        <v>0</v>
      </c>
      <c r="M17" s="459">
        <f>'Custo Estimado Substituto'!K34</f>
        <v>3145.5299999999997</v>
      </c>
      <c r="N17" s="448">
        <f>'Ocorrências Mensais - FAT'!L16</f>
        <v>0</v>
      </c>
      <c r="O17" s="460">
        <f>M17/'Ocorrências Mensais - FAT'!$E$5*N17</f>
        <v>0</v>
      </c>
      <c r="P17" s="456">
        <f>'Ass. Adm 150'!H45</f>
        <v>0</v>
      </c>
      <c r="Q17" s="449">
        <f>'Ocorrências Mensais - FAT'!M16</f>
        <v>0</v>
      </c>
      <c r="R17" s="450">
        <f>ROUND((P17/Dados!$G$40*Q17),2)</f>
        <v>0</v>
      </c>
      <c r="S17" s="451">
        <f t="shared" si="1"/>
        <v>0</v>
      </c>
      <c r="T17" s="470"/>
      <c r="U17" s="471"/>
      <c r="V17" s="472"/>
      <c r="W17" s="455">
        <f t="shared" si="2"/>
        <v>3790.51</v>
      </c>
    </row>
    <row r="18" spans="1:25" s="16" customFormat="1" ht="16.2" thickBot="1" x14ac:dyDescent="0.35">
      <c r="A18" s="700"/>
      <c r="B18" s="436" t="str">
        <f>Dados!C13</f>
        <v>Assistente Administrativo</v>
      </c>
      <c r="C18" s="437">
        <f>Dados!D13</f>
        <v>220</v>
      </c>
      <c r="D18" s="438">
        <f>Dados!B13</f>
        <v>1</v>
      </c>
      <c r="E18" s="473">
        <f>'Ass. Adm 220'!$F$45</f>
        <v>6007.24</v>
      </c>
      <c r="F18" s="474">
        <f t="shared" si="0"/>
        <v>6007.24</v>
      </c>
      <c r="G18" s="467">
        <f>'Ass. Adm 220'!$I$45</f>
        <v>65.33</v>
      </c>
      <c r="H18" s="475">
        <f>'Ocorrências Mensais - FAT'!F17+'Ocorrências Mensais - FAT'!H17</f>
        <v>0</v>
      </c>
      <c r="I18" s="460">
        <f>(ROUND((G18/Dados!$G$37*H18)-(G18/'Ocorrências Mensais - FAT'!$E$5*'Ocorrências Mensais - FAT'!G17),2))</f>
        <v>0</v>
      </c>
      <c r="J18" s="476">
        <f>'Ass. Adm 220'!$G$45</f>
        <v>6007.24</v>
      </c>
      <c r="K18" s="448">
        <f>'Ocorrências Mensais - FAT'!K17</f>
        <v>0</v>
      </c>
      <c r="L18" s="460">
        <f>J18/'Ocorrências Mensais - FAT'!$E$5*K18</f>
        <v>0</v>
      </c>
      <c r="M18" s="459">
        <f>'Custo Estimado Substituto'!L34</f>
        <v>5116.4699999999993</v>
      </c>
      <c r="N18" s="448">
        <f>'Ocorrências Mensais - FAT'!L17</f>
        <v>0</v>
      </c>
      <c r="O18" s="460">
        <f>M18/'Ocorrências Mensais - FAT'!$E$5*N18</f>
        <v>0</v>
      </c>
      <c r="P18" s="476">
        <f>'Ass. Adm 220'!$H$45</f>
        <v>614.96</v>
      </c>
      <c r="Q18" s="449">
        <f>'Ocorrências Mensais - FAT'!M17</f>
        <v>0</v>
      </c>
      <c r="R18" s="450">
        <f>ROUND((P18/Dados!$G$40*Q18),2)</f>
        <v>0</v>
      </c>
      <c r="S18" s="451">
        <f t="shared" si="1"/>
        <v>0</v>
      </c>
      <c r="T18" s="477"/>
      <c r="U18" s="478"/>
      <c r="V18" s="479"/>
      <c r="W18" s="455">
        <f t="shared" si="2"/>
        <v>6007.24</v>
      </c>
    </row>
    <row r="19" spans="1:25" s="52" customFormat="1" ht="21.75" customHeight="1" thickBot="1" x14ac:dyDescent="0.35">
      <c r="A19" s="685" t="s">
        <v>594</v>
      </c>
      <c r="B19" s="646"/>
      <c r="C19" s="646"/>
      <c r="D19" s="480">
        <f>SUM(D12:D18)</f>
        <v>9</v>
      </c>
      <c r="E19" s="481"/>
      <c r="F19" s="482">
        <f>SUM(F12:F18)</f>
        <v>46039.380000000005</v>
      </c>
      <c r="G19" s="483"/>
      <c r="H19" s="481">
        <f t="shared" ref="H19:O19" si="3">SUM(H12:H18)</f>
        <v>0</v>
      </c>
      <c r="I19" s="481">
        <f t="shared" si="3"/>
        <v>0</v>
      </c>
      <c r="J19" s="484">
        <f t="shared" si="3"/>
        <v>33015.370000000003</v>
      </c>
      <c r="K19" s="484">
        <f t="shared" si="3"/>
        <v>0</v>
      </c>
      <c r="L19" s="484">
        <f t="shared" si="3"/>
        <v>0</v>
      </c>
      <c r="M19" s="485">
        <f t="shared" si="3"/>
        <v>28005.599999999999</v>
      </c>
      <c r="N19" s="485">
        <f t="shared" si="3"/>
        <v>0</v>
      </c>
      <c r="O19" s="486">
        <f t="shared" si="3"/>
        <v>0</v>
      </c>
      <c r="P19" s="485"/>
      <c r="Q19" s="481">
        <f>SUM(Q12:Q18)</f>
        <v>0</v>
      </c>
      <c r="R19" s="481">
        <f>SUM(R12:R18)</f>
        <v>0</v>
      </c>
      <c r="S19" s="487">
        <f>SUM(S12:S18)</f>
        <v>0</v>
      </c>
      <c r="T19" s="488"/>
      <c r="U19" s="481">
        <f>SUM(U12:U18)</f>
        <v>0</v>
      </c>
      <c r="V19" s="481">
        <f>SUM(V12:V18)</f>
        <v>0</v>
      </c>
      <c r="W19" s="489">
        <f>SUM(W12:W18)</f>
        <v>46039.380000000005</v>
      </c>
      <c r="X19" s="490" t="s">
        <v>595</v>
      </c>
      <c r="Y19" s="115"/>
    </row>
    <row r="20" spans="1:25" s="47" customFormat="1" ht="18" customHeight="1" thickBot="1" x14ac:dyDescent="0.35">
      <c r="A20" s="698" t="s">
        <v>596</v>
      </c>
      <c r="B20" s="698"/>
      <c r="C20" s="698"/>
      <c r="D20" s="698"/>
      <c r="E20" s="698"/>
      <c r="F20" s="698"/>
      <c r="G20" s="698"/>
      <c r="H20" s="698"/>
      <c r="I20" s="698"/>
      <c r="J20" s="698"/>
      <c r="K20" s="698"/>
      <c r="L20" s="698"/>
      <c r="M20" s="698"/>
      <c r="N20" s="698"/>
      <c r="O20" s="698"/>
      <c r="P20" s="698"/>
      <c r="Q20" s="698"/>
      <c r="R20" s="698"/>
      <c r="S20" s="698"/>
      <c r="T20" s="698"/>
      <c r="U20" s="698"/>
      <c r="V20" s="698"/>
      <c r="W20" s="521">
        <f>Materiais!K39+Materiais!K55+Materiais!K67</f>
        <v>2186.6558333333328</v>
      </c>
    </row>
    <row r="21" spans="1:25" s="47" customFormat="1" ht="20.25" customHeight="1" x14ac:dyDescent="0.3">
      <c r="A21" s="698" t="s">
        <v>597</v>
      </c>
      <c r="B21" s="698"/>
      <c r="C21" s="698"/>
      <c r="D21" s="698"/>
      <c r="E21" s="698"/>
      <c r="F21" s="698"/>
      <c r="G21" s="698"/>
      <c r="H21" s="698"/>
      <c r="I21" s="698"/>
      <c r="J21" s="698"/>
      <c r="K21" s="698"/>
      <c r="L21" s="698"/>
      <c r="M21" s="698"/>
      <c r="N21" s="698"/>
      <c r="O21" s="698"/>
      <c r="P21" s="698"/>
      <c r="Q21" s="698"/>
      <c r="R21" s="698"/>
      <c r="S21" s="698"/>
      <c r="T21" s="698"/>
      <c r="U21" s="698"/>
      <c r="V21" s="698"/>
      <c r="W21" s="491">
        <f>W19*12</f>
        <v>552472.56000000006</v>
      </c>
    </row>
    <row r="22" spans="1:25" s="55" customFormat="1" ht="24" customHeight="1" x14ac:dyDescent="0.3">
      <c r="A22" s="699" t="s">
        <v>50</v>
      </c>
      <c r="B22" s="699"/>
      <c r="C22" s="699"/>
      <c r="D22" s="699"/>
      <c r="E22" s="699"/>
      <c r="F22" s="699"/>
      <c r="G22" s="699"/>
      <c r="H22" s="699"/>
      <c r="I22" s="699"/>
      <c r="J22" s="699"/>
      <c r="K22" s="699"/>
      <c r="L22" s="699"/>
      <c r="M22" s="699"/>
      <c r="N22" s="699"/>
      <c r="O22" s="699"/>
      <c r="P22" s="699"/>
      <c r="Q22" s="699"/>
      <c r="R22" s="699"/>
      <c r="S22" s="699"/>
      <c r="T22" s="699"/>
      <c r="U22" s="699"/>
      <c r="V22" s="699"/>
      <c r="W22" s="699"/>
    </row>
    <row r="23" spans="1:25" s="47" customFormat="1" ht="13.8" x14ac:dyDescent="0.3">
      <c r="A23" s="701" t="str">
        <f>CONCATENATE("1. Nas FÉRIAS SEM SUBSTITUIÇÃO DA SERVENTE INSALUBRE, quando o trabalho de limpeza de banheiros públicos ou de grande circulação for efetuado por outra servente do quadro, deverá ser acrescentado o valor de R$",T13," por dia em que este fato ocorrer.")</f>
        <v>1. Nas FÉRIAS SEM SUBSTITUIÇÃO DA SERVENTE INSALUBRE, quando o trabalho de limpeza de banheiros públicos ou de grande circulação for efetuado por outra servente do quadro, deverá ser acrescentado o valor de R$46,49 por dia em que este fato ocorrer.</v>
      </c>
      <c r="B23" s="701"/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T23" s="701"/>
      <c r="U23" s="701"/>
      <c r="V23" s="701"/>
      <c r="W23" s="701"/>
    </row>
    <row r="24" spans="1:25" s="492" customFormat="1" ht="18.75" customHeight="1" x14ac:dyDescent="0.3">
      <c r="A24" s="702" t="s">
        <v>639</v>
      </c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</row>
    <row r="25" spans="1:25" x14ac:dyDescent="0.3">
      <c r="A25" s="697"/>
      <c r="B25" s="697"/>
      <c r="C25" s="697"/>
      <c r="D25" s="697"/>
      <c r="E25" s="697"/>
      <c r="F25" s="697"/>
      <c r="G25" s="697"/>
      <c r="H25" s="697"/>
      <c r="I25" s="697"/>
      <c r="J25" s="697"/>
      <c r="K25" s="697"/>
      <c r="L25" s="697"/>
      <c r="M25" s="697"/>
      <c r="N25" s="697"/>
      <c r="O25" s="697"/>
      <c r="P25" s="697"/>
      <c r="Q25" s="697"/>
      <c r="R25" s="697"/>
      <c r="S25" s="697"/>
      <c r="T25" s="697"/>
      <c r="U25" s="697"/>
      <c r="V25" s="697"/>
      <c r="W25" s="697"/>
    </row>
    <row r="26" spans="1:25" x14ac:dyDescent="0.3">
      <c r="A26" s="697"/>
      <c r="B26" s="697"/>
      <c r="C26" s="697"/>
      <c r="D26" s="697"/>
      <c r="E26" s="697"/>
      <c r="F26" s="697"/>
      <c r="G26" s="697"/>
      <c r="H26" s="697"/>
      <c r="I26" s="697"/>
      <c r="J26" s="697"/>
      <c r="K26" s="697"/>
      <c r="L26" s="697"/>
      <c r="M26" s="697"/>
      <c r="N26" s="697"/>
      <c r="O26" s="697"/>
      <c r="P26" s="697"/>
      <c r="Q26" s="697"/>
      <c r="R26" s="697"/>
      <c r="S26" s="697"/>
      <c r="T26" s="697"/>
      <c r="U26" s="697"/>
      <c r="V26" s="697"/>
      <c r="W26" s="697"/>
    </row>
  </sheetData>
  <sheetProtection algorithmName="SHA-512" hashValue="gUk5qe+YbOja2G1rpNfhR/dlQUOk50bZZxSSQH/32rrXm6Lh2DY933nLL2ZRUbUTrZLdPBV5Ev/t8dYNr1TTjw==" saltValue="RTKfnqytrgHAD2IzSO9AiQ==" spinCount="100000" sheet="1" objects="1" scenarios="1"/>
  <mergeCells count="31">
    <mergeCell ref="A12:A15"/>
    <mergeCell ref="A16:A18"/>
    <mergeCell ref="A23:W23"/>
    <mergeCell ref="A24:W24"/>
    <mergeCell ref="A25:W25"/>
    <mergeCell ref="A26:W26"/>
    <mergeCell ref="A19:C19"/>
    <mergeCell ref="A20:V20"/>
    <mergeCell ref="A21:V21"/>
    <mergeCell ref="A22:W22"/>
    <mergeCell ref="J10:L10"/>
    <mergeCell ref="M10:O10"/>
    <mergeCell ref="P10:R10"/>
    <mergeCell ref="S10:S11"/>
    <mergeCell ref="T10:V10"/>
    <mergeCell ref="A4:W4"/>
    <mergeCell ref="A5:W5"/>
    <mergeCell ref="A6:W6"/>
    <mergeCell ref="S7:W7"/>
    <mergeCell ref="A8:A11"/>
    <mergeCell ref="B8:C10"/>
    <mergeCell ref="D8:V8"/>
    <mergeCell ref="W8:W11"/>
    <mergeCell ref="D9:F9"/>
    <mergeCell ref="G9:I9"/>
    <mergeCell ref="J9:O9"/>
    <mergeCell ref="P9:R9"/>
    <mergeCell ref="T9:V9"/>
    <mergeCell ref="D10:F10"/>
    <mergeCell ref="G10:G11"/>
    <mergeCell ref="H10:I10"/>
  </mergeCells>
  <printOptions horizontalCentered="1" verticalCentered="1"/>
  <pageMargins left="0.51180555555555596" right="0.51180555555555596" top="0.78749999999999998" bottom="0.78749999999999998" header="0.511811023622047" footer="0.511811023622047"/>
  <pageSetup paperSize="9" scale="27" fitToHeight="2" orientation="portrait" horizontalDpi="300" verticalDpi="300" r:id="rId1"/>
  <colBreaks count="1" manualBreakCount="1">
    <brk id="23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34"/>
  <sheetViews>
    <sheetView showGridLines="0" zoomScaleNormal="100" zoomScaleSheetLayoutView="100" workbookViewId="0">
      <selection activeCell="R25" sqref="R25"/>
    </sheetView>
  </sheetViews>
  <sheetFormatPr defaultColWidth="8.6640625" defaultRowHeight="14.4" x14ac:dyDescent="0.3"/>
  <cols>
    <col min="1" max="1" width="7.33203125" style="55" customWidth="1"/>
    <col min="2" max="3" width="9.109375" style="55" customWidth="1"/>
    <col min="4" max="4" width="33" style="55" customWidth="1"/>
    <col min="5" max="5" width="9.44140625" style="55" customWidth="1"/>
    <col min="6" max="6" width="12.44140625" style="55" customWidth="1"/>
    <col min="7" max="7" width="8.88671875" style="55" customWidth="1"/>
    <col min="8" max="8" width="10" style="55" customWidth="1"/>
    <col min="9" max="9" width="10.88671875" style="55" customWidth="1"/>
    <col min="10" max="10" width="11.6640625" style="55" customWidth="1"/>
    <col min="11" max="11" width="13.33203125" style="55" customWidth="1"/>
    <col min="12" max="12" width="13.109375" style="55" customWidth="1"/>
    <col min="13" max="1024" width="9.109375" style="55" customWidth="1"/>
  </cols>
  <sheetData>
    <row r="1" spans="1:16" x14ac:dyDescent="0.3">
      <c r="A1" s="110"/>
      <c r="B1" s="77" t="str">
        <f>INSTRUÇÕES!B1</f>
        <v>Tribunal Regional Federal da 6ª Região</v>
      </c>
      <c r="C1" s="77"/>
      <c r="D1" s="77"/>
      <c r="E1" s="77"/>
      <c r="F1" s="77"/>
      <c r="G1" s="77"/>
      <c r="H1" s="77"/>
      <c r="I1" s="77"/>
      <c r="J1" s="77"/>
      <c r="K1" s="77"/>
      <c r="L1" s="169"/>
    </row>
    <row r="2" spans="1:16" x14ac:dyDescent="0.3">
      <c r="A2" s="111"/>
      <c r="B2" s="80" t="str">
        <f>INSTRUÇÕES!B2</f>
        <v>Seção Judiciária de Minas Gerais</v>
      </c>
      <c r="C2" s="80"/>
      <c r="D2" s="80"/>
      <c r="E2" s="80"/>
      <c r="F2" s="80"/>
      <c r="G2" s="80"/>
      <c r="H2" s="80"/>
      <c r="I2" s="80"/>
      <c r="J2" s="80"/>
      <c r="K2" s="80"/>
      <c r="L2" s="171"/>
    </row>
    <row r="3" spans="1:16" x14ac:dyDescent="0.3">
      <c r="A3" s="111"/>
      <c r="B3" s="55" t="str">
        <f>INSTRUÇÕES!B3</f>
        <v>Subseção Judiciária de Governador Valadares</v>
      </c>
      <c r="C3" s="294"/>
      <c r="D3" s="294"/>
      <c r="E3" s="294"/>
      <c r="F3" s="294"/>
      <c r="G3" s="294"/>
      <c r="H3" s="294"/>
      <c r="I3" s="294"/>
      <c r="J3" s="294"/>
      <c r="K3" s="294"/>
      <c r="L3" s="295"/>
    </row>
    <row r="4" spans="1:16" s="216" customFormat="1" ht="22.5" customHeight="1" x14ac:dyDescent="0.3">
      <c r="A4" s="703" t="s">
        <v>487</v>
      </c>
      <c r="B4" s="703"/>
      <c r="C4" s="703"/>
      <c r="D4" s="703"/>
      <c r="E4" s="703"/>
      <c r="F4" s="703"/>
      <c r="G4" s="703"/>
      <c r="H4" s="703"/>
      <c r="I4" s="703"/>
      <c r="J4" s="703"/>
      <c r="K4" s="703"/>
      <c r="L4" s="703"/>
      <c r="M4" s="296"/>
      <c r="N4" s="296"/>
      <c r="O4" s="296"/>
      <c r="P4" s="296"/>
    </row>
    <row r="5" spans="1:16" s="297" customFormat="1" ht="41.25" customHeight="1" x14ac:dyDescent="0.3">
      <c r="A5" s="704" t="s">
        <v>488</v>
      </c>
      <c r="B5" s="704"/>
      <c r="C5" s="704"/>
      <c r="D5" s="704"/>
      <c r="E5" s="705" t="s">
        <v>489</v>
      </c>
      <c r="F5" s="526" t="str">
        <f>Dados!C7</f>
        <v>Servente de Limpeza 40% Insalubridade</v>
      </c>
      <c r="G5" s="527" t="str">
        <f>Dados!C8</f>
        <v xml:space="preserve">Servente de Limpeza  </v>
      </c>
      <c r="H5" s="527" t="str">
        <f>Dados!C9</f>
        <v>Servente acúmulo Copeira</v>
      </c>
      <c r="I5" s="527" t="str">
        <f>Dados!C10</f>
        <v>Zelador acúmulo Lavador de Carro</v>
      </c>
      <c r="J5" s="528" t="str">
        <f>Dados!C11</f>
        <v>Assistente Administrativo</v>
      </c>
      <c r="K5" s="528" t="str">
        <f>Dados!C12</f>
        <v>Assistente Administrativo</v>
      </c>
      <c r="L5" s="528" t="str">
        <f>Dados!C13</f>
        <v>Assistente Administrativo</v>
      </c>
    </row>
    <row r="6" spans="1:16" s="297" customFormat="1" ht="14.25" customHeight="1" x14ac:dyDescent="0.3">
      <c r="A6" s="704"/>
      <c r="B6" s="704"/>
      <c r="C6" s="704"/>
      <c r="D6" s="704"/>
      <c r="E6" s="705"/>
      <c r="F6" s="298">
        <f>Dados!D7</f>
        <v>200</v>
      </c>
      <c r="G6" s="299">
        <f>Dados!D8</f>
        <v>200</v>
      </c>
      <c r="H6" s="299">
        <f>Dados!D9</f>
        <v>200</v>
      </c>
      <c r="I6" s="299">
        <f>Dados!D10</f>
        <v>150</v>
      </c>
      <c r="J6" s="300">
        <f>Dados!D11</f>
        <v>200</v>
      </c>
      <c r="K6" s="300">
        <f>Dados!D12</f>
        <v>150</v>
      </c>
      <c r="L6" s="300">
        <f>Dados!D13</f>
        <v>220</v>
      </c>
    </row>
    <row r="7" spans="1:16" s="118" customFormat="1" ht="22.5" customHeight="1" x14ac:dyDescent="0.3">
      <c r="A7" s="301" t="s">
        <v>490</v>
      </c>
      <c r="B7" s="706" t="s">
        <v>399</v>
      </c>
      <c r="C7" s="706"/>
      <c r="D7" s="706"/>
      <c r="E7" s="705"/>
      <c r="F7" s="707" t="s">
        <v>491</v>
      </c>
      <c r="G7" s="707"/>
      <c r="H7" s="707"/>
      <c r="I7" s="707"/>
      <c r="J7" s="707"/>
      <c r="K7" s="707"/>
      <c r="L7" s="707"/>
    </row>
    <row r="8" spans="1:16" ht="14.25" customHeight="1" x14ac:dyDescent="0.3">
      <c r="A8" s="302">
        <v>1</v>
      </c>
      <c r="B8" s="708" t="s">
        <v>492</v>
      </c>
      <c r="C8" s="708"/>
      <c r="D8" s="708"/>
      <c r="E8" s="708"/>
      <c r="F8" s="303">
        <f>Dados!M7</f>
        <v>2008.32</v>
      </c>
      <c r="G8" s="303">
        <f>Dados!M8</f>
        <v>1401.12</v>
      </c>
      <c r="H8" s="303">
        <f>Dados!M9</f>
        <v>1443.1499999999999</v>
      </c>
      <c r="I8" s="303">
        <f>Dados!M10</f>
        <v>1616.73</v>
      </c>
      <c r="J8" s="303">
        <f>Dados!M11</f>
        <v>2061.6799999999998</v>
      </c>
      <c r="K8" s="303">
        <f>Dados!M12</f>
        <v>1546.26</v>
      </c>
      <c r="L8" s="304">
        <f>Dados!M13</f>
        <v>2267.85</v>
      </c>
    </row>
    <row r="9" spans="1:16" x14ac:dyDescent="0.3">
      <c r="A9" s="305" t="s">
        <v>493</v>
      </c>
      <c r="B9" s="709" t="s">
        <v>400</v>
      </c>
      <c r="C9" s="709"/>
      <c r="D9" s="709"/>
      <c r="E9" s="306">
        <f>Encargos!C39</f>
        <v>9.0899999999999995E-2</v>
      </c>
      <c r="F9" s="307">
        <f t="shared" ref="F9:L9" si="0">ROUND(F8*$E$9,2)</f>
        <v>182.56</v>
      </c>
      <c r="G9" s="307">
        <f t="shared" si="0"/>
        <v>127.36</v>
      </c>
      <c r="H9" s="307">
        <f t="shared" si="0"/>
        <v>131.18</v>
      </c>
      <c r="I9" s="307">
        <f t="shared" si="0"/>
        <v>146.96</v>
      </c>
      <c r="J9" s="307">
        <f t="shared" si="0"/>
        <v>187.41</v>
      </c>
      <c r="K9" s="307">
        <f t="shared" si="0"/>
        <v>140.56</v>
      </c>
      <c r="L9" s="308">
        <f t="shared" si="0"/>
        <v>206.15</v>
      </c>
    </row>
    <row r="10" spans="1:16" x14ac:dyDescent="0.3">
      <c r="A10" s="309" t="s">
        <v>494</v>
      </c>
      <c r="B10" s="710" t="s">
        <v>406</v>
      </c>
      <c r="C10" s="710"/>
      <c r="D10" s="710"/>
      <c r="E10" s="311">
        <f>E9*Encargos!C18</f>
        <v>3.6178200000000008E-2</v>
      </c>
      <c r="F10" s="312">
        <f t="shared" ref="F10:L10" si="1">ROUND(F8*$E$10,2)</f>
        <v>72.66</v>
      </c>
      <c r="G10" s="312">
        <f t="shared" si="1"/>
        <v>50.69</v>
      </c>
      <c r="H10" s="312">
        <f t="shared" si="1"/>
        <v>52.21</v>
      </c>
      <c r="I10" s="312">
        <f t="shared" si="1"/>
        <v>58.49</v>
      </c>
      <c r="J10" s="312">
        <f t="shared" si="1"/>
        <v>74.59</v>
      </c>
      <c r="K10" s="312">
        <f t="shared" si="1"/>
        <v>55.94</v>
      </c>
      <c r="L10" s="313">
        <f t="shared" si="1"/>
        <v>82.05</v>
      </c>
    </row>
    <row r="11" spans="1:16" ht="12.75" customHeight="1" x14ac:dyDescent="0.3">
      <c r="A11" s="711" t="s">
        <v>495</v>
      </c>
      <c r="B11" s="711"/>
      <c r="C11" s="711"/>
      <c r="D11" s="711"/>
      <c r="E11" s="314">
        <f t="shared" ref="E11:L11" si="2">SUM(E9:E10)</f>
        <v>0.1270782</v>
      </c>
      <c r="F11" s="315">
        <f t="shared" si="2"/>
        <v>255.22</v>
      </c>
      <c r="G11" s="315">
        <f t="shared" si="2"/>
        <v>178.05</v>
      </c>
      <c r="H11" s="315">
        <f t="shared" si="2"/>
        <v>183.39000000000001</v>
      </c>
      <c r="I11" s="315">
        <f t="shared" si="2"/>
        <v>205.45000000000002</v>
      </c>
      <c r="J11" s="315">
        <f t="shared" si="2"/>
        <v>262</v>
      </c>
      <c r="K11" s="315">
        <f t="shared" si="2"/>
        <v>196.5</v>
      </c>
      <c r="L11" s="316">
        <f t="shared" si="2"/>
        <v>288.2</v>
      </c>
    </row>
    <row r="12" spans="1:16" ht="12.75" customHeight="1" x14ac:dyDescent="0.3">
      <c r="A12" s="711" t="s">
        <v>496</v>
      </c>
      <c r="B12" s="711"/>
      <c r="C12" s="711"/>
      <c r="D12" s="711"/>
      <c r="E12" s="711"/>
      <c r="F12" s="315">
        <f t="shared" ref="F12:L12" si="3">F11*12</f>
        <v>3062.64</v>
      </c>
      <c r="G12" s="315">
        <f t="shared" si="3"/>
        <v>2136.6000000000004</v>
      </c>
      <c r="H12" s="315">
        <f t="shared" si="3"/>
        <v>2200.6800000000003</v>
      </c>
      <c r="I12" s="315">
        <f t="shared" si="3"/>
        <v>2465.4</v>
      </c>
      <c r="J12" s="315">
        <f t="shared" si="3"/>
        <v>3144</v>
      </c>
      <c r="K12" s="315">
        <f t="shared" si="3"/>
        <v>2358</v>
      </c>
      <c r="L12" s="316">
        <f t="shared" si="3"/>
        <v>3458.3999999999996</v>
      </c>
    </row>
    <row r="13" spans="1:16" x14ac:dyDescent="0.3">
      <c r="A13" s="317">
        <v>2</v>
      </c>
      <c r="B13" s="318" t="s">
        <v>497</v>
      </c>
      <c r="C13" s="318"/>
      <c r="D13" s="318"/>
      <c r="E13" s="318"/>
      <c r="F13" s="712" t="s">
        <v>436</v>
      </c>
      <c r="G13" s="712"/>
      <c r="H13" s="712"/>
      <c r="I13" s="712"/>
      <c r="J13" s="712"/>
      <c r="K13" s="712"/>
      <c r="L13" s="712"/>
    </row>
    <row r="14" spans="1:16" x14ac:dyDescent="0.3">
      <c r="A14" s="319" t="s">
        <v>493</v>
      </c>
      <c r="B14" s="676" t="s">
        <v>498</v>
      </c>
      <c r="C14" s="676"/>
      <c r="D14" s="676"/>
      <c r="E14" s="320"/>
      <c r="F14" s="321">
        <f>'Servente Insalubre'!$F$23</f>
        <v>479.42</v>
      </c>
      <c r="G14" s="321">
        <f>'Servente 200'!$F$23</f>
        <v>479.42</v>
      </c>
      <c r="H14" s="321">
        <f>'Servente acúmulo Copa'!$F$23</f>
        <v>479.42</v>
      </c>
      <c r="I14" s="321">
        <f>'Zelador acúmulo Lavador'!$F$23</f>
        <v>0</v>
      </c>
      <c r="J14" s="322">
        <f>'Ass. Adm 200'!F23</f>
        <v>479.42</v>
      </c>
      <c r="K14" s="322">
        <f>'Ass. Adm 150'!F23</f>
        <v>0</v>
      </c>
      <c r="L14" s="323">
        <f>'Ass. Adm 220'!$F$23</f>
        <v>479.42</v>
      </c>
    </row>
    <row r="15" spans="1:16" x14ac:dyDescent="0.3">
      <c r="A15" s="319" t="s">
        <v>499</v>
      </c>
      <c r="B15" s="676" t="s">
        <v>500</v>
      </c>
      <c r="C15" s="676"/>
      <c r="D15" s="676"/>
      <c r="E15" s="320"/>
      <c r="F15" s="321">
        <f>'Servente Insalubre'!$F$22</f>
        <v>102.93</v>
      </c>
      <c r="G15" s="321">
        <f>'Servente 200'!$F$22</f>
        <v>102.93</v>
      </c>
      <c r="H15" s="321">
        <f>'Servente acúmulo Copa'!$F$22</f>
        <v>102.93</v>
      </c>
      <c r="I15" s="321">
        <f>'Zelador acúmulo Lavador'!$F$22</f>
        <v>92.82</v>
      </c>
      <c r="J15" s="322">
        <f>'Ass. Adm 200'!F22</f>
        <v>63.3</v>
      </c>
      <c r="K15" s="322">
        <f>'Ass. Adm 150'!F22</f>
        <v>94.22</v>
      </c>
      <c r="L15" s="323">
        <f>'Ass. Adm 220'!$F$22</f>
        <v>50.93</v>
      </c>
    </row>
    <row r="16" spans="1:16" x14ac:dyDescent="0.3">
      <c r="A16" s="319" t="s">
        <v>501</v>
      </c>
      <c r="B16" s="320" t="s">
        <v>502</v>
      </c>
      <c r="C16" s="320"/>
      <c r="D16" s="320"/>
      <c r="E16" s="320"/>
      <c r="F16" s="321">
        <v>0</v>
      </c>
      <c r="G16" s="321">
        <v>0</v>
      </c>
      <c r="H16" s="321">
        <v>0</v>
      </c>
      <c r="I16" s="321">
        <v>0</v>
      </c>
      <c r="J16" s="321">
        <v>0</v>
      </c>
      <c r="K16" s="321">
        <v>0</v>
      </c>
      <c r="L16" s="323">
        <v>0</v>
      </c>
    </row>
    <row r="17" spans="1:12" x14ac:dyDescent="0.3">
      <c r="A17" s="713" t="s">
        <v>503</v>
      </c>
      <c r="B17" s="713"/>
      <c r="C17" s="713"/>
      <c r="D17" s="713"/>
      <c r="E17" s="713"/>
      <c r="F17" s="324">
        <f t="shared" ref="F17:L17" si="4">SUM(F14:F16)</f>
        <v>582.35</v>
      </c>
      <c r="G17" s="324">
        <f t="shared" si="4"/>
        <v>582.35</v>
      </c>
      <c r="H17" s="324">
        <f t="shared" si="4"/>
        <v>582.35</v>
      </c>
      <c r="I17" s="324">
        <f t="shared" si="4"/>
        <v>92.82</v>
      </c>
      <c r="J17" s="324">
        <f t="shared" si="4"/>
        <v>542.72</v>
      </c>
      <c r="K17" s="324">
        <f t="shared" si="4"/>
        <v>94.22</v>
      </c>
      <c r="L17" s="325">
        <f t="shared" si="4"/>
        <v>530.35</v>
      </c>
    </row>
    <row r="18" spans="1:12" ht="12.75" customHeight="1" x14ac:dyDescent="0.3">
      <c r="A18" s="317">
        <v>5</v>
      </c>
      <c r="B18" s="714" t="s">
        <v>504</v>
      </c>
      <c r="C18" s="714"/>
      <c r="D18" s="714"/>
      <c r="E18" s="326" t="s">
        <v>489</v>
      </c>
      <c r="F18" s="712" t="s">
        <v>436</v>
      </c>
      <c r="G18" s="712"/>
      <c r="H18" s="712"/>
      <c r="I18" s="712"/>
      <c r="J18" s="712"/>
      <c r="K18" s="712"/>
      <c r="L18" s="712"/>
    </row>
    <row r="19" spans="1:12" ht="12.75" customHeight="1" x14ac:dyDescent="0.3">
      <c r="A19" s="319" t="s">
        <v>493</v>
      </c>
      <c r="B19" s="656" t="s">
        <v>505</v>
      </c>
      <c r="C19" s="656"/>
      <c r="D19" s="656"/>
      <c r="E19" s="327">
        <f>Dados!$G$46</f>
        <v>0.03</v>
      </c>
      <c r="F19" s="328">
        <f t="shared" ref="F19:L19" si="5">ROUND(($E$19*F32),2)</f>
        <v>109.35</v>
      </c>
      <c r="G19" s="328">
        <f t="shared" si="5"/>
        <v>81.569999999999993</v>
      </c>
      <c r="H19" s="328">
        <f t="shared" si="5"/>
        <v>83.49</v>
      </c>
      <c r="I19" s="328">
        <f t="shared" si="5"/>
        <v>76.75</v>
      </c>
      <c r="J19" s="328">
        <f t="shared" si="5"/>
        <v>110.6</v>
      </c>
      <c r="K19" s="328">
        <f t="shared" si="5"/>
        <v>73.569999999999993</v>
      </c>
      <c r="L19" s="329">
        <f t="shared" si="5"/>
        <v>119.66</v>
      </c>
    </row>
    <row r="20" spans="1:12" ht="12.75" customHeight="1" x14ac:dyDescent="0.3">
      <c r="A20" s="319" t="s">
        <v>499</v>
      </c>
      <c r="B20" s="656" t="s">
        <v>313</v>
      </c>
      <c r="C20" s="656"/>
      <c r="D20" s="656"/>
      <c r="E20" s="327">
        <f>Dados!$G$47</f>
        <v>6.7900000000000002E-2</v>
      </c>
      <c r="F20" s="328">
        <f t="shared" ref="F20:L20" si="6">ROUND(($E$20*(F19+F32)),2)</f>
        <v>254.92</v>
      </c>
      <c r="G20" s="328">
        <f t="shared" si="6"/>
        <v>190.16</v>
      </c>
      <c r="H20" s="328">
        <f t="shared" si="6"/>
        <v>194.64</v>
      </c>
      <c r="I20" s="328">
        <f t="shared" si="6"/>
        <v>178.91</v>
      </c>
      <c r="J20" s="328">
        <f t="shared" si="6"/>
        <v>257.83999999999997</v>
      </c>
      <c r="K20" s="328">
        <f t="shared" si="6"/>
        <v>171.5</v>
      </c>
      <c r="L20" s="329">
        <f t="shared" si="6"/>
        <v>278.95999999999998</v>
      </c>
    </row>
    <row r="21" spans="1:12" ht="12.75" customHeight="1" x14ac:dyDescent="0.3">
      <c r="A21" s="330" t="s">
        <v>501</v>
      </c>
      <c r="B21" s="715" t="s">
        <v>506</v>
      </c>
      <c r="C21" s="715"/>
      <c r="D21" s="715"/>
      <c r="E21" s="331">
        <f>SUM(E22:E25)</f>
        <v>0.14250000000000002</v>
      </c>
      <c r="F21" s="332">
        <f t="shared" ref="F21:L21" si="7">ROUND((((F32+F19+F20)/(1-$E$21))-(F32+F19+F20)),2)</f>
        <v>666.26</v>
      </c>
      <c r="G21" s="332">
        <f t="shared" si="7"/>
        <v>496.99</v>
      </c>
      <c r="H21" s="332">
        <f t="shared" si="7"/>
        <v>508.71</v>
      </c>
      <c r="I21" s="332">
        <f t="shared" si="7"/>
        <v>467.61</v>
      </c>
      <c r="J21" s="332">
        <f t="shared" si="7"/>
        <v>673.89</v>
      </c>
      <c r="K21" s="332">
        <f t="shared" si="7"/>
        <v>448.24</v>
      </c>
      <c r="L21" s="333">
        <f t="shared" si="7"/>
        <v>729.1</v>
      </c>
    </row>
    <row r="22" spans="1:12" ht="12.75" customHeight="1" x14ac:dyDescent="0.3">
      <c r="A22" s="334" t="s">
        <v>507</v>
      </c>
      <c r="B22" s="656" t="s">
        <v>508</v>
      </c>
      <c r="C22" s="656"/>
      <c r="D22" s="656"/>
      <c r="E22" s="327">
        <f>Dados!G54+Dados!G55</f>
        <v>9.2499999999999999E-2</v>
      </c>
      <c r="F22" s="328">
        <f t="shared" ref="F22:L22" si="8">ROUND($E$22*F34,2)</f>
        <v>432.49</v>
      </c>
      <c r="G22" s="328">
        <f t="shared" si="8"/>
        <v>322.61</v>
      </c>
      <c r="H22" s="328">
        <f t="shared" si="8"/>
        <v>330.21</v>
      </c>
      <c r="I22" s="328">
        <f t="shared" si="8"/>
        <v>303.54000000000002</v>
      </c>
      <c r="J22" s="328">
        <f t="shared" si="8"/>
        <v>437.44</v>
      </c>
      <c r="K22" s="328">
        <f t="shared" si="8"/>
        <v>290.95999999999998</v>
      </c>
      <c r="L22" s="329">
        <f t="shared" si="8"/>
        <v>473.27</v>
      </c>
    </row>
    <row r="23" spans="1:12" ht="12.75" customHeight="1" x14ac:dyDescent="0.3">
      <c r="A23" s="319" t="s">
        <v>509</v>
      </c>
      <c r="B23" s="656" t="s">
        <v>510</v>
      </c>
      <c r="C23" s="656"/>
      <c r="D23" s="656"/>
      <c r="E23" s="327">
        <v>0</v>
      </c>
      <c r="F23" s="328">
        <f t="shared" ref="F23:L23" si="9">ROUND($E$23*F34,2)</f>
        <v>0</v>
      </c>
      <c r="G23" s="328">
        <f t="shared" si="9"/>
        <v>0</v>
      </c>
      <c r="H23" s="328">
        <f t="shared" si="9"/>
        <v>0</v>
      </c>
      <c r="I23" s="328">
        <f t="shared" si="9"/>
        <v>0</v>
      </c>
      <c r="J23" s="328">
        <f t="shared" si="9"/>
        <v>0</v>
      </c>
      <c r="K23" s="328">
        <f t="shared" si="9"/>
        <v>0</v>
      </c>
      <c r="L23" s="329">
        <f t="shared" si="9"/>
        <v>0</v>
      </c>
    </row>
    <row r="24" spans="1:12" ht="12.75" customHeight="1" x14ac:dyDescent="0.3">
      <c r="A24" s="319" t="s">
        <v>511</v>
      </c>
      <c r="B24" s="656" t="s">
        <v>512</v>
      </c>
      <c r="C24" s="656"/>
      <c r="D24" s="656"/>
      <c r="E24" s="327">
        <f>Dados!G56</f>
        <v>0.05</v>
      </c>
      <c r="F24" s="328">
        <f t="shared" ref="F24:L24" si="10">ROUND($E$24*F34,2)</f>
        <v>233.78</v>
      </c>
      <c r="G24" s="328">
        <f t="shared" si="10"/>
        <v>174.38</v>
      </c>
      <c r="H24" s="328">
        <f t="shared" si="10"/>
        <v>178.49</v>
      </c>
      <c r="I24" s="328">
        <f t="shared" si="10"/>
        <v>164.07</v>
      </c>
      <c r="J24" s="328">
        <f t="shared" si="10"/>
        <v>236.45</v>
      </c>
      <c r="K24" s="328">
        <f t="shared" si="10"/>
        <v>157.28</v>
      </c>
      <c r="L24" s="329">
        <f t="shared" si="10"/>
        <v>255.82</v>
      </c>
    </row>
    <row r="25" spans="1:12" x14ac:dyDescent="0.3">
      <c r="A25" s="319" t="s">
        <v>513</v>
      </c>
      <c r="B25" s="656" t="str">
        <f>Dados!B57</f>
        <v>Outros (inserir somente com a justificativa legal)</v>
      </c>
      <c r="C25" s="656"/>
      <c r="D25" s="656"/>
      <c r="E25" s="327">
        <f>Dados!G57</f>
        <v>0</v>
      </c>
      <c r="F25" s="328">
        <f t="shared" ref="F25:L25" si="11">ROUND($E$25*F34,2)</f>
        <v>0</v>
      </c>
      <c r="G25" s="328">
        <f t="shared" si="11"/>
        <v>0</v>
      </c>
      <c r="H25" s="328">
        <f t="shared" si="11"/>
        <v>0</v>
      </c>
      <c r="I25" s="328">
        <f t="shared" si="11"/>
        <v>0</v>
      </c>
      <c r="J25" s="328">
        <f t="shared" si="11"/>
        <v>0</v>
      </c>
      <c r="K25" s="328">
        <f t="shared" si="11"/>
        <v>0</v>
      </c>
      <c r="L25" s="329">
        <f t="shared" si="11"/>
        <v>0</v>
      </c>
    </row>
    <row r="26" spans="1:12" x14ac:dyDescent="0.3">
      <c r="A26" s="335" t="s">
        <v>514</v>
      </c>
      <c r="B26" s="336"/>
      <c r="C26" s="336"/>
      <c r="D26" s="336"/>
      <c r="E26" s="336"/>
      <c r="F26" s="337">
        <f t="shared" ref="F26:L26" si="12">SUM(F19:F21)</f>
        <v>1030.53</v>
      </c>
      <c r="G26" s="337">
        <f t="shared" si="12"/>
        <v>768.72</v>
      </c>
      <c r="H26" s="337">
        <f t="shared" si="12"/>
        <v>786.83999999999992</v>
      </c>
      <c r="I26" s="337">
        <f t="shared" si="12"/>
        <v>723.27</v>
      </c>
      <c r="J26" s="337">
        <f t="shared" si="12"/>
        <v>1042.33</v>
      </c>
      <c r="K26" s="337">
        <f t="shared" si="12"/>
        <v>693.31</v>
      </c>
      <c r="L26" s="338">
        <f t="shared" si="12"/>
        <v>1127.72</v>
      </c>
    </row>
    <row r="27" spans="1:12" ht="19.5" customHeight="1" x14ac:dyDescent="0.3">
      <c r="A27" s="717" t="s">
        <v>515</v>
      </c>
      <c r="B27" s="717"/>
      <c r="C27" s="717"/>
      <c r="D27" s="717"/>
      <c r="E27" s="717"/>
      <c r="F27" s="717"/>
      <c r="G27" s="717"/>
      <c r="H27" s="717"/>
      <c r="I27" s="717"/>
      <c r="J27" s="717"/>
      <c r="K27" s="717"/>
      <c r="L27" s="717"/>
    </row>
    <row r="28" spans="1:12" ht="18" customHeight="1" x14ac:dyDescent="0.3">
      <c r="A28" s="718" t="s">
        <v>516</v>
      </c>
      <c r="B28" s="718"/>
      <c r="C28" s="718"/>
      <c r="D28" s="718"/>
      <c r="E28" s="718"/>
      <c r="F28" s="718"/>
      <c r="G28" s="718"/>
      <c r="H28" s="718"/>
      <c r="I28" s="718"/>
      <c r="J28" s="718"/>
      <c r="K28" s="718"/>
      <c r="L28" s="718"/>
    </row>
    <row r="29" spans="1:12" ht="14.25" customHeight="1" x14ac:dyDescent="0.3">
      <c r="A29" s="339" t="s">
        <v>517</v>
      </c>
      <c r="B29" s="340"/>
      <c r="C29" s="340"/>
      <c r="D29" s="340"/>
      <c r="E29" s="340"/>
      <c r="F29" s="719" t="s">
        <v>436</v>
      </c>
      <c r="G29" s="719"/>
      <c r="H29" s="719"/>
      <c r="I29" s="719"/>
      <c r="J29" s="719"/>
      <c r="K29" s="719"/>
      <c r="L29" s="719"/>
    </row>
    <row r="30" spans="1:12" x14ac:dyDescent="0.3">
      <c r="A30" s="309" t="s">
        <v>493</v>
      </c>
      <c r="B30" s="341" t="s">
        <v>518</v>
      </c>
      <c r="C30" s="341"/>
      <c r="D30" s="341"/>
      <c r="E30" s="341"/>
      <c r="F30" s="342">
        <f t="shared" ref="F30:L30" si="13">F12</f>
        <v>3062.64</v>
      </c>
      <c r="G30" s="342">
        <f t="shared" si="13"/>
        <v>2136.6000000000004</v>
      </c>
      <c r="H30" s="342">
        <f t="shared" si="13"/>
        <v>2200.6800000000003</v>
      </c>
      <c r="I30" s="342">
        <f t="shared" si="13"/>
        <v>2465.4</v>
      </c>
      <c r="J30" s="342">
        <f t="shared" si="13"/>
        <v>3144</v>
      </c>
      <c r="K30" s="342">
        <f t="shared" si="13"/>
        <v>2358</v>
      </c>
      <c r="L30" s="343">
        <f t="shared" si="13"/>
        <v>3458.3999999999996</v>
      </c>
    </row>
    <row r="31" spans="1:12" x14ac:dyDescent="0.3">
      <c r="A31" s="309" t="s">
        <v>499</v>
      </c>
      <c r="B31" s="341" t="s">
        <v>497</v>
      </c>
      <c r="C31" s="341"/>
      <c r="D31" s="341"/>
      <c r="E31" s="341"/>
      <c r="F31" s="342">
        <f t="shared" ref="F31:L31" si="14">F17</f>
        <v>582.35</v>
      </c>
      <c r="G31" s="342">
        <f t="shared" si="14"/>
        <v>582.35</v>
      </c>
      <c r="H31" s="342">
        <f t="shared" si="14"/>
        <v>582.35</v>
      </c>
      <c r="I31" s="342">
        <f t="shared" si="14"/>
        <v>92.82</v>
      </c>
      <c r="J31" s="342">
        <f t="shared" si="14"/>
        <v>542.72</v>
      </c>
      <c r="K31" s="342">
        <f t="shared" si="14"/>
        <v>94.22</v>
      </c>
      <c r="L31" s="343">
        <f t="shared" si="14"/>
        <v>530.35</v>
      </c>
    </row>
    <row r="32" spans="1:12" x14ac:dyDescent="0.3">
      <c r="A32" s="716" t="s">
        <v>519</v>
      </c>
      <c r="B32" s="716"/>
      <c r="C32" s="716"/>
      <c r="D32" s="716"/>
      <c r="E32" s="344"/>
      <c r="F32" s="345">
        <f t="shared" ref="F32:L32" si="15">SUM(F30:F31)</f>
        <v>3644.99</v>
      </c>
      <c r="G32" s="345">
        <f t="shared" si="15"/>
        <v>2718.9500000000003</v>
      </c>
      <c r="H32" s="345">
        <f t="shared" si="15"/>
        <v>2783.03</v>
      </c>
      <c r="I32" s="345">
        <f t="shared" si="15"/>
        <v>2558.2200000000003</v>
      </c>
      <c r="J32" s="345">
        <f t="shared" si="15"/>
        <v>3686.7200000000003</v>
      </c>
      <c r="K32" s="345">
        <f t="shared" si="15"/>
        <v>2452.2199999999998</v>
      </c>
      <c r="L32" s="346">
        <f t="shared" si="15"/>
        <v>3988.7499999999995</v>
      </c>
    </row>
    <row r="33" spans="1:12" x14ac:dyDescent="0.3">
      <c r="A33" s="347" t="s">
        <v>520</v>
      </c>
      <c r="B33" s="348" t="s">
        <v>521</v>
      </c>
      <c r="C33" s="348"/>
      <c r="D33" s="348"/>
      <c r="E33" s="348"/>
      <c r="F33" s="349">
        <f t="shared" ref="F33:L33" si="16">F26</f>
        <v>1030.53</v>
      </c>
      <c r="G33" s="349">
        <f t="shared" si="16"/>
        <v>768.72</v>
      </c>
      <c r="H33" s="349">
        <f t="shared" si="16"/>
        <v>786.83999999999992</v>
      </c>
      <c r="I33" s="349">
        <f t="shared" si="16"/>
        <v>723.27</v>
      </c>
      <c r="J33" s="349">
        <f t="shared" si="16"/>
        <v>1042.33</v>
      </c>
      <c r="K33" s="349">
        <f t="shared" si="16"/>
        <v>693.31</v>
      </c>
      <c r="L33" s="350">
        <f t="shared" si="16"/>
        <v>1127.72</v>
      </c>
    </row>
    <row r="34" spans="1:12" ht="19.5" customHeight="1" x14ac:dyDescent="0.3">
      <c r="A34" s="351" t="s">
        <v>522</v>
      </c>
      <c r="B34" s="352"/>
      <c r="C34" s="352"/>
      <c r="D34" s="352"/>
      <c r="E34" s="352"/>
      <c r="F34" s="353">
        <f t="shared" ref="F34:L34" si="17">SUM(F32:F33)</f>
        <v>4675.5199999999995</v>
      </c>
      <c r="G34" s="353">
        <f t="shared" si="17"/>
        <v>3487.67</v>
      </c>
      <c r="H34" s="353">
        <f t="shared" si="17"/>
        <v>3569.87</v>
      </c>
      <c r="I34" s="353">
        <f t="shared" si="17"/>
        <v>3281.4900000000002</v>
      </c>
      <c r="J34" s="353">
        <f t="shared" si="17"/>
        <v>4729.05</v>
      </c>
      <c r="K34" s="353">
        <f t="shared" si="17"/>
        <v>3145.5299999999997</v>
      </c>
      <c r="L34" s="354">
        <f t="shared" si="17"/>
        <v>5116.4699999999993</v>
      </c>
    </row>
  </sheetData>
  <sheetProtection algorithmName="SHA-512" hashValue="khLsfKPH30yvoLXM2AwpwnLN60Snt2nRjUya2JSq/ZZX5Y4zrMz91q9Sw0x7QHdUGWTs3PmUPe+gnf+DkRn2Mg==" saltValue="K5z+u6YjMsWsb5YkXULTCw==" spinCount="100000" sheet="1" objects="1" scenarios="1"/>
  <mergeCells count="27">
    <mergeCell ref="A32:D32"/>
    <mergeCell ref="B24:D24"/>
    <mergeCell ref="B25:D25"/>
    <mergeCell ref="A27:L27"/>
    <mergeCell ref="A28:L28"/>
    <mergeCell ref="F29:L29"/>
    <mergeCell ref="B19:D19"/>
    <mergeCell ref="B20:D20"/>
    <mergeCell ref="B21:D21"/>
    <mergeCell ref="B22:D22"/>
    <mergeCell ref="B23:D23"/>
    <mergeCell ref="F13:L13"/>
    <mergeCell ref="B14:D14"/>
    <mergeCell ref="B15:D15"/>
    <mergeCell ref="A17:E17"/>
    <mergeCell ref="B18:D18"/>
    <mergeCell ref="F18:L18"/>
    <mergeCell ref="B8:E8"/>
    <mergeCell ref="B9:D9"/>
    <mergeCell ref="B10:D10"/>
    <mergeCell ref="A11:D11"/>
    <mergeCell ref="A12:E12"/>
    <mergeCell ref="A4:L4"/>
    <mergeCell ref="A5:D6"/>
    <mergeCell ref="E5:E7"/>
    <mergeCell ref="B7:D7"/>
    <mergeCell ref="F7:L7"/>
  </mergeCells>
  <printOptions horizontalCentered="1" verticalCentered="1"/>
  <pageMargins left="0.51180555555555596" right="0.51180555555555596" top="0.78749999999999998" bottom="0.78749999999999998" header="0.511811023622047" footer="0.511811023622047"/>
  <pageSetup paperSize="9" scale="57" fitToHeight="2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I23"/>
  <sheetViews>
    <sheetView showGridLines="0" view="pageBreakPreview" zoomScaleNormal="100" workbookViewId="0"/>
  </sheetViews>
  <sheetFormatPr defaultColWidth="8.6640625" defaultRowHeight="14.4" x14ac:dyDescent="0.3"/>
  <cols>
    <col min="1" max="1" width="7.88671875" customWidth="1"/>
    <col min="2" max="2" width="7.33203125" customWidth="1"/>
    <col min="3" max="3" width="4.44140625" customWidth="1"/>
    <col min="4" max="4" width="7.5546875" customWidth="1"/>
    <col min="5" max="5" width="5.44140625" customWidth="1"/>
    <col min="6" max="6" width="8.33203125" customWidth="1"/>
    <col min="7" max="7" width="7.44140625" customWidth="1"/>
    <col min="8" max="8" width="3.33203125" customWidth="1"/>
    <col min="9" max="9" width="7.33203125" customWidth="1"/>
    <col min="10" max="10" width="4.44140625" customWidth="1"/>
    <col min="11" max="11" width="7.5546875" customWidth="1"/>
    <col min="12" max="12" width="5.44140625" customWidth="1"/>
    <col min="13" max="13" width="8.33203125" customWidth="1"/>
    <col min="14" max="14" width="7.44140625" customWidth="1"/>
    <col min="15" max="15" width="3" customWidth="1"/>
    <col min="16" max="16" width="7.33203125" customWidth="1"/>
    <col min="17" max="17" width="4.44140625" customWidth="1"/>
    <col min="18" max="18" width="7.5546875" customWidth="1"/>
    <col min="19" max="19" width="5.44140625" customWidth="1"/>
    <col min="20" max="20" width="8.33203125" customWidth="1"/>
    <col min="21" max="21" width="7.44140625" customWidth="1"/>
    <col min="22" max="22" width="3" customWidth="1"/>
    <col min="23" max="23" width="7.33203125" customWidth="1"/>
    <col min="24" max="24" width="4.44140625" customWidth="1"/>
    <col min="25" max="25" width="7.5546875" customWidth="1"/>
    <col min="26" max="26" width="5.44140625" customWidth="1"/>
    <col min="27" max="27" width="8.33203125" customWidth="1"/>
    <col min="28" max="28" width="7.44140625" customWidth="1"/>
    <col min="29" max="29" width="3" customWidth="1"/>
    <col min="30" max="30" width="7.33203125" customWidth="1"/>
    <col min="31" max="31" width="4.44140625" customWidth="1"/>
    <col min="257" max="257" width="1.44140625" customWidth="1"/>
    <col min="258" max="258" width="7.33203125" customWidth="1"/>
    <col min="259" max="259" width="4.44140625" customWidth="1"/>
    <col min="260" max="260" width="7.5546875" customWidth="1"/>
    <col min="261" max="261" width="5.44140625" customWidth="1"/>
    <col min="262" max="262" width="8.33203125" customWidth="1"/>
    <col min="263" max="263" width="7.44140625" customWidth="1"/>
    <col min="264" max="264" width="3.33203125" customWidth="1"/>
    <col min="265" max="265" width="7.33203125" customWidth="1"/>
    <col min="266" max="266" width="4.44140625" customWidth="1"/>
    <col min="267" max="267" width="7.5546875" customWidth="1"/>
    <col min="268" max="268" width="5.44140625" customWidth="1"/>
    <col min="269" max="269" width="8.33203125" customWidth="1"/>
    <col min="270" max="270" width="7.44140625" customWidth="1"/>
    <col min="271" max="271" width="3" customWidth="1"/>
    <col min="272" max="272" width="7.33203125" customWidth="1"/>
    <col min="273" max="273" width="4.44140625" customWidth="1"/>
    <col min="274" max="274" width="7.5546875" customWidth="1"/>
    <col min="275" max="275" width="5.44140625" customWidth="1"/>
    <col min="276" max="276" width="8.33203125" customWidth="1"/>
    <col min="277" max="277" width="7.44140625" customWidth="1"/>
    <col min="278" max="278" width="3" customWidth="1"/>
    <col min="279" max="279" width="7.33203125" customWidth="1"/>
    <col min="280" max="280" width="4.44140625" customWidth="1"/>
    <col min="281" max="281" width="7.5546875" customWidth="1"/>
    <col min="282" max="282" width="5.44140625" customWidth="1"/>
    <col min="283" max="283" width="8.33203125" customWidth="1"/>
    <col min="284" max="284" width="7.44140625" customWidth="1"/>
    <col min="285" max="285" width="3" customWidth="1"/>
    <col min="286" max="286" width="7.33203125" customWidth="1"/>
    <col min="287" max="287" width="4.44140625" customWidth="1"/>
    <col min="513" max="513" width="1.44140625" customWidth="1"/>
    <col min="514" max="514" width="7.33203125" customWidth="1"/>
    <col min="515" max="515" width="4.44140625" customWidth="1"/>
    <col min="516" max="516" width="7.5546875" customWidth="1"/>
    <col min="517" max="517" width="5.44140625" customWidth="1"/>
    <col min="518" max="518" width="8.33203125" customWidth="1"/>
    <col min="519" max="519" width="7.44140625" customWidth="1"/>
    <col min="520" max="520" width="3.33203125" customWidth="1"/>
    <col min="521" max="521" width="7.33203125" customWidth="1"/>
    <col min="522" max="522" width="4.44140625" customWidth="1"/>
    <col min="523" max="523" width="7.5546875" customWidth="1"/>
    <col min="524" max="524" width="5.44140625" customWidth="1"/>
    <col min="525" max="525" width="8.33203125" customWidth="1"/>
    <col min="526" max="526" width="7.44140625" customWidth="1"/>
    <col min="527" max="527" width="3" customWidth="1"/>
    <col min="528" max="528" width="7.33203125" customWidth="1"/>
    <col min="529" max="529" width="4.44140625" customWidth="1"/>
    <col min="530" max="530" width="7.5546875" customWidth="1"/>
    <col min="531" max="531" width="5.44140625" customWidth="1"/>
    <col min="532" max="532" width="8.33203125" customWidth="1"/>
    <col min="533" max="533" width="7.44140625" customWidth="1"/>
    <col min="534" max="534" width="3" customWidth="1"/>
    <col min="535" max="535" width="7.33203125" customWidth="1"/>
    <col min="536" max="536" width="4.44140625" customWidth="1"/>
    <col min="537" max="537" width="7.5546875" customWidth="1"/>
    <col min="538" max="538" width="5.44140625" customWidth="1"/>
    <col min="539" max="539" width="8.33203125" customWidth="1"/>
    <col min="540" max="540" width="7.44140625" customWidth="1"/>
    <col min="541" max="541" width="3" customWidth="1"/>
    <col min="542" max="542" width="7.33203125" customWidth="1"/>
    <col min="543" max="543" width="4.44140625" customWidth="1"/>
    <col min="769" max="769" width="1.44140625" customWidth="1"/>
    <col min="770" max="770" width="7.33203125" customWidth="1"/>
    <col min="771" max="771" width="4.44140625" customWidth="1"/>
    <col min="772" max="772" width="7.5546875" customWidth="1"/>
    <col min="773" max="773" width="5.44140625" customWidth="1"/>
    <col min="774" max="774" width="8.33203125" customWidth="1"/>
    <col min="775" max="775" width="7.44140625" customWidth="1"/>
    <col min="776" max="776" width="3.33203125" customWidth="1"/>
    <col min="777" max="777" width="7.33203125" customWidth="1"/>
    <col min="778" max="778" width="4.44140625" customWidth="1"/>
    <col min="779" max="779" width="7.5546875" customWidth="1"/>
    <col min="780" max="780" width="5.44140625" customWidth="1"/>
    <col min="781" max="781" width="8.33203125" customWidth="1"/>
    <col min="782" max="782" width="7.44140625" customWidth="1"/>
    <col min="783" max="783" width="3" customWidth="1"/>
    <col min="784" max="784" width="7.33203125" customWidth="1"/>
    <col min="785" max="785" width="4.44140625" customWidth="1"/>
    <col min="786" max="786" width="7.5546875" customWidth="1"/>
    <col min="787" max="787" width="5.44140625" customWidth="1"/>
    <col min="788" max="788" width="8.33203125" customWidth="1"/>
    <col min="789" max="789" width="7.44140625" customWidth="1"/>
    <col min="790" max="790" width="3" customWidth="1"/>
    <col min="791" max="791" width="7.33203125" customWidth="1"/>
    <col min="792" max="792" width="4.44140625" customWidth="1"/>
    <col min="793" max="793" width="7.5546875" customWidth="1"/>
    <col min="794" max="794" width="5.44140625" customWidth="1"/>
    <col min="795" max="795" width="8.33203125" customWidth="1"/>
    <col min="796" max="796" width="7.44140625" customWidth="1"/>
    <col min="797" max="797" width="3" customWidth="1"/>
    <col min="798" max="798" width="7.33203125" customWidth="1"/>
    <col min="799" max="799" width="4.44140625" customWidth="1"/>
  </cols>
  <sheetData>
    <row r="1" spans="1:35" x14ac:dyDescent="0.3">
      <c r="A1" s="80"/>
      <c r="B1" s="80" t="s">
        <v>187</v>
      </c>
    </row>
    <row r="2" spans="1:35" x14ac:dyDescent="0.3">
      <c r="A2" s="80"/>
      <c r="B2" s="80" t="s">
        <v>188</v>
      </c>
    </row>
    <row r="3" spans="1:35" x14ac:dyDescent="0.3">
      <c r="A3" s="294"/>
      <c r="B3" s="55" t="s">
        <v>598</v>
      </c>
    </row>
    <row r="4" spans="1:35" ht="6" customHeight="1" x14ac:dyDescent="0.3"/>
    <row r="5" spans="1:35" ht="6" customHeight="1" x14ac:dyDescent="0.3"/>
    <row r="6" spans="1:35" ht="15.75" customHeight="1" x14ac:dyDescent="0.3">
      <c r="B6" s="720" t="s">
        <v>334</v>
      </c>
      <c r="C6" s="720"/>
      <c r="D6" s="720"/>
      <c r="E6" s="720"/>
      <c r="F6" s="720"/>
      <c r="G6" s="720"/>
      <c r="I6" s="720" t="s">
        <v>338</v>
      </c>
      <c r="J6" s="720"/>
      <c r="K6" s="720"/>
      <c r="L6" s="720"/>
      <c r="M6" s="720"/>
      <c r="N6" s="720"/>
      <c r="P6" s="720" t="s">
        <v>339</v>
      </c>
      <c r="Q6" s="720"/>
      <c r="R6" s="720"/>
      <c r="S6" s="720"/>
      <c r="T6" s="720"/>
      <c r="U6" s="720"/>
      <c r="W6" s="720" t="s">
        <v>340</v>
      </c>
      <c r="X6" s="720"/>
      <c r="Y6" s="720"/>
      <c r="Z6" s="720"/>
      <c r="AA6" s="720"/>
      <c r="AB6" s="720"/>
      <c r="AD6" s="720" t="s">
        <v>341</v>
      </c>
      <c r="AE6" s="720"/>
      <c r="AF6" s="720"/>
      <c r="AG6" s="720"/>
      <c r="AH6" s="720"/>
      <c r="AI6" s="720"/>
    </row>
    <row r="7" spans="1:35" x14ac:dyDescent="0.3">
      <c r="B7" s="493" t="s">
        <v>599</v>
      </c>
      <c r="C7" s="721"/>
      <c r="D7" s="721"/>
      <c r="E7" s="721"/>
      <c r="F7" s="721"/>
      <c r="G7" s="721"/>
      <c r="I7" s="493" t="s">
        <v>599</v>
      </c>
      <c r="J7" s="721"/>
      <c r="K7" s="721"/>
      <c r="L7" s="721"/>
      <c r="M7" s="721"/>
      <c r="N7" s="721"/>
      <c r="P7" s="493" t="s">
        <v>599</v>
      </c>
      <c r="Q7" s="721"/>
      <c r="R7" s="721"/>
      <c r="S7" s="721"/>
      <c r="T7" s="721"/>
      <c r="U7" s="721"/>
      <c r="W7" s="493" t="s">
        <v>599</v>
      </c>
      <c r="X7" s="721"/>
      <c r="Y7" s="721"/>
      <c r="Z7" s="721"/>
      <c r="AA7" s="721"/>
      <c r="AB7" s="721"/>
      <c r="AD7" s="493" t="s">
        <v>599</v>
      </c>
      <c r="AE7" s="721"/>
      <c r="AF7" s="721"/>
      <c r="AG7" s="721"/>
      <c r="AH7" s="721"/>
      <c r="AI7" s="721"/>
    </row>
    <row r="8" spans="1:35" ht="25.5" customHeight="1" x14ac:dyDescent="0.3">
      <c r="B8" s="610" t="s">
        <v>600</v>
      </c>
      <c r="C8" s="610"/>
      <c r="D8" s="83" t="s">
        <v>601</v>
      </c>
      <c r="E8" s="83" t="s">
        <v>602</v>
      </c>
      <c r="F8" s="83" t="s">
        <v>603</v>
      </c>
      <c r="G8" s="83" t="s">
        <v>604</v>
      </c>
      <c r="I8" s="610" t="s">
        <v>600</v>
      </c>
      <c r="J8" s="610"/>
      <c r="K8" s="83" t="s">
        <v>601</v>
      </c>
      <c r="L8" s="83" t="s">
        <v>602</v>
      </c>
      <c r="M8" s="83" t="s">
        <v>603</v>
      </c>
      <c r="N8" s="83" t="s">
        <v>604</v>
      </c>
      <c r="P8" s="610" t="s">
        <v>600</v>
      </c>
      <c r="Q8" s="610"/>
      <c r="R8" s="83" t="s">
        <v>601</v>
      </c>
      <c r="S8" s="83" t="s">
        <v>602</v>
      </c>
      <c r="T8" s="83" t="s">
        <v>603</v>
      </c>
      <c r="U8" s="83" t="s">
        <v>604</v>
      </c>
      <c r="W8" s="610" t="s">
        <v>600</v>
      </c>
      <c r="X8" s="610"/>
      <c r="Y8" s="83" t="s">
        <v>601</v>
      </c>
      <c r="Z8" s="83" t="s">
        <v>602</v>
      </c>
      <c r="AA8" s="83" t="s">
        <v>603</v>
      </c>
      <c r="AB8" s="83" t="s">
        <v>604</v>
      </c>
      <c r="AD8" s="610" t="s">
        <v>600</v>
      </c>
      <c r="AE8" s="610"/>
      <c r="AF8" s="83" t="s">
        <v>601</v>
      </c>
      <c r="AG8" s="83" t="s">
        <v>602</v>
      </c>
      <c r="AH8" s="83" t="s">
        <v>603</v>
      </c>
      <c r="AI8" s="83" t="s">
        <v>604</v>
      </c>
    </row>
    <row r="9" spans="1:35" x14ac:dyDescent="0.3">
      <c r="B9" s="494" t="s">
        <v>605</v>
      </c>
      <c r="C9" s="494" t="s">
        <v>606</v>
      </c>
      <c r="D9" s="494" t="s">
        <v>607</v>
      </c>
      <c r="E9" s="494"/>
      <c r="F9" s="494" t="s">
        <v>608</v>
      </c>
      <c r="G9" s="495">
        <v>100</v>
      </c>
      <c r="I9" s="494" t="s">
        <v>605</v>
      </c>
      <c r="J9" s="494" t="s">
        <v>606</v>
      </c>
      <c r="K9" s="494" t="s">
        <v>607</v>
      </c>
      <c r="L9" s="494"/>
      <c r="M9" s="494" t="s">
        <v>608</v>
      </c>
      <c r="N9" s="495">
        <v>100</v>
      </c>
      <c r="P9" s="494" t="s">
        <v>605</v>
      </c>
      <c r="Q9" s="494" t="s">
        <v>606</v>
      </c>
      <c r="R9" s="494" t="s">
        <v>607</v>
      </c>
      <c r="S9" s="494"/>
      <c r="T9" s="494" t="s">
        <v>608</v>
      </c>
      <c r="U9" s="495">
        <v>100</v>
      </c>
      <c r="W9" s="494" t="s">
        <v>605</v>
      </c>
      <c r="X9" s="494" t="s">
        <v>606</v>
      </c>
      <c r="Y9" s="494" t="s">
        <v>607</v>
      </c>
      <c r="Z9" s="494"/>
      <c r="AA9" s="494" t="s">
        <v>608</v>
      </c>
      <c r="AB9" s="495">
        <v>100</v>
      </c>
      <c r="AD9" s="494" t="s">
        <v>605</v>
      </c>
      <c r="AE9" s="494" t="s">
        <v>606</v>
      </c>
      <c r="AF9" s="494" t="s">
        <v>607</v>
      </c>
      <c r="AG9" s="494"/>
      <c r="AH9" s="494" t="s">
        <v>608</v>
      </c>
      <c r="AI9" s="495">
        <v>100</v>
      </c>
    </row>
    <row r="10" spans="1:35" x14ac:dyDescent="0.3">
      <c r="B10" s="494">
        <v>2023</v>
      </c>
      <c r="C10" s="496" t="s">
        <v>609</v>
      </c>
      <c r="D10" s="497"/>
      <c r="E10" s="498">
        <v>25</v>
      </c>
      <c r="F10" s="497">
        <f t="shared" ref="F10:F22" si="0">D10/30*E10</f>
        <v>0</v>
      </c>
      <c r="G10" s="499">
        <f t="shared" ref="G10:G22" si="1">(G9*F10)+G9</f>
        <v>100</v>
      </c>
      <c r="I10" s="494">
        <f t="shared" ref="I10:I22" si="2">B10+1</f>
        <v>2024</v>
      </c>
      <c r="J10" s="496" t="str">
        <f>$C$10</f>
        <v>AGO</v>
      </c>
      <c r="K10" s="497"/>
      <c r="L10" s="498">
        <f>$E$10</f>
        <v>25</v>
      </c>
      <c r="M10" s="497">
        <f t="shared" ref="M10:M22" si="3">K10/30*L10</f>
        <v>0</v>
      </c>
      <c r="N10" s="499">
        <f t="shared" ref="N10:N22" si="4">(N9*M10)+N9</f>
        <v>100</v>
      </c>
      <c r="P10" s="494">
        <f t="shared" ref="P10:P22" si="5">I10+1</f>
        <v>2025</v>
      </c>
      <c r="Q10" s="496" t="str">
        <f>$C$10</f>
        <v>AGO</v>
      </c>
      <c r="R10" s="497"/>
      <c r="S10" s="498">
        <f>$E$10</f>
        <v>25</v>
      </c>
      <c r="T10" s="497">
        <f t="shared" ref="T10:T22" si="6">R10/30*S10</f>
        <v>0</v>
      </c>
      <c r="U10" s="499">
        <f t="shared" ref="U10:U22" si="7">(U9*T10)+U9</f>
        <v>100</v>
      </c>
      <c r="W10" s="494">
        <f t="shared" ref="W10:W22" si="8">P10+1</f>
        <v>2026</v>
      </c>
      <c r="X10" s="496" t="str">
        <f>$C$10</f>
        <v>AGO</v>
      </c>
      <c r="Y10" s="497"/>
      <c r="Z10" s="498">
        <f>$E$10</f>
        <v>25</v>
      </c>
      <c r="AA10" s="497">
        <f t="shared" ref="AA10:AA22" si="9">Y10/30*Z10</f>
        <v>0</v>
      </c>
      <c r="AB10" s="499">
        <f t="shared" ref="AB10:AB22" si="10">(AB9*AA10)+AB9</f>
        <v>100</v>
      </c>
      <c r="AD10" s="494">
        <f t="shared" ref="AD10:AD22" si="11">W10+1</f>
        <v>2027</v>
      </c>
      <c r="AE10" s="496" t="str">
        <f>$C$10</f>
        <v>AGO</v>
      </c>
      <c r="AF10" s="497"/>
      <c r="AG10" s="498">
        <f>$E$10</f>
        <v>25</v>
      </c>
      <c r="AH10" s="497">
        <f t="shared" ref="AH10:AH22" si="12">AF10/30*AG10</f>
        <v>0</v>
      </c>
      <c r="AI10" s="499">
        <f t="shared" ref="AI10:AI22" si="13">(AI9*AH10)+AI9</f>
        <v>100</v>
      </c>
    </row>
    <row r="11" spans="1:35" x14ac:dyDescent="0.3">
      <c r="B11" s="494">
        <v>2023</v>
      </c>
      <c r="C11" s="496" t="s">
        <v>610</v>
      </c>
      <c r="D11" s="497"/>
      <c r="E11" s="498"/>
      <c r="F11" s="497">
        <f t="shared" si="0"/>
        <v>0</v>
      </c>
      <c r="G11" s="499">
        <f t="shared" si="1"/>
        <v>100</v>
      </c>
      <c r="I11" s="494">
        <f t="shared" si="2"/>
        <v>2024</v>
      </c>
      <c r="J11" s="496" t="str">
        <f>$C$11</f>
        <v>SET</v>
      </c>
      <c r="K11" s="497"/>
      <c r="L11" s="498"/>
      <c r="M11" s="497">
        <f t="shared" si="3"/>
        <v>0</v>
      </c>
      <c r="N11" s="499">
        <f t="shared" si="4"/>
        <v>100</v>
      </c>
      <c r="P11" s="494">
        <f t="shared" si="5"/>
        <v>2025</v>
      </c>
      <c r="Q11" s="496" t="str">
        <f>$C$11</f>
        <v>SET</v>
      </c>
      <c r="R11" s="497"/>
      <c r="S11" s="498"/>
      <c r="T11" s="497">
        <f t="shared" si="6"/>
        <v>0</v>
      </c>
      <c r="U11" s="499">
        <f t="shared" si="7"/>
        <v>100</v>
      </c>
      <c r="W11" s="494">
        <f t="shared" si="8"/>
        <v>2026</v>
      </c>
      <c r="X11" s="496" t="str">
        <f>$C$11</f>
        <v>SET</v>
      </c>
      <c r="Y11" s="497"/>
      <c r="Z11" s="498"/>
      <c r="AA11" s="497">
        <f t="shared" si="9"/>
        <v>0</v>
      </c>
      <c r="AB11" s="499">
        <f t="shared" si="10"/>
        <v>100</v>
      </c>
      <c r="AD11" s="494">
        <f t="shared" si="11"/>
        <v>2027</v>
      </c>
      <c r="AE11" s="496" t="str">
        <f>$C$11</f>
        <v>SET</v>
      </c>
      <c r="AF11" s="497"/>
      <c r="AG11" s="498"/>
      <c r="AH11" s="497">
        <f t="shared" si="12"/>
        <v>0</v>
      </c>
      <c r="AI11" s="499">
        <f t="shared" si="13"/>
        <v>100</v>
      </c>
    </row>
    <row r="12" spans="1:35" x14ac:dyDescent="0.3">
      <c r="B12" s="494">
        <v>2023</v>
      </c>
      <c r="C12" s="496" t="s">
        <v>611</v>
      </c>
      <c r="D12" s="497"/>
      <c r="E12" s="498"/>
      <c r="F12" s="497">
        <f t="shared" si="0"/>
        <v>0</v>
      </c>
      <c r="G12" s="499">
        <f t="shared" si="1"/>
        <v>100</v>
      </c>
      <c r="I12" s="494">
        <f t="shared" si="2"/>
        <v>2024</v>
      </c>
      <c r="J12" s="496" t="str">
        <f>$C$12</f>
        <v>OUT</v>
      </c>
      <c r="K12" s="497"/>
      <c r="L12" s="498"/>
      <c r="M12" s="497">
        <f t="shared" si="3"/>
        <v>0</v>
      </c>
      <c r="N12" s="499">
        <f t="shared" si="4"/>
        <v>100</v>
      </c>
      <c r="P12" s="494">
        <f t="shared" si="5"/>
        <v>2025</v>
      </c>
      <c r="Q12" s="496" t="str">
        <f>$C$12</f>
        <v>OUT</v>
      </c>
      <c r="R12" s="497"/>
      <c r="S12" s="498"/>
      <c r="T12" s="497">
        <f t="shared" si="6"/>
        <v>0</v>
      </c>
      <c r="U12" s="499">
        <f t="shared" si="7"/>
        <v>100</v>
      </c>
      <c r="W12" s="494">
        <f t="shared" si="8"/>
        <v>2026</v>
      </c>
      <c r="X12" s="496" t="str">
        <f>$C$12</f>
        <v>OUT</v>
      </c>
      <c r="Y12" s="497"/>
      <c r="Z12" s="498"/>
      <c r="AA12" s="497">
        <f t="shared" si="9"/>
        <v>0</v>
      </c>
      <c r="AB12" s="499">
        <f t="shared" si="10"/>
        <v>100</v>
      </c>
      <c r="AD12" s="494">
        <f t="shared" si="11"/>
        <v>2027</v>
      </c>
      <c r="AE12" s="496" t="str">
        <f>$C$12</f>
        <v>OUT</v>
      </c>
      <c r="AF12" s="497"/>
      <c r="AG12" s="498"/>
      <c r="AH12" s="497">
        <f t="shared" si="12"/>
        <v>0</v>
      </c>
      <c r="AI12" s="499">
        <f t="shared" si="13"/>
        <v>100</v>
      </c>
    </row>
    <row r="13" spans="1:35" x14ac:dyDescent="0.3">
      <c r="B13" s="494">
        <v>2023</v>
      </c>
      <c r="C13" s="496" t="s">
        <v>612</v>
      </c>
      <c r="D13" s="497"/>
      <c r="E13" s="498"/>
      <c r="F13" s="497">
        <f t="shared" si="0"/>
        <v>0</v>
      </c>
      <c r="G13" s="499">
        <f t="shared" si="1"/>
        <v>100</v>
      </c>
      <c r="I13" s="494">
        <f t="shared" si="2"/>
        <v>2024</v>
      </c>
      <c r="J13" s="496" t="str">
        <f>$C$13</f>
        <v>NOV</v>
      </c>
      <c r="K13" s="497"/>
      <c r="L13" s="498"/>
      <c r="M13" s="497">
        <f t="shared" si="3"/>
        <v>0</v>
      </c>
      <c r="N13" s="499">
        <f t="shared" si="4"/>
        <v>100</v>
      </c>
      <c r="P13" s="494">
        <f t="shared" si="5"/>
        <v>2025</v>
      </c>
      <c r="Q13" s="496" t="str">
        <f>$C$13</f>
        <v>NOV</v>
      </c>
      <c r="R13" s="497"/>
      <c r="S13" s="498"/>
      <c r="T13" s="497">
        <f t="shared" si="6"/>
        <v>0</v>
      </c>
      <c r="U13" s="499">
        <f t="shared" si="7"/>
        <v>100</v>
      </c>
      <c r="W13" s="494">
        <f t="shared" si="8"/>
        <v>2026</v>
      </c>
      <c r="X13" s="496" t="str">
        <f>$C$13</f>
        <v>NOV</v>
      </c>
      <c r="Y13" s="497"/>
      <c r="Z13" s="498"/>
      <c r="AA13" s="497">
        <f t="shared" si="9"/>
        <v>0</v>
      </c>
      <c r="AB13" s="499">
        <f t="shared" si="10"/>
        <v>100</v>
      </c>
      <c r="AD13" s="494">
        <f t="shared" si="11"/>
        <v>2027</v>
      </c>
      <c r="AE13" s="496" t="str">
        <f>$C$13</f>
        <v>NOV</v>
      </c>
      <c r="AF13" s="497"/>
      <c r="AG13" s="498"/>
      <c r="AH13" s="497">
        <f t="shared" si="12"/>
        <v>0</v>
      </c>
      <c r="AI13" s="499">
        <f t="shared" si="13"/>
        <v>100</v>
      </c>
    </row>
    <row r="14" spans="1:35" x14ac:dyDescent="0.3">
      <c r="B14" s="494">
        <v>2023</v>
      </c>
      <c r="C14" s="496" t="s">
        <v>613</v>
      </c>
      <c r="D14" s="497"/>
      <c r="E14" s="498"/>
      <c r="F14" s="497">
        <f t="shared" si="0"/>
        <v>0</v>
      </c>
      <c r="G14" s="499">
        <f t="shared" si="1"/>
        <v>100</v>
      </c>
      <c r="I14" s="494">
        <f t="shared" si="2"/>
        <v>2024</v>
      </c>
      <c r="J14" s="496" t="str">
        <f>$C$14</f>
        <v>DEZ</v>
      </c>
      <c r="K14" s="497"/>
      <c r="L14" s="498"/>
      <c r="M14" s="497">
        <f t="shared" si="3"/>
        <v>0</v>
      </c>
      <c r="N14" s="499">
        <f t="shared" si="4"/>
        <v>100</v>
      </c>
      <c r="P14" s="494">
        <f t="shared" si="5"/>
        <v>2025</v>
      </c>
      <c r="Q14" s="496" t="str">
        <f>$C$14</f>
        <v>DEZ</v>
      </c>
      <c r="R14" s="497"/>
      <c r="S14" s="498"/>
      <c r="T14" s="497">
        <f t="shared" si="6"/>
        <v>0</v>
      </c>
      <c r="U14" s="499">
        <f t="shared" si="7"/>
        <v>100</v>
      </c>
      <c r="W14" s="494">
        <f t="shared" si="8"/>
        <v>2026</v>
      </c>
      <c r="X14" s="496" t="str">
        <f>$C$14</f>
        <v>DEZ</v>
      </c>
      <c r="Y14" s="497"/>
      <c r="Z14" s="498"/>
      <c r="AA14" s="497">
        <f t="shared" si="9"/>
        <v>0</v>
      </c>
      <c r="AB14" s="499">
        <f t="shared" si="10"/>
        <v>100</v>
      </c>
      <c r="AD14" s="494">
        <f t="shared" si="11"/>
        <v>2027</v>
      </c>
      <c r="AE14" s="496" t="str">
        <f>$C$14</f>
        <v>DEZ</v>
      </c>
      <c r="AF14" s="497"/>
      <c r="AG14" s="498"/>
      <c r="AH14" s="497">
        <f t="shared" si="12"/>
        <v>0</v>
      </c>
      <c r="AI14" s="499">
        <f t="shared" si="13"/>
        <v>100</v>
      </c>
    </row>
    <row r="15" spans="1:35" x14ac:dyDescent="0.3">
      <c r="B15" s="494">
        <v>2023</v>
      </c>
      <c r="C15" s="496" t="s">
        <v>613</v>
      </c>
      <c r="D15" s="497"/>
      <c r="E15" s="498"/>
      <c r="F15" s="497">
        <f t="shared" si="0"/>
        <v>0</v>
      </c>
      <c r="G15" s="499">
        <f t="shared" si="1"/>
        <v>100</v>
      </c>
      <c r="I15" s="494">
        <f t="shared" si="2"/>
        <v>2024</v>
      </c>
      <c r="J15" s="496" t="str">
        <f>$C$15</f>
        <v>DEZ</v>
      </c>
      <c r="K15" s="497"/>
      <c r="L15" s="498"/>
      <c r="M15" s="497">
        <f t="shared" si="3"/>
        <v>0</v>
      </c>
      <c r="N15" s="499">
        <f t="shared" si="4"/>
        <v>100</v>
      </c>
      <c r="P15" s="494">
        <f t="shared" si="5"/>
        <v>2025</v>
      </c>
      <c r="Q15" s="496" t="str">
        <f>$C$15</f>
        <v>DEZ</v>
      </c>
      <c r="R15" s="497"/>
      <c r="S15" s="498"/>
      <c r="T15" s="497">
        <f t="shared" si="6"/>
        <v>0</v>
      </c>
      <c r="U15" s="499">
        <f t="shared" si="7"/>
        <v>100</v>
      </c>
      <c r="W15" s="494">
        <f t="shared" si="8"/>
        <v>2026</v>
      </c>
      <c r="X15" s="496" t="str">
        <f>$C$15</f>
        <v>DEZ</v>
      </c>
      <c r="Y15" s="497"/>
      <c r="Z15" s="498"/>
      <c r="AA15" s="497">
        <f t="shared" si="9"/>
        <v>0</v>
      </c>
      <c r="AB15" s="499">
        <f t="shared" si="10"/>
        <v>100</v>
      </c>
      <c r="AD15" s="494">
        <f t="shared" si="11"/>
        <v>2027</v>
      </c>
      <c r="AE15" s="496" t="str">
        <f>$C$15</f>
        <v>DEZ</v>
      </c>
      <c r="AF15" s="497"/>
      <c r="AG15" s="498"/>
      <c r="AH15" s="497">
        <f t="shared" si="12"/>
        <v>0</v>
      </c>
      <c r="AI15" s="499">
        <f t="shared" si="13"/>
        <v>100</v>
      </c>
    </row>
    <row r="16" spans="1:35" x14ac:dyDescent="0.3">
      <c r="B16" s="494">
        <v>2024</v>
      </c>
      <c r="C16" s="500" t="s">
        <v>614</v>
      </c>
      <c r="D16" s="501"/>
      <c r="E16" s="502"/>
      <c r="F16" s="497">
        <f t="shared" si="0"/>
        <v>0</v>
      </c>
      <c r="G16" s="499">
        <f t="shared" si="1"/>
        <v>100</v>
      </c>
      <c r="I16" s="494">
        <f t="shared" si="2"/>
        <v>2025</v>
      </c>
      <c r="J16" s="496" t="str">
        <f>$C$16</f>
        <v>JAN</v>
      </c>
      <c r="K16" s="501"/>
      <c r="L16" s="498"/>
      <c r="M16" s="497">
        <f t="shared" si="3"/>
        <v>0</v>
      </c>
      <c r="N16" s="499">
        <f t="shared" si="4"/>
        <v>100</v>
      </c>
      <c r="P16" s="494">
        <f t="shared" si="5"/>
        <v>2026</v>
      </c>
      <c r="Q16" s="496" t="str">
        <f>$C$16</f>
        <v>JAN</v>
      </c>
      <c r="R16" s="501"/>
      <c r="S16" s="498"/>
      <c r="T16" s="497">
        <f t="shared" si="6"/>
        <v>0</v>
      </c>
      <c r="U16" s="499">
        <f t="shared" si="7"/>
        <v>100</v>
      </c>
      <c r="W16" s="494">
        <f t="shared" si="8"/>
        <v>2027</v>
      </c>
      <c r="X16" s="496" t="str">
        <f>$C$16</f>
        <v>JAN</v>
      </c>
      <c r="Y16" s="501"/>
      <c r="Z16" s="498"/>
      <c r="AA16" s="497">
        <f t="shared" si="9"/>
        <v>0</v>
      </c>
      <c r="AB16" s="499">
        <f t="shared" si="10"/>
        <v>100</v>
      </c>
      <c r="AD16" s="494">
        <f t="shared" si="11"/>
        <v>2028</v>
      </c>
      <c r="AE16" s="496" t="str">
        <f>$C$16</f>
        <v>JAN</v>
      </c>
      <c r="AF16" s="501"/>
      <c r="AG16" s="498"/>
      <c r="AH16" s="497">
        <f t="shared" si="12"/>
        <v>0</v>
      </c>
      <c r="AI16" s="499">
        <f t="shared" si="13"/>
        <v>100</v>
      </c>
    </row>
    <row r="17" spans="2:35" x14ac:dyDescent="0.3">
      <c r="B17" s="494">
        <v>2024</v>
      </c>
      <c r="C17" s="496" t="s">
        <v>615</v>
      </c>
      <c r="D17" s="497"/>
      <c r="E17" s="498"/>
      <c r="F17" s="497">
        <f t="shared" si="0"/>
        <v>0</v>
      </c>
      <c r="G17" s="499">
        <f t="shared" si="1"/>
        <v>100</v>
      </c>
      <c r="I17" s="494">
        <f t="shared" si="2"/>
        <v>2025</v>
      </c>
      <c r="J17" s="496" t="str">
        <f>$C$17</f>
        <v>FEV</v>
      </c>
      <c r="K17" s="497"/>
      <c r="L17" s="498"/>
      <c r="M17" s="497">
        <f t="shared" si="3"/>
        <v>0</v>
      </c>
      <c r="N17" s="499">
        <f t="shared" si="4"/>
        <v>100</v>
      </c>
      <c r="P17" s="494">
        <f t="shared" si="5"/>
        <v>2026</v>
      </c>
      <c r="Q17" s="496" t="str">
        <f>$C$17</f>
        <v>FEV</v>
      </c>
      <c r="R17" s="497"/>
      <c r="S17" s="498"/>
      <c r="T17" s="497">
        <f t="shared" si="6"/>
        <v>0</v>
      </c>
      <c r="U17" s="499">
        <f t="shared" si="7"/>
        <v>100</v>
      </c>
      <c r="W17" s="494">
        <f t="shared" si="8"/>
        <v>2027</v>
      </c>
      <c r="X17" s="496" t="str">
        <f>$C$17</f>
        <v>FEV</v>
      </c>
      <c r="Y17" s="497"/>
      <c r="Z17" s="498"/>
      <c r="AA17" s="497">
        <f t="shared" si="9"/>
        <v>0</v>
      </c>
      <c r="AB17" s="499">
        <f t="shared" si="10"/>
        <v>100</v>
      </c>
      <c r="AD17" s="494">
        <f t="shared" si="11"/>
        <v>2028</v>
      </c>
      <c r="AE17" s="496" t="str">
        <f>$C$17</f>
        <v>FEV</v>
      </c>
      <c r="AF17" s="497"/>
      <c r="AG17" s="498"/>
      <c r="AH17" s="497">
        <f t="shared" si="12"/>
        <v>0</v>
      </c>
      <c r="AI17" s="499">
        <f t="shared" si="13"/>
        <v>100</v>
      </c>
    </row>
    <row r="18" spans="2:35" x14ac:dyDescent="0.3">
      <c r="B18" s="494">
        <v>2024</v>
      </c>
      <c r="C18" s="500" t="s">
        <v>616</v>
      </c>
      <c r="D18" s="497"/>
      <c r="E18" s="498"/>
      <c r="F18" s="497">
        <f t="shared" si="0"/>
        <v>0</v>
      </c>
      <c r="G18" s="499">
        <f t="shared" si="1"/>
        <v>100</v>
      </c>
      <c r="I18" s="494">
        <f t="shared" si="2"/>
        <v>2025</v>
      </c>
      <c r="J18" s="496" t="str">
        <f>$C$18</f>
        <v>MAR</v>
      </c>
      <c r="K18" s="497"/>
      <c r="L18" s="498"/>
      <c r="M18" s="497">
        <f t="shared" si="3"/>
        <v>0</v>
      </c>
      <c r="N18" s="499">
        <f t="shared" si="4"/>
        <v>100</v>
      </c>
      <c r="P18" s="494">
        <f t="shared" si="5"/>
        <v>2026</v>
      </c>
      <c r="Q18" s="496" t="str">
        <f>$C$18</f>
        <v>MAR</v>
      </c>
      <c r="R18" s="497"/>
      <c r="S18" s="498"/>
      <c r="T18" s="497">
        <f t="shared" si="6"/>
        <v>0</v>
      </c>
      <c r="U18" s="499">
        <f t="shared" si="7"/>
        <v>100</v>
      </c>
      <c r="W18" s="494">
        <f t="shared" si="8"/>
        <v>2027</v>
      </c>
      <c r="X18" s="496" t="str">
        <f>$C$18</f>
        <v>MAR</v>
      </c>
      <c r="Y18" s="497"/>
      <c r="Z18" s="498"/>
      <c r="AA18" s="497">
        <f t="shared" si="9"/>
        <v>0</v>
      </c>
      <c r="AB18" s="499">
        <f t="shared" si="10"/>
        <v>100</v>
      </c>
      <c r="AD18" s="494">
        <f t="shared" si="11"/>
        <v>2028</v>
      </c>
      <c r="AE18" s="496" t="str">
        <f>$C$18</f>
        <v>MAR</v>
      </c>
      <c r="AF18" s="497"/>
      <c r="AG18" s="498"/>
      <c r="AH18" s="497">
        <f t="shared" si="12"/>
        <v>0</v>
      </c>
      <c r="AI18" s="499">
        <f t="shared" si="13"/>
        <v>100</v>
      </c>
    </row>
    <row r="19" spans="2:35" x14ac:dyDescent="0.3">
      <c r="B19" s="494">
        <v>2024</v>
      </c>
      <c r="C19" s="496" t="s">
        <v>617</v>
      </c>
      <c r="D19" s="497"/>
      <c r="E19" s="498"/>
      <c r="F19" s="497">
        <f t="shared" si="0"/>
        <v>0</v>
      </c>
      <c r="G19" s="499">
        <f t="shared" si="1"/>
        <v>100</v>
      </c>
      <c r="I19" s="494">
        <f t="shared" si="2"/>
        <v>2025</v>
      </c>
      <c r="J19" s="496" t="str">
        <f>$C$19</f>
        <v>ABR</v>
      </c>
      <c r="K19" s="497"/>
      <c r="L19" s="498"/>
      <c r="M19" s="497">
        <f t="shared" si="3"/>
        <v>0</v>
      </c>
      <c r="N19" s="499">
        <f t="shared" si="4"/>
        <v>100</v>
      </c>
      <c r="P19" s="494">
        <f t="shared" si="5"/>
        <v>2026</v>
      </c>
      <c r="Q19" s="496" t="str">
        <f>$C$19</f>
        <v>ABR</v>
      </c>
      <c r="R19" s="497"/>
      <c r="S19" s="498"/>
      <c r="T19" s="497">
        <f t="shared" si="6"/>
        <v>0</v>
      </c>
      <c r="U19" s="499">
        <f t="shared" si="7"/>
        <v>100</v>
      </c>
      <c r="W19" s="494">
        <f t="shared" si="8"/>
        <v>2027</v>
      </c>
      <c r="X19" s="496" t="str">
        <f>$C$19</f>
        <v>ABR</v>
      </c>
      <c r="Y19" s="497"/>
      <c r="Z19" s="498"/>
      <c r="AA19" s="497">
        <f t="shared" si="9"/>
        <v>0</v>
      </c>
      <c r="AB19" s="499">
        <f t="shared" si="10"/>
        <v>100</v>
      </c>
      <c r="AD19" s="494">
        <f t="shared" si="11"/>
        <v>2028</v>
      </c>
      <c r="AE19" s="496" t="str">
        <f>$C$19</f>
        <v>ABR</v>
      </c>
      <c r="AF19" s="497"/>
      <c r="AG19" s="498"/>
      <c r="AH19" s="497">
        <f t="shared" si="12"/>
        <v>0</v>
      </c>
      <c r="AI19" s="499">
        <f t="shared" si="13"/>
        <v>100</v>
      </c>
    </row>
    <row r="20" spans="2:35" x14ac:dyDescent="0.3">
      <c r="B20" s="494">
        <v>2024</v>
      </c>
      <c r="C20" s="500" t="s">
        <v>618</v>
      </c>
      <c r="D20" s="497"/>
      <c r="E20" s="498"/>
      <c r="F20" s="497">
        <f t="shared" si="0"/>
        <v>0</v>
      </c>
      <c r="G20" s="499">
        <f t="shared" si="1"/>
        <v>100</v>
      </c>
      <c r="I20" s="494">
        <f t="shared" si="2"/>
        <v>2025</v>
      </c>
      <c r="J20" s="496" t="str">
        <f>$C$20</f>
        <v>MAI</v>
      </c>
      <c r="K20" s="497"/>
      <c r="L20" s="498"/>
      <c r="M20" s="497">
        <f t="shared" si="3"/>
        <v>0</v>
      </c>
      <c r="N20" s="499">
        <f t="shared" si="4"/>
        <v>100</v>
      </c>
      <c r="P20" s="494">
        <f t="shared" si="5"/>
        <v>2026</v>
      </c>
      <c r="Q20" s="496" t="str">
        <f>$C$20</f>
        <v>MAI</v>
      </c>
      <c r="R20" s="497"/>
      <c r="S20" s="498"/>
      <c r="T20" s="497">
        <f t="shared" si="6"/>
        <v>0</v>
      </c>
      <c r="U20" s="499">
        <f t="shared" si="7"/>
        <v>100</v>
      </c>
      <c r="W20" s="494">
        <f t="shared" si="8"/>
        <v>2027</v>
      </c>
      <c r="X20" s="496" t="str">
        <f>$C$20</f>
        <v>MAI</v>
      </c>
      <c r="Y20" s="497"/>
      <c r="Z20" s="498"/>
      <c r="AA20" s="497">
        <f t="shared" si="9"/>
        <v>0</v>
      </c>
      <c r="AB20" s="499">
        <f t="shared" si="10"/>
        <v>100</v>
      </c>
      <c r="AD20" s="494">
        <f t="shared" si="11"/>
        <v>2028</v>
      </c>
      <c r="AE20" s="496" t="str">
        <f>$C$20</f>
        <v>MAI</v>
      </c>
      <c r="AF20" s="497"/>
      <c r="AG20" s="498"/>
      <c r="AH20" s="497">
        <f t="shared" si="12"/>
        <v>0</v>
      </c>
      <c r="AI20" s="499">
        <f t="shared" si="13"/>
        <v>100</v>
      </c>
    </row>
    <row r="21" spans="2:35" x14ac:dyDescent="0.3">
      <c r="B21" s="494">
        <v>2024</v>
      </c>
      <c r="C21" s="496" t="s">
        <v>619</v>
      </c>
      <c r="D21" s="497"/>
      <c r="E21" s="498"/>
      <c r="F21" s="497">
        <f t="shared" si="0"/>
        <v>0</v>
      </c>
      <c r="G21" s="499">
        <f t="shared" si="1"/>
        <v>100</v>
      </c>
      <c r="I21" s="494">
        <f t="shared" si="2"/>
        <v>2025</v>
      </c>
      <c r="J21" s="496" t="str">
        <f>$C$21</f>
        <v>JUN</v>
      </c>
      <c r="K21" s="497"/>
      <c r="L21" s="498"/>
      <c r="M21" s="497">
        <f t="shared" si="3"/>
        <v>0</v>
      </c>
      <c r="N21" s="499">
        <f t="shared" si="4"/>
        <v>100</v>
      </c>
      <c r="P21" s="494">
        <f t="shared" si="5"/>
        <v>2026</v>
      </c>
      <c r="Q21" s="496" t="str">
        <f>$C$21</f>
        <v>JUN</v>
      </c>
      <c r="R21" s="497"/>
      <c r="S21" s="498"/>
      <c r="T21" s="497">
        <f t="shared" si="6"/>
        <v>0</v>
      </c>
      <c r="U21" s="499">
        <f t="shared" si="7"/>
        <v>100</v>
      </c>
      <c r="W21" s="494">
        <f t="shared" si="8"/>
        <v>2027</v>
      </c>
      <c r="X21" s="496" t="str">
        <f>$C$21</f>
        <v>JUN</v>
      </c>
      <c r="Y21" s="497"/>
      <c r="Z21" s="498"/>
      <c r="AA21" s="497">
        <f t="shared" si="9"/>
        <v>0</v>
      </c>
      <c r="AB21" s="499">
        <f t="shared" si="10"/>
        <v>100</v>
      </c>
      <c r="AD21" s="494">
        <f t="shared" si="11"/>
        <v>2028</v>
      </c>
      <c r="AE21" s="496" t="str">
        <f>$C$21</f>
        <v>JUN</v>
      </c>
      <c r="AF21" s="497"/>
      <c r="AG21" s="498"/>
      <c r="AH21" s="497">
        <f t="shared" si="12"/>
        <v>0</v>
      </c>
      <c r="AI21" s="499">
        <f t="shared" si="13"/>
        <v>100</v>
      </c>
    </row>
    <row r="22" spans="2:35" x14ac:dyDescent="0.3">
      <c r="B22" s="494">
        <v>2024</v>
      </c>
      <c r="C22" s="500" t="s">
        <v>620</v>
      </c>
      <c r="D22" s="497"/>
      <c r="E22" s="498">
        <v>5</v>
      </c>
      <c r="F22" s="497">
        <f t="shared" si="0"/>
        <v>0</v>
      </c>
      <c r="G22" s="499">
        <f t="shared" si="1"/>
        <v>100</v>
      </c>
      <c r="I22" s="494">
        <f t="shared" si="2"/>
        <v>2025</v>
      </c>
      <c r="J22" s="496" t="str">
        <f>$C$22</f>
        <v>JUL</v>
      </c>
      <c r="K22" s="497"/>
      <c r="L22" s="498">
        <f>$E$22</f>
        <v>5</v>
      </c>
      <c r="M22" s="497">
        <f t="shared" si="3"/>
        <v>0</v>
      </c>
      <c r="N22" s="499">
        <f t="shared" si="4"/>
        <v>100</v>
      </c>
      <c r="P22" s="494">
        <f t="shared" si="5"/>
        <v>2026</v>
      </c>
      <c r="Q22" s="496" t="str">
        <f>$C$22</f>
        <v>JUL</v>
      </c>
      <c r="R22" s="497"/>
      <c r="S22" s="498">
        <f>$E$22</f>
        <v>5</v>
      </c>
      <c r="T22" s="497">
        <f t="shared" si="6"/>
        <v>0</v>
      </c>
      <c r="U22" s="499">
        <f t="shared" si="7"/>
        <v>100</v>
      </c>
      <c r="W22" s="494">
        <f t="shared" si="8"/>
        <v>2027</v>
      </c>
      <c r="X22" s="496" t="str">
        <f>$C$22</f>
        <v>JUL</v>
      </c>
      <c r="Y22" s="497"/>
      <c r="Z22" s="498">
        <f>$E$22</f>
        <v>5</v>
      </c>
      <c r="AA22" s="497">
        <f t="shared" si="9"/>
        <v>0</v>
      </c>
      <c r="AB22" s="499">
        <f t="shared" si="10"/>
        <v>100</v>
      </c>
      <c r="AD22" s="494">
        <f t="shared" si="11"/>
        <v>2028</v>
      </c>
      <c r="AE22" s="496" t="str">
        <f>$C$22</f>
        <v>JUL</v>
      </c>
      <c r="AF22" s="497"/>
      <c r="AG22" s="498">
        <f>$E$22</f>
        <v>5</v>
      </c>
      <c r="AH22" s="497">
        <f t="shared" si="12"/>
        <v>0</v>
      </c>
      <c r="AI22" s="499">
        <f t="shared" si="13"/>
        <v>100</v>
      </c>
    </row>
    <row r="23" spans="2:35" x14ac:dyDescent="0.3">
      <c r="B23" s="722" t="s">
        <v>621</v>
      </c>
      <c r="C23" s="722"/>
      <c r="D23" s="722"/>
      <c r="E23" s="722"/>
      <c r="F23" s="722"/>
      <c r="G23" s="503">
        <f>ROUND(((G22-G9)/G9),4)</f>
        <v>0</v>
      </c>
      <c r="I23" s="722" t="s">
        <v>621</v>
      </c>
      <c r="J23" s="722"/>
      <c r="K23" s="722"/>
      <c r="L23" s="722"/>
      <c r="M23" s="722"/>
      <c r="N23" s="503">
        <f>ROUND(((N22-N9)/N9),4)</f>
        <v>0</v>
      </c>
      <c r="P23" s="722" t="s">
        <v>621</v>
      </c>
      <c r="Q23" s="722"/>
      <c r="R23" s="722"/>
      <c r="S23" s="722"/>
      <c r="T23" s="722"/>
      <c r="U23" s="503">
        <f>ROUND(((U22-U9)/U9),4)</f>
        <v>0</v>
      </c>
      <c r="W23" s="722" t="s">
        <v>621</v>
      </c>
      <c r="X23" s="722"/>
      <c r="Y23" s="722"/>
      <c r="Z23" s="722"/>
      <c r="AA23" s="722"/>
      <c r="AB23" s="503">
        <f>ROUND(((AB22-AB9)/AB9),4)</f>
        <v>0</v>
      </c>
      <c r="AD23" s="722" t="s">
        <v>621</v>
      </c>
      <c r="AE23" s="722"/>
      <c r="AF23" s="722"/>
      <c r="AG23" s="722"/>
      <c r="AH23" s="722"/>
      <c r="AI23" s="503">
        <f>ROUND(((AI22-AI9)/AI9),4)</f>
        <v>0</v>
      </c>
    </row>
  </sheetData>
  <sheetProtection sheet="1" objects="1" scenarios="1"/>
  <mergeCells count="20">
    <mergeCell ref="B23:F23"/>
    <mergeCell ref="I23:M23"/>
    <mergeCell ref="P23:T23"/>
    <mergeCell ref="W23:AA23"/>
    <mergeCell ref="AD23:AH23"/>
    <mergeCell ref="B8:C8"/>
    <mergeCell ref="I8:J8"/>
    <mergeCell ref="P8:Q8"/>
    <mergeCell ref="W8:X8"/>
    <mergeCell ref="AD8:AE8"/>
    <mergeCell ref="C7:G7"/>
    <mergeCell ref="J7:N7"/>
    <mergeCell ref="Q7:U7"/>
    <mergeCell ref="X7:AB7"/>
    <mergeCell ref="AE7:AI7"/>
    <mergeCell ref="B6:G6"/>
    <mergeCell ref="I6:N6"/>
    <mergeCell ref="P6:U6"/>
    <mergeCell ref="W6:AB6"/>
    <mergeCell ref="AD6:AI6"/>
  </mergeCells>
  <pageMargins left="0.51180555555555596" right="0.51180555555555596" top="0.78749999999999998" bottom="0.78749999999999998" header="0.511811023622047" footer="0.511811023622047"/>
  <pageSetup paperSize="9" scale="5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84"/>
  <sheetViews>
    <sheetView showGridLines="0" view="pageBreakPreview" zoomScaleNormal="130" workbookViewId="0">
      <selection activeCell="A21" sqref="A21:XFD21"/>
    </sheetView>
  </sheetViews>
  <sheetFormatPr defaultColWidth="8.6640625" defaultRowHeight="14.4" x14ac:dyDescent="0.3"/>
  <cols>
    <col min="1" max="1" width="6.33203125" style="52" customWidth="1"/>
    <col min="2" max="2" width="8.6640625" style="109"/>
    <col min="3" max="3" width="4" style="55" customWidth="1"/>
    <col min="4" max="23" width="9.109375" style="55" customWidth="1"/>
    <col min="24" max="24" width="10.6640625" style="55" customWidth="1"/>
    <col min="25" max="256" width="9.109375" style="55" customWidth="1"/>
    <col min="257" max="257" width="4.5546875" style="55" customWidth="1"/>
    <col min="258" max="258" width="11.109375" style="55" customWidth="1"/>
    <col min="259" max="259" width="4" style="55" customWidth="1"/>
    <col min="260" max="512" width="9.109375" style="55" customWidth="1"/>
    <col min="513" max="513" width="4.5546875" style="55" customWidth="1"/>
    <col min="514" max="514" width="11.109375" style="55" customWidth="1"/>
    <col min="515" max="515" width="4" style="55" customWidth="1"/>
    <col min="516" max="768" width="9.109375" style="55" customWidth="1"/>
    <col min="769" max="769" width="4.5546875" style="55" customWidth="1"/>
    <col min="770" max="770" width="11.109375" style="55" customWidth="1"/>
    <col min="771" max="771" width="4" style="55" customWidth="1"/>
    <col min="772" max="1025" width="9.109375" style="55" customWidth="1"/>
  </cols>
  <sheetData>
    <row r="1" spans="1:24" x14ac:dyDescent="0.3">
      <c r="A1" s="110"/>
      <c r="B1" s="77" t="s">
        <v>187</v>
      </c>
    </row>
    <row r="2" spans="1:24" x14ac:dyDescent="0.3">
      <c r="A2" s="111"/>
      <c r="B2" s="80" t="s">
        <v>188</v>
      </c>
    </row>
    <row r="3" spans="1:24" x14ac:dyDescent="0.3">
      <c r="A3" s="111"/>
      <c r="B3" s="55" t="s">
        <v>189</v>
      </c>
    </row>
    <row r="4" spans="1:24" s="16" customFormat="1" ht="15.6" x14ac:dyDescent="0.3">
      <c r="A4" s="573" t="s">
        <v>190</v>
      </c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</row>
    <row r="5" spans="1:24" ht="12" customHeight="1" x14ac:dyDescent="0.3"/>
    <row r="6" spans="1:24" x14ac:dyDescent="0.3">
      <c r="A6" s="54" t="s">
        <v>191</v>
      </c>
      <c r="B6" s="112" t="s">
        <v>192</v>
      </c>
    </row>
    <row r="7" spans="1:24" ht="7.5" customHeight="1" x14ac:dyDescent="0.3"/>
    <row r="8" spans="1:24" x14ac:dyDescent="0.3">
      <c r="B8" s="113"/>
      <c r="C8" s="109" t="s">
        <v>193</v>
      </c>
    </row>
    <row r="10" spans="1:24" x14ac:dyDescent="0.3">
      <c r="A10" s="54" t="s">
        <v>194</v>
      </c>
      <c r="B10" s="109" t="s">
        <v>195</v>
      </c>
    </row>
    <row r="12" spans="1:24" x14ac:dyDescent="0.3">
      <c r="A12" s="54" t="s">
        <v>196</v>
      </c>
      <c r="B12" s="109" t="s">
        <v>197</v>
      </c>
    </row>
    <row r="13" spans="1:24" x14ac:dyDescent="0.3">
      <c r="A13" s="54"/>
      <c r="B13" s="109" t="s">
        <v>198</v>
      </c>
    </row>
    <row r="14" spans="1:24" s="115" customFormat="1" ht="17.25" customHeight="1" x14ac:dyDescent="0.3">
      <c r="A14" s="54"/>
      <c r="B14" s="114" t="s">
        <v>199</v>
      </c>
    </row>
    <row r="15" spans="1:24" ht="7.5" customHeight="1" x14ac:dyDescent="0.3"/>
    <row r="16" spans="1:24" x14ac:dyDescent="0.3">
      <c r="B16" s="116" t="s">
        <v>200</v>
      </c>
      <c r="C16" s="117" t="s">
        <v>201</v>
      </c>
      <c r="D16" s="117"/>
      <c r="E16" s="117"/>
      <c r="F16" s="117"/>
      <c r="G16" s="117"/>
    </row>
    <row r="18" spans="3:4" x14ac:dyDescent="0.3">
      <c r="C18" s="118" t="s">
        <v>202</v>
      </c>
      <c r="D18" s="118" t="s">
        <v>203</v>
      </c>
    </row>
    <row r="19" spans="3:4" x14ac:dyDescent="0.3">
      <c r="D19" s="55" t="s">
        <v>640</v>
      </c>
    </row>
    <row r="20" spans="3:4" x14ac:dyDescent="0.3">
      <c r="D20" s="55" t="s">
        <v>632</v>
      </c>
    </row>
    <row r="21" spans="3:4" x14ac:dyDescent="0.3">
      <c r="C21" s="118"/>
      <c r="D21" s="55" t="s">
        <v>633</v>
      </c>
    </row>
    <row r="22" spans="3:4" x14ac:dyDescent="0.3">
      <c r="D22" s="55" t="s">
        <v>634</v>
      </c>
    </row>
    <row r="23" spans="3:4" x14ac:dyDescent="0.3">
      <c r="D23" s="55" t="s">
        <v>641</v>
      </c>
    </row>
    <row r="24" spans="3:4" x14ac:dyDescent="0.3">
      <c r="D24" s="55" t="s">
        <v>642</v>
      </c>
    </row>
    <row r="25" spans="3:4" x14ac:dyDescent="0.3">
      <c r="D25" s="55" t="s">
        <v>643</v>
      </c>
    </row>
    <row r="26" spans="3:4" x14ac:dyDescent="0.3">
      <c r="D26" s="55" t="s">
        <v>644</v>
      </c>
    </row>
    <row r="27" spans="3:4" x14ac:dyDescent="0.3">
      <c r="D27" s="55" t="s">
        <v>645</v>
      </c>
    </row>
    <row r="28" spans="3:4" x14ac:dyDescent="0.3">
      <c r="D28" s="55" t="s">
        <v>646</v>
      </c>
    </row>
    <row r="29" spans="3:4" x14ac:dyDescent="0.3">
      <c r="D29" s="55" t="s">
        <v>647</v>
      </c>
    </row>
    <row r="30" spans="3:4" x14ac:dyDescent="0.3">
      <c r="D30" s="55" t="s">
        <v>648</v>
      </c>
    </row>
    <row r="31" spans="3:4" x14ac:dyDescent="0.3">
      <c r="D31" s="55" t="s">
        <v>649</v>
      </c>
    </row>
    <row r="32" spans="3:4" x14ac:dyDescent="0.3">
      <c r="D32" s="55" t="s">
        <v>650</v>
      </c>
    </row>
    <row r="33" spans="3:8" x14ac:dyDescent="0.3">
      <c r="D33" s="55" t="s">
        <v>651</v>
      </c>
    </row>
    <row r="34" spans="3:8" x14ac:dyDescent="0.3">
      <c r="D34" s="55" t="s">
        <v>636</v>
      </c>
    </row>
    <row r="35" spans="3:8" x14ac:dyDescent="0.3">
      <c r="D35" s="55" t="s">
        <v>652</v>
      </c>
    </row>
    <row r="36" spans="3:8" x14ac:dyDescent="0.3">
      <c r="D36" s="55" t="s">
        <v>653</v>
      </c>
    </row>
    <row r="37" spans="3:8" x14ac:dyDescent="0.3">
      <c r="D37" s="55" t="s">
        <v>654</v>
      </c>
    </row>
    <row r="38" spans="3:8" x14ac:dyDescent="0.3">
      <c r="D38" s="55" t="s">
        <v>655</v>
      </c>
    </row>
    <row r="39" spans="3:8" x14ac:dyDescent="0.3">
      <c r="D39" s="55" t="s">
        <v>656</v>
      </c>
    </row>
    <row r="40" spans="3:8" x14ac:dyDescent="0.3">
      <c r="D40" s="55" t="s">
        <v>657</v>
      </c>
    </row>
    <row r="41" spans="3:8" x14ac:dyDescent="0.3">
      <c r="D41" s="55" t="s">
        <v>658</v>
      </c>
    </row>
    <row r="42" spans="3:8" x14ac:dyDescent="0.3">
      <c r="D42" s="117" t="s">
        <v>204</v>
      </c>
      <c r="E42" s="117"/>
      <c r="F42" s="117"/>
      <c r="G42" s="117"/>
      <c r="H42" s="117"/>
    </row>
    <row r="44" spans="3:8" x14ac:dyDescent="0.3">
      <c r="C44" s="118" t="s">
        <v>205</v>
      </c>
      <c r="D44" s="118" t="s">
        <v>206</v>
      </c>
    </row>
    <row r="45" spans="3:8" x14ac:dyDescent="0.3">
      <c r="D45" s="55" t="s">
        <v>207</v>
      </c>
    </row>
    <row r="46" spans="3:8" x14ac:dyDescent="0.3">
      <c r="D46" s="55" t="s">
        <v>208</v>
      </c>
    </row>
    <row r="47" spans="3:8" x14ac:dyDescent="0.3">
      <c r="D47" s="117" t="s">
        <v>204</v>
      </c>
      <c r="E47" s="117"/>
      <c r="F47" s="117"/>
      <c r="G47" s="117"/>
      <c r="H47" s="117"/>
    </row>
    <row r="49" spans="3:8" x14ac:dyDescent="0.3">
      <c r="C49" s="118" t="s">
        <v>209</v>
      </c>
      <c r="D49" s="118" t="s">
        <v>210</v>
      </c>
    </row>
    <row r="50" spans="3:8" x14ac:dyDescent="0.3">
      <c r="D50" s="55" t="s">
        <v>211</v>
      </c>
    </row>
    <row r="51" spans="3:8" x14ac:dyDescent="0.3">
      <c r="D51" s="55" t="s">
        <v>212</v>
      </c>
    </row>
    <row r="52" spans="3:8" x14ac:dyDescent="0.3">
      <c r="E52" s="55" t="s">
        <v>627</v>
      </c>
    </row>
    <row r="53" spans="3:8" x14ac:dyDescent="0.3">
      <c r="E53" s="55" t="s">
        <v>626</v>
      </c>
    </row>
    <row r="54" spans="3:8" x14ac:dyDescent="0.3">
      <c r="E54" s="55" t="s">
        <v>628</v>
      </c>
    </row>
    <row r="55" spans="3:8" x14ac:dyDescent="0.3">
      <c r="D55" s="55" t="s">
        <v>213</v>
      </c>
    </row>
    <row r="56" spans="3:8" x14ac:dyDescent="0.3">
      <c r="D56" s="117" t="s">
        <v>204</v>
      </c>
      <c r="E56" s="117"/>
      <c r="F56" s="117"/>
      <c r="G56" s="117"/>
      <c r="H56" s="117"/>
    </row>
    <row r="58" spans="3:8" x14ac:dyDescent="0.3">
      <c r="C58" s="118" t="s">
        <v>214</v>
      </c>
      <c r="D58" s="118" t="s">
        <v>215</v>
      </c>
    </row>
    <row r="59" spans="3:8" x14ac:dyDescent="0.3">
      <c r="D59" s="55" t="s">
        <v>216</v>
      </c>
    </row>
    <row r="60" spans="3:8" x14ac:dyDescent="0.3">
      <c r="D60" s="117" t="s">
        <v>204</v>
      </c>
      <c r="E60" s="117"/>
      <c r="F60" s="117"/>
      <c r="G60" s="117"/>
      <c r="H60" s="117"/>
    </row>
    <row r="62" spans="3:8" x14ac:dyDescent="0.3">
      <c r="C62" s="118" t="s">
        <v>217</v>
      </c>
      <c r="D62" s="118" t="s">
        <v>218</v>
      </c>
    </row>
    <row r="63" spans="3:8" x14ac:dyDescent="0.3">
      <c r="D63" s="55" t="s">
        <v>219</v>
      </c>
    </row>
    <row r="64" spans="3:8" x14ac:dyDescent="0.3">
      <c r="D64" s="55" t="s">
        <v>220</v>
      </c>
    </row>
    <row r="65" spans="1:8" x14ac:dyDescent="0.3">
      <c r="D65" s="55" t="s">
        <v>221</v>
      </c>
    </row>
    <row r="66" spans="1:8" x14ac:dyDescent="0.3">
      <c r="D66" s="117" t="s">
        <v>204</v>
      </c>
      <c r="E66" s="117"/>
      <c r="F66" s="117"/>
      <c r="G66" s="117"/>
      <c r="H66" s="117"/>
    </row>
    <row r="67" spans="1:8" ht="19.5" customHeight="1" x14ac:dyDescent="0.3"/>
    <row r="68" spans="1:8" ht="19.5" customHeight="1" x14ac:dyDescent="0.3">
      <c r="C68" s="118" t="s">
        <v>629</v>
      </c>
      <c r="D68" s="118" t="s">
        <v>630</v>
      </c>
      <c r="E68" s="118"/>
      <c r="F68" s="118"/>
    </row>
    <row r="69" spans="1:8" ht="19.5" customHeight="1" x14ac:dyDescent="0.3">
      <c r="D69" s="55" t="s">
        <v>631</v>
      </c>
    </row>
    <row r="70" spans="1:8" ht="19.5" customHeight="1" x14ac:dyDescent="0.3">
      <c r="D70" s="117" t="s">
        <v>204</v>
      </c>
    </row>
    <row r="71" spans="1:8" ht="19.5" customHeight="1" x14ac:dyDescent="0.3"/>
    <row r="72" spans="1:8" x14ac:dyDescent="0.3">
      <c r="A72" s="54" t="s">
        <v>222</v>
      </c>
      <c r="B72" s="109" t="s">
        <v>223</v>
      </c>
    </row>
    <row r="73" spans="1:8" x14ac:dyDescent="0.3">
      <c r="A73" s="54"/>
      <c r="B73" s="109" t="s">
        <v>198</v>
      </c>
    </row>
    <row r="74" spans="1:8" s="115" customFormat="1" ht="18" customHeight="1" x14ac:dyDescent="0.3">
      <c r="A74" s="52"/>
      <c r="B74" s="54" t="s">
        <v>224</v>
      </c>
      <c r="C74" s="115" t="s">
        <v>225</v>
      </c>
    </row>
    <row r="75" spans="1:8" x14ac:dyDescent="0.3">
      <c r="B75" s="116" t="s">
        <v>226</v>
      </c>
      <c r="C75" s="119" t="s">
        <v>227</v>
      </c>
      <c r="D75" s="119"/>
      <c r="E75" s="119"/>
      <c r="F75" s="119"/>
      <c r="G75" s="119"/>
    </row>
    <row r="76" spans="1:8" ht="24.75" customHeight="1" x14ac:dyDescent="0.3"/>
    <row r="77" spans="1:8" s="115" customFormat="1" ht="15" customHeight="1" x14ac:dyDescent="0.3">
      <c r="A77" s="54" t="s">
        <v>228</v>
      </c>
      <c r="B77" s="49" t="s">
        <v>229</v>
      </c>
    </row>
    <row r="78" spans="1:8" s="115" customFormat="1" ht="15.75" customHeight="1" x14ac:dyDescent="0.3">
      <c r="A78" s="52"/>
      <c r="B78" s="54" t="s">
        <v>230</v>
      </c>
      <c r="C78" s="47" t="s">
        <v>231</v>
      </c>
    </row>
    <row r="79" spans="1:8" x14ac:dyDescent="0.3">
      <c r="B79" s="116" t="s">
        <v>232</v>
      </c>
      <c r="C79" s="120" t="s">
        <v>233</v>
      </c>
      <c r="D79" s="120"/>
      <c r="E79" s="120"/>
      <c r="F79" s="120"/>
    </row>
    <row r="80" spans="1:8" ht="24.75" customHeight="1" x14ac:dyDescent="0.3"/>
    <row r="81" spans="1:7" x14ac:dyDescent="0.3">
      <c r="A81" s="54" t="s">
        <v>234</v>
      </c>
      <c r="B81" s="109" t="s">
        <v>235</v>
      </c>
    </row>
    <row r="82" spans="1:7" s="115" customFormat="1" ht="16.5" customHeight="1" x14ac:dyDescent="0.3">
      <c r="A82" s="52"/>
      <c r="B82" s="54" t="s">
        <v>236</v>
      </c>
      <c r="C82" s="47" t="s">
        <v>237</v>
      </c>
    </row>
    <row r="83" spans="1:7" s="115" customFormat="1" ht="14.25" customHeight="1" x14ac:dyDescent="0.3">
      <c r="A83" s="52"/>
      <c r="B83" s="54" t="s">
        <v>238</v>
      </c>
      <c r="C83" s="121" t="s">
        <v>227</v>
      </c>
      <c r="D83" s="121"/>
      <c r="E83" s="121"/>
      <c r="F83" s="121"/>
      <c r="G83" s="121"/>
    </row>
    <row r="84" spans="1:7" s="115" customFormat="1" ht="23.25" customHeight="1" x14ac:dyDescent="0.3">
      <c r="A84" s="52"/>
      <c r="B84" s="54"/>
      <c r="C84" s="122"/>
      <c r="D84" s="122"/>
      <c r="E84" s="122"/>
      <c r="F84" s="122"/>
      <c r="G84" s="122"/>
    </row>
  </sheetData>
  <sheetProtection algorithmName="SHA-512" hashValue="SzORSdk+6wb9ItBRERzWkb5O7V8LW6teKkYwY3Jk3i3BYu0d3+nEYrg/Vig7I04N4jbM/A2PerPkJggEIRV/FQ==" saltValue="EgW+pcUUlp3nJ5+mZE2xzg==" spinCount="100000" sheet="1" objects="1" scenarios="1"/>
  <mergeCells count="1">
    <mergeCell ref="A4:X4"/>
  </mergeCells>
  <printOptions horizontalCentered="1" verticalCentered="1"/>
  <pageMargins left="0.51180555555555596" right="0.51180555555555596" top="0.78749999999999998" bottom="0.78749999999999998" header="0.511811023622047" footer="0.511811023622047"/>
  <pageSetup paperSize="9" scale="43" fitToHeight="2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L209"/>
  <sheetViews>
    <sheetView showGridLines="0" view="pageBreakPreview" topLeftCell="B1" zoomScaleNormal="100" workbookViewId="0">
      <selection activeCell="G31" sqref="G31"/>
    </sheetView>
  </sheetViews>
  <sheetFormatPr defaultColWidth="8.6640625" defaultRowHeight="14.4" x14ac:dyDescent="0.3"/>
  <cols>
    <col min="1" max="1" width="9.88671875" style="1" customWidth="1"/>
    <col min="2" max="2" width="12.33203125" style="1" customWidth="1"/>
    <col min="3" max="3" width="39.33203125" style="1" customWidth="1"/>
    <col min="4" max="4" width="12" style="1" customWidth="1"/>
    <col min="5" max="5" width="15.6640625" style="1" customWidth="1"/>
    <col min="6" max="6" width="14.88671875" style="1" customWidth="1"/>
    <col min="7" max="7" width="14" style="1" customWidth="1"/>
    <col min="8" max="8" width="13.5546875" style="1" customWidth="1"/>
    <col min="9" max="9" width="13.44140625" style="1" customWidth="1"/>
    <col min="10" max="10" width="13.5546875" style="2" customWidth="1"/>
    <col min="11" max="11" width="18.33203125" style="2" customWidth="1"/>
    <col min="12" max="12" width="13.33203125" style="1" customWidth="1"/>
    <col min="13" max="13" width="15.109375" style="1" customWidth="1"/>
    <col min="14" max="14" width="9.6640625" style="1" customWidth="1"/>
    <col min="15" max="15" width="12.6640625" style="1" customWidth="1"/>
    <col min="16" max="19" width="13.5546875" style="1" customWidth="1"/>
    <col min="20" max="20" width="15" style="1" customWidth="1"/>
    <col min="21" max="256" width="9.109375" style="1" customWidth="1"/>
    <col min="257" max="257" width="9.88671875" style="1" customWidth="1"/>
    <col min="258" max="258" width="10.44140625" style="1" customWidth="1"/>
    <col min="259" max="259" width="39.33203125" style="1" customWidth="1"/>
    <col min="260" max="260" width="15" style="1" customWidth="1"/>
    <col min="261" max="261" width="11" style="1" customWidth="1"/>
    <col min="262" max="262" width="11.109375" style="1" customWidth="1"/>
    <col min="263" max="263" width="12.88671875" style="1" customWidth="1"/>
    <col min="264" max="264" width="13.109375" style="1" customWidth="1"/>
    <col min="265" max="268" width="14.109375" style="1" customWidth="1"/>
    <col min="269" max="269" width="14.44140625" style="1" customWidth="1"/>
    <col min="270" max="270" width="9.6640625" style="1" customWidth="1"/>
    <col min="271" max="271" width="12.6640625" style="1" customWidth="1"/>
    <col min="272" max="274" width="13.5546875" style="1" customWidth="1"/>
    <col min="275" max="275" width="12.109375" style="1" customWidth="1"/>
    <col min="276" max="276" width="15" style="1" customWidth="1"/>
    <col min="277" max="512" width="9.109375" style="1" customWidth="1"/>
    <col min="513" max="513" width="9.88671875" style="1" customWidth="1"/>
    <col min="514" max="514" width="10.44140625" style="1" customWidth="1"/>
    <col min="515" max="515" width="39.33203125" style="1" customWidth="1"/>
    <col min="516" max="516" width="15" style="1" customWidth="1"/>
    <col min="517" max="517" width="11" style="1" customWidth="1"/>
    <col min="518" max="518" width="11.109375" style="1" customWidth="1"/>
    <col min="519" max="519" width="12.88671875" style="1" customWidth="1"/>
    <col min="520" max="520" width="13.109375" style="1" customWidth="1"/>
    <col min="521" max="524" width="14.109375" style="1" customWidth="1"/>
    <col min="525" max="525" width="14.44140625" style="1" customWidth="1"/>
    <col min="526" max="526" width="9.6640625" style="1" customWidth="1"/>
    <col min="527" max="527" width="12.6640625" style="1" customWidth="1"/>
    <col min="528" max="530" width="13.5546875" style="1" customWidth="1"/>
    <col min="531" max="531" width="12.109375" style="1" customWidth="1"/>
    <col min="532" max="532" width="15" style="1" customWidth="1"/>
    <col min="533" max="768" width="9.109375" style="1" customWidth="1"/>
    <col min="769" max="769" width="9.88671875" style="1" customWidth="1"/>
    <col min="770" max="770" width="10.44140625" style="1" customWidth="1"/>
    <col min="771" max="771" width="39.33203125" style="1" customWidth="1"/>
    <col min="772" max="772" width="15" style="1" customWidth="1"/>
    <col min="773" max="773" width="11" style="1" customWidth="1"/>
    <col min="774" max="774" width="11.109375" style="1" customWidth="1"/>
    <col min="775" max="775" width="12.88671875" style="1" customWidth="1"/>
    <col min="776" max="776" width="13.109375" style="1" customWidth="1"/>
    <col min="777" max="780" width="14.109375" style="1" customWidth="1"/>
    <col min="781" max="781" width="14.44140625" style="1" customWidth="1"/>
    <col min="782" max="782" width="9.6640625" style="1" customWidth="1"/>
    <col min="783" max="783" width="12.6640625" style="1" customWidth="1"/>
    <col min="784" max="786" width="13.5546875" style="1" customWidth="1"/>
    <col min="787" max="787" width="12.109375" style="1" customWidth="1"/>
    <col min="788" max="788" width="15" style="1" customWidth="1"/>
    <col min="789" max="1024" width="9.109375" style="1" customWidth="1"/>
    <col min="1025" max="1026" width="9.88671875" style="1" customWidth="1"/>
  </cols>
  <sheetData>
    <row r="1" spans="1:22" x14ac:dyDescent="0.3">
      <c r="A1" s="123"/>
      <c r="B1" s="80" t="str">
        <f>INSTRUÇÕES!B1</f>
        <v>Tribunal Regional Federal da 6ª Região</v>
      </c>
      <c r="D1" s="55"/>
      <c r="E1" s="55"/>
      <c r="F1" s="55"/>
      <c r="G1" s="55"/>
      <c r="H1" s="55"/>
      <c r="I1" s="55"/>
      <c r="J1" s="124"/>
      <c r="K1" s="124"/>
      <c r="L1" s="55"/>
      <c r="M1" s="55"/>
      <c r="N1" s="55"/>
    </row>
    <row r="2" spans="1:22" x14ac:dyDescent="0.3">
      <c r="A2" s="123"/>
      <c r="B2" s="80" t="str">
        <f>INSTRUÇÕES!B2</f>
        <v>Seção Judiciária de Minas Gerais</v>
      </c>
      <c r="D2" s="55"/>
      <c r="E2" s="55"/>
      <c r="F2" s="55"/>
      <c r="G2" s="55"/>
      <c r="H2" s="55"/>
      <c r="I2" s="55"/>
      <c r="J2" s="124"/>
      <c r="K2" s="124"/>
      <c r="L2" s="55"/>
      <c r="M2" s="55"/>
      <c r="N2" s="55"/>
    </row>
    <row r="3" spans="1:22" ht="18" x14ac:dyDescent="0.3">
      <c r="A3" s="123"/>
      <c r="B3" s="80" t="str">
        <f>INSTRUÇÕES!B3</f>
        <v>Subseção Judiciária de Governador Valadares</v>
      </c>
      <c r="D3" s="55"/>
      <c r="E3" s="125" t="s">
        <v>239</v>
      </c>
      <c r="F3" s="55"/>
      <c r="G3" s="55"/>
      <c r="H3" s="55"/>
      <c r="I3" s="55"/>
      <c r="J3" s="124"/>
      <c r="K3" s="124"/>
      <c r="L3" s="55"/>
      <c r="M3" s="55"/>
      <c r="N3" s="55"/>
      <c r="S3" s="126"/>
    </row>
    <row r="4" spans="1:22" s="16" customFormat="1" ht="24.75" customHeight="1" x14ac:dyDescent="0.3">
      <c r="A4" s="127" t="str">
        <f>CONCATENATE("Sindicato utilizado - ",E17,". Vigência: ",E19,". Sendo a data base da categoria ",E20,". Com número de registro no MTE ",E18,".")</f>
        <v>Sindicato utilizado - SETHAC-GV e SEAC/MG. Vigência: 01/01/2024 à 31/12/2024. Sendo a data base da categoria 1º de Janeiro. Com número de registro no MTE MG000439/2024.</v>
      </c>
      <c r="B4" s="127"/>
      <c r="C4" s="128"/>
      <c r="D4" s="1"/>
      <c r="E4" s="127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</row>
    <row r="5" spans="1:22" s="16" customFormat="1" ht="66.75" customHeight="1" x14ac:dyDescent="0.3">
      <c r="A5" s="574" t="s">
        <v>240</v>
      </c>
      <c r="B5" s="574" t="s">
        <v>241</v>
      </c>
      <c r="C5" s="574" t="s">
        <v>25</v>
      </c>
      <c r="D5" s="574" t="s">
        <v>242</v>
      </c>
      <c r="E5" s="574" t="s">
        <v>243</v>
      </c>
      <c r="F5" s="574" t="s">
        <v>244</v>
      </c>
      <c r="G5" s="574" t="s">
        <v>245</v>
      </c>
      <c r="H5" s="574" t="s">
        <v>246</v>
      </c>
      <c r="I5" s="574" t="s">
        <v>247</v>
      </c>
      <c r="J5" s="574" t="s">
        <v>248</v>
      </c>
      <c r="K5" s="574" t="s">
        <v>249</v>
      </c>
      <c r="L5" s="574" t="s">
        <v>250</v>
      </c>
      <c r="M5" s="575" t="s">
        <v>251</v>
      </c>
      <c r="N5" s="130" t="s">
        <v>252</v>
      </c>
      <c r="O5" s="130" t="s">
        <v>253</v>
      </c>
      <c r="P5" s="130" t="s">
        <v>254</v>
      </c>
      <c r="Q5" s="130" t="s">
        <v>255</v>
      </c>
      <c r="R5" s="130" t="s">
        <v>625</v>
      </c>
      <c r="S5" s="130" t="s">
        <v>256</v>
      </c>
      <c r="T5" s="574" t="s">
        <v>257</v>
      </c>
      <c r="V5" s="132"/>
    </row>
    <row r="6" spans="1:22" s="16" customFormat="1" ht="28.8" x14ac:dyDescent="0.3">
      <c r="A6" s="574"/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5"/>
      <c r="N6" s="133" t="s">
        <v>258</v>
      </c>
      <c r="O6" s="134">
        <f>B7+B8+B9</f>
        <v>3</v>
      </c>
      <c r="P6" s="134">
        <f>B9</f>
        <v>1</v>
      </c>
      <c r="Q6" s="134">
        <f>B10</f>
        <v>1</v>
      </c>
      <c r="R6" s="134">
        <v>3</v>
      </c>
      <c r="S6" s="134">
        <f>B7+B8+B9</f>
        <v>3</v>
      </c>
      <c r="T6" s="574"/>
      <c r="V6" s="132"/>
    </row>
    <row r="7" spans="1:22" s="16" customFormat="1" ht="21.15" customHeight="1" x14ac:dyDescent="0.3">
      <c r="A7" s="579">
        <v>333903702</v>
      </c>
      <c r="B7" s="134">
        <v>1</v>
      </c>
      <c r="C7" s="135" t="s">
        <v>259</v>
      </c>
      <c r="D7" s="134">
        <v>200</v>
      </c>
      <c r="E7" s="136">
        <v>1541.23</v>
      </c>
      <c r="F7" s="137">
        <f t="shared" ref="F7:F13" si="0">ROUND(((E7/220)*D7),2)</f>
        <v>1401.12</v>
      </c>
      <c r="G7" s="138">
        <v>0.4</v>
      </c>
      <c r="H7" s="137">
        <f>G7*G30</f>
        <v>607.20000000000005</v>
      </c>
      <c r="I7" s="34">
        <v>0</v>
      </c>
      <c r="J7" s="34">
        <v>0</v>
      </c>
      <c r="K7" s="34"/>
      <c r="L7" s="34">
        <v>0</v>
      </c>
      <c r="M7" s="139">
        <f t="shared" ref="M7:M13" si="1">F7+H7+L7</f>
        <v>2008.32</v>
      </c>
      <c r="N7" s="137">
        <f>Uniformes!H14</f>
        <v>26.55</v>
      </c>
      <c r="O7" s="137">
        <f>ROUND((Materiais!K39/$O$6),2)</f>
        <v>686.08</v>
      </c>
      <c r="P7" s="137"/>
      <c r="Q7" s="139"/>
      <c r="R7" s="137">
        <f>ROUND(EPI!F10/Dados!R6,2)</f>
        <v>4.0999999999999996</v>
      </c>
      <c r="S7" s="137">
        <f>ROUND((Equipamentos!$G$11/$S$6),2)</f>
        <v>5.94</v>
      </c>
      <c r="T7" s="525">
        <v>2</v>
      </c>
      <c r="V7" s="132"/>
    </row>
    <row r="8" spans="1:22" s="16" customFormat="1" ht="21" customHeight="1" x14ac:dyDescent="0.3">
      <c r="A8" s="579"/>
      <c r="B8" s="134">
        <v>1</v>
      </c>
      <c r="C8" s="135" t="s">
        <v>260</v>
      </c>
      <c r="D8" s="134">
        <v>200</v>
      </c>
      <c r="E8" s="136">
        <v>1541.23</v>
      </c>
      <c r="F8" s="137">
        <f t="shared" si="0"/>
        <v>1401.12</v>
      </c>
      <c r="G8" s="140">
        <v>0</v>
      </c>
      <c r="H8" s="34">
        <v>0</v>
      </c>
      <c r="I8" s="34">
        <v>0</v>
      </c>
      <c r="J8" s="34">
        <v>0</v>
      </c>
      <c r="K8" s="34"/>
      <c r="L8" s="34">
        <v>0</v>
      </c>
      <c r="M8" s="139">
        <f t="shared" si="1"/>
        <v>1401.12</v>
      </c>
      <c r="N8" s="137">
        <f>Uniformes!H14</f>
        <v>26.55</v>
      </c>
      <c r="O8" s="137">
        <f>ROUND((Materiais!K39/$O$6),2)</f>
        <v>686.08</v>
      </c>
      <c r="P8" s="137"/>
      <c r="Q8" s="139"/>
      <c r="R8" s="137">
        <f>ROUND(EPI!F10/Dados!R6,2)</f>
        <v>4.0999999999999996</v>
      </c>
      <c r="S8" s="137">
        <f>ROUND((Equipamentos!$G$11/$S$6),2)</f>
        <v>5.94</v>
      </c>
      <c r="T8" s="525">
        <v>2</v>
      </c>
      <c r="V8" s="132"/>
    </row>
    <row r="9" spans="1:22" s="16" customFormat="1" ht="21.15" customHeight="1" x14ac:dyDescent="0.3">
      <c r="A9" s="579"/>
      <c r="B9" s="134">
        <v>1</v>
      </c>
      <c r="C9" s="135" t="s">
        <v>662</v>
      </c>
      <c r="D9" s="134">
        <v>200</v>
      </c>
      <c r="E9" s="136">
        <v>1541.23</v>
      </c>
      <c r="F9" s="137">
        <f t="shared" si="0"/>
        <v>1401.12</v>
      </c>
      <c r="G9" s="140">
        <v>0</v>
      </c>
      <c r="H9" s="34">
        <v>0</v>
      </c>
      <c r="I9" s="141">
        <v>0.12</v>
      </c>
      <c r="J9" s="723">
        <v>0.25</v>
      </c>
      <c r="K9" s="136">
        <f>F9</f>
        <v>1401.12</v>
      </c>
      <c r="L9" s="142">
        <f>ROUND((K9*I9*J9),2)</f>
        <v>42.03</v>
      </c>
      <c r="M9" s="139">
        <f t="shared" si="1"/>
        <v>1443.1499999999999</v>
      </c>
      <c r="N9" s="137">
        <f>Uniformes!H14+Uniformes!H21</f>
        <v>34.82</v>
      </c>
      <c r="O9" s="137">
        <f>ROUND((Materiais!K39/$O$6),2)</f>
        <v>686.08</v>
      </c>
      <c r="P9" s="137">
        <f>Materiais!K55/P6</f>
        <v>93.163333333333327</v>
      </c>
      <c r="Q9" s="139"/>
      <c r="R9" s="137">
        <f>ROUND(EPI!F10/Dados!R6,2)</f>
        <v>4.0999999999999996</v>
      </c>
      <c r="S9" s="137">
        <f>ROUND((Equipamentos!$G$11/$S$6),2)</f>
        <v>5.94</v>
      </c>
      <c r="T9" s="525">
        <v>2</v>
      </c>
      <c r="V9" s="132"/>
    </row>
    <row r="10" spans="1:22" ht="21" customHeight="1" x14ac:dyDescent="0.3">
      <c r="A10" s="579"/>
      <c r="B10" s="134">
        <v>1</v>
      </c>
      <c r="C10" s="135" t="s">
        <v>663</v>
      </c>
      <c r="D10" s="134">
        <v>150</v>
      </c>
      <c r="E10" s="136">
        <v>2302.14</v>
      </c>
      <c r="F10" s="137">
        <f t="shared" si="0"/>
        <v>1569.64</v>
      </c>
      <c r="G10" s="140">
        <v>0</v>
      </c>
      <c r="H10" s="34">
        <v>0</v>
      </c>
      <c r="I10" s="141">
        <v>0.12</v>
      </c>
      <c r="J10" s="723">
        <v>0.25</v>
      </c>
      <c r="K10" s="136">
        <f>F10</f>
        <v>1569.64</v>
      </c>
      <c r="L10" s="142">
        <f>ROUND((K10*I10*J10),2)</f>
        <v>47.09</v>
      </c>
      <c r="M10" s="139">
        <f t="shared" si="1"/>
        <v>1616.73</v>
      </c>
      <c r="N10" s="137">
        <f>Uniformes!H28</f>
        <v>33.14</v>
      </c>
      <c r="O10" s="143"/>
      <c r="P10" s="137"/>
      <c r="Q10" s="137">
        <f>Materiais!K67/$Q$6</f>
        <v>35.249166666666667</v>
      </c>
      <c r="R10" s="137">
        <f>EPI!F14</f>
        <v>5.43</v>
      </c>
      <c r="S10" s="137"/>
      <c r="T10" s="525">
        <v>2</v>
      </c>
    </row>
    <row r="11" spans="1:22" ht="21" customHeight="1" x14ac:dyDescent="0.3">
      <c r="A11" s="579">
        <v>333903701</v>
      </c>
      <c r="B11" s="134">
        <v>3</v>
      </c>
      <c r="C11" s="135" t="s">
        <v>262</v>
      </c>
      <c r="D11" s="134">
        <v>200</v>
      </c>
      <c r="E11" s="136">
        <v>2267.85</v>
      </c>
      <c r="F11" s="137">
        <f t="shared" si="0"/>
        <v>2061.6799999999998</v>
      </c>
      <c r="G11" s="140"/>
      <c r="H11" s="34"/>
      <c r="I11" s="523"/>
      <c r="J11" s="523"/>
      <c r="K11" s="524"/>
      <c r="L11" s="144"/>
      <c r="M11" s="139">
        <f t="shared" si="1"/>
        <v>2061.6799999999998</v>
      </c>
      <c r="N11" s="137">
        <f>Uniformes!H35</f>
        <v>42.25</v>
      </c>
      <c r="O11" s="143"/>
      <c r="P11" s="137"/>
      <c r="Q11" s="137"/>
      <c r="R11" s="137"/>
      <c r="S11" s="137"/>
      <c r="T11" s="525">
        <v>1</v>
      </c>
    </row>
    <row r="12" spans="1:22" ht="21" customHeight="1" x14ac:dyDescent="0.3">
      <c r="A12" s="579"/>
      <c r="B12" s="134">
        <v>1</v>
      </c>
      <c r="C12" s="135" t="s">
        <v>262</v>
      </c>
      <c r="D12" s="134">
        <v>150</v>
      </c>
      <c r="E12" s="136">
        <v>2267.85</v>
      </c>
      <c r="F12" s="137">
        <f t="shared" si="0"/>
        <v>1546.26</v>
      </c>
      <c r="G12" s="140"/>
      <c r="H12" s="34"/>
      <c r="I12" s="523"/>
      <c r="J12" s="523"/>
      <c r="K12" s="524"/>
      <c r="L12" s="144"/>
      <c r="M12" s="139">
        <f t="shared" si="1"/>
        <v>1546.26</v>
      </c>
      <c r="N12" s="137">
        <f>Uniformes!H35</f>
        <v>42.25</v>
      </c>
      <c r="O12" s="143"/>
      <c r="P12" s="137"/>
      <c r="Q12" s="137"/>
      <c r="R12" s="137"/>
      <c r="S12" s="137"/>
      <c r="T12" s="525">
        <v>1</v>
      </c>
    </row>
    <row r="13" spans="1:22" ht="20.100000000000001" customHeight="1" x14ac:dyDescent="0.3">
      <c r="A13" s="579"/>
      <c r="B13" s="134">
        <v>1</v>
      </c>
      <c r="C13" s="135" t="s">
        <v>262</v>
      </c>
      <c r="D13" s="134">
        <v>220</v>
      </c>
      <c r="E13" s="136">
        <v>2267.85</v>
      </c>
      <c r="F13" s="137">
        <f t="shared" si="0"/>
        <v>2267.85</v>
      </c>
      <c r="G13" s="140">
        <v>0</v>
      </c>
      <c r="H13" s="34">
        <v>0</v>
      </c>
      <c r="I13" s="34">
        <v>0</v>
      </c>
      <c r="J13" s="34">
        <v>0</v>
      </c>
      <c r="K13" s="34"/>
      <c r="L13" s="34">
        <v>0</v>
      </c>
      <c r="M13" s="139">
        <f t="shared" si="1"/>
        <v>2267.85</v>
      </c>
      <c r="N13" s="137">
        <f>Uniformes!H35</f>
        <v>42.25</v>
      </c>
      <c r="O13" s="137"/>
      <c r="P13" s="137"/>
      <c r="Q13" s="139"/>
      <c r="R13" s="139"/>
      <c r="S13" s="137"/>
      <c r="T13" s="525">
        <v>1</v>
      </c>
    </row>
    <row r="14" spans="1:22" ht="34.5" customHeight="1" x14ac:dyDescent="0.3">
      <c r="A14" s="129" t="s">
        <v>263</v>
      </c>
      <c r="B14" s="2"/>
      <c r="C14" s="2"/>
      <c r="D14" s="129"/>
      <c r="F14" s="129"/>
      <c r="G14" s="129" t="s">
        <v>264</v>
      </c>
      <c r="H14" s="129"/>
      <c r="I14" s="129"/>
      <c r="J14" s="129"/>
      <c r="K14" s="127"/>
      <c r="L14" s="145" t="s">
        <v>265</v>
      </c>
      <c r="M14" s="146">
        <f>SUM(M7:M13)</f>
        <v>12345.11</v>
      </c>
      <c r="N14" s="127"/>
      <c r="O14" s="127"/>
      <c r="P14" s="127"/>
      <c r="Q14" s="127"/>
      <c r="R14" s="127"/>
      <c r="S14" s="127"/>
      <c r="T14" s="127"/>
    </row>
    <row r="15" spans="1:22" ht="24.75" customHeight="1" x14ac:dyDescent="0.3">
      <c r="A15" s="576" t="s">
        <v>266</v>
      </c>
      <c r="B15" s="576"/>
      <c r="C15" s="576"/>
      <c r="D15" s="576"/>
      <c r="E15" s="576"/>
      <c r="F15" s="576"/>
      <c r="G15" s="576"/>
      <c r="N15" s="127"/>
      <c r="O15" s="127"/>
      <c r="P15" s="127"/>
      <c r="Q15" s="127"/>
      <c r="R15" s="127"/>
      <c r="S15" s="127"/>
      <c r="T15" s="127"/>
    </row>
    <row r="16" spans="1:22" ht="24" customHeight="1" x14ac:dyDescent="0.3">
      <c r="A16" s="18">
        <v>1</v>
      </c>
      <c r="B16" s="577" t="s">
        <v>267</v>
      </c>
      <c r="C16" s="577"/>
      <c r="D16" s="577"/>
      <c r="E16" s="578" t="s">
        <v>268</v>
      </c>
      <c r="F16" s="578"/>
      <c r="G16" s="578"/>
      <c r="H16" s="14" t="s">
        <v>269</v>
      </c>
      <c r="N16" s="127"/>
      <c r="O16" s="127"/>
      <c r="P16" s="127"/>
      <c r="Q16" s="127"/>
      <c r="R16" s="127"/>
      <c r="S16" s="127"/>
      <c r="T16" s="47"/>
    </row>
    <row r="17" spans="1:20" ht="24" customHeight="1" x14ac:dyDescent="0.3">
      <c r="A17" s="18">
        <v>2</v>
      </c>
      <c r="B17" s="577" t="s">
        <v>270</v>
      </c>
      <c r="C17" s="577"/>
      <c r="D17" s="577"/>
      <c r="E17" s="578" t="s">
        <v>271</v>
      </c>
      <c r="F17" s="578"/>
      <c r="G17" s="578"/>
      <c r="H17" s="14" t="s">
        <v>272</v>
      </c>
      <c r="N17" s="127"/>
      <c r="O17" s="127"/>
      <c r="P17" s="127"/>
      <c r="Q17" s="127"/>
      <c r="R17" s="127"/>
      <c r="S17" s="127"/>
      <c r="T17" s="47"/>
    </row>
    <row r="18" spans="1:20" ht="24" customHeight="1" x14ac:dyDescent="0.3">
      <c r="A18" s="18">
        <v>3</v>
      </c>
      <c r="B18" s="577" t="s">
        <v>273</v>
      </c>
      <c r="C18" s="577"/>
      <c r="D18" s="577"/>
      <c r="E18" s="578" t="s">
        <v>274</v>
      </c>
      <c r="F18" s="578"/>
      <c r="G18" s="578"/>
      <c r="H18" s="14" t="s">
        <v>275</v>
      </c>
      <c r="N18" s="127"/>
      <c r="O18" s="127"/>
      <c r="P18" s="127"/>
      <c r="Q18" s="127"/>
      <c r="R18" s="127"/>
      <c r="S18" s="127"/>
      <c r="T18" s="47"/>
    </row>
    <row r="19" spans="1:20" ht="24" customHeight="1" x14ac:dyDescent="0.3">
      <c r="A19" s="18">
        <v>4</v>
      </c>
      <c r="B19" s="577" t="s">
        <v>276</v>
      </c>
      <c r="C19" s="577"/>
      <c r="D19" s="577"/>
      <c r="E19" s="578" t="s">
        <v>277</v>
      </c>
      <c r="F19" s="578"/>
      <c r="G19" s="578"/>
      <c r="H19" s="14" t="s">
        <v>278</v>
      </c>
      <c r="N19" s="127"/>
      <c r="O19" s="127"/>
      <c r="P19" s="127"/>
      <c r="Q19" s="127"/>
      <c r="R19" s="127"/>
      <c r="S19" s="127"/>
      <c r="T19" s="47"/>
    </row>
    <row r="20" spans="1:20" ht="24" customHeight="1" x14ac:dyDescent="0.3">
      <c r="A20" s="18">
        <v>5</v>
      </c>
      <c r="B20" s="577" t="s">
        <v>279</v>
      </c>
      <c r="C20" s="577"/>
      <c r="D20" s="577"/>
      <c r="E20" s="578" t="s">
        <v>280</v>
      </c>
      <c r="F20" s="578"/>
      <c r="G20" s="578"/>
      <c r="H20" s="14" t="s">
        <v>281</v>
      </c>
      <c r="N20" s="127"/>
      <c r="O20" s="127"/>
      <c r="P20" s="127"/>
      <c r="Q20" s="127"/>
      <c r="R20" s="127"/>
      <c r="S20" s="127"/>
      <c r="T20" s="47"/>
    </row>
    <row r="21" spans="1:20" s="1" customFormat="1" ht="12.75" customHeight="1" x14ac:dyDescent="0.3">
      <c r="A21" s="148"/>
      <c r="H21" s="14"/>
    </row>
    <row r="22" spans="1:20" s="47" customFormat="1" ht="24.75" customHeight="1" x14ac:dyDescent="0.3">
      <c r="A22" s="576" t="s">
        <v>282</v>
      </c>
      <c r="B22" s="576"/>
      <c r="C22" s="576"/>
      <c r="D22" s="576"/>
      <c r="E22" s="576"/>
      <c r="F22" s="576"/>
      <c r="G22" s="576"/>
      <c r="H22" s="14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</row>
    <row r="23" spans="1:20" s="1" customFormat="1" ht="24" customHeight="1" x14ac:dyDescent="0.3">
      <c r="A23" s="18" t="s">
        <v>283</v>
      </c>
      <c r="B23" s="577" t="s">
        <v>284</v>
      </c>
      <c r="C23" s="577"/>
      <c r="D23" s="577"/>
      <c r="E23" s="577"/>
      <c r="F23" s="577"/>
      <c r="G23" s="138">
        <f>Encargos!C57</f>
        <v>0.79049999999999998</v>
      </c>
      <c r="H23" s="14"/>
    </row>
    <row r="24" spans="1:20" s="1" customFormat="1" ht="12.75" customHeight="1" x14ac:dyDescent="0.3">
      <c r="A24" s="148"/>
      <c r="G24" s="2"/>
      <c r="H24" s="14"/>
    </row>
    <row r="25" spans="1:20" s="1" customFormat="1" ht="24.75" customHeight="1" x14ac:dyDescent="0.3">
      <c r="A25" s="74">
        <v>1</v>
      </c>
      <c r="B25" s="577" t="s">
        <v>285</v>
      </c>
      <c r="C25" s="577"/>
      <c r="D25" s="577"/>
      <c r="E25" s="577"/>
      <c r="F25" s="577"/>
      <c r="G25" s="149">
        <f>G26*G27</f>
        <v>0.06</v>
      </c>
      <c r="H25" s="14"/>
    </row>
    <row r="26" spans="1:20" s="1" customFormat="1" ht="24.75" customHeight="1" x14ac:dyDescent="0.3">
      <c r="A26" s="74">
        <v>2</v>
      </c>
      <c r="B26" s="577" t="s">
        <v>286</v>
      </c>
      <c r="C26" s="577"/>
      <c r="D26" s="577"/>
      <c r="E26" s="577"/>
      <c r="F26" s="577"/>
      <c r="G26" s="141">
        <v>0.03</v>
      </c>
      <c r="H26" s="14" t="s">
        <v>287</v>
      </c>
    </row>
    <row r="27" spans="1:20" s="1" customFormat="1" ht="24.75" customHeight="1" x14ac:dyDescent="0.3">
      <c r="A27" s="74">
        <v>3</v>
      </c>
      <c r="B27" s="577" t="s">
        <v>288</v>
      </c>
      <c r="C27" s="577"/>
      <c r="D27" s="577"/>
      <c r="E27" s="577"/>
      <c r="F27" s="577"/>
      <c r="G27" s="150">
        <v>2</v>
      </c>
      <c r="H27" s="14" t="s">
        <v>289</v>
      </c>
    </row>
    <row r="28" spans="1:20" s="1" customFormat="1" ht="12.75" customHeight="1" x14ac:dyDescent="0.3">
      <c r="A28" s="148"/>
      <c r="B28" s="127"/>
      <c r="C28" s="127"/>
      <c r="D28" s="127"/>
      <c r="E28" s="127"/>
      <c r="F28" s="127"/>
      <c r="H28" s="14"/>
    </row>
    <row r="29" spans="1:20" s="1" customFormat="1" ht="24.75" customHeight="1" x14ac:dyDescent="0.3">
      <c r="A29" s="576" t="s">
        <v>290</v>
      </c>
      <c r="B29" s="576"/>
      <c r="C29" s="576"/>
      <c r="D29" s="576"/>
      <c r="E29" s="576"/>
      <c r="F29" s="576"/>
      <c r="G29" s="576"/>
      <c r="H29" s="14"/>
    </row>
    <row r="30" spans="1:20" s="1" customFormat="1" ht="24.75" customHeight="1" x14ac:dyDescent="0.3">
      <c r="A30" s="74">
        <v>1</v>
      </c>
      <c r="B30" s="577" t="s">
        <v>635</v>
      </c>
      <c r="C30" s="577"/>
      <c r="D30" s="577"/>
      <c r="E30" s="577"/>
      <c r="F30" s="577"/>
      <c r="G30" s="136">
        <v>1518</v>
      </c>
      <c r="H30" s="14" t="s">
        <v>291</v>
      </c>
    </row>
    <row r="31" spans="1:20" s="1" customFormat="1" ht="12.75" customHeight="1" x14ac:dyDescent="0.3">
      <c r="A31" s="151"/>
      <c r="B31" s="152"/>
      <c r="C31" s="152"/>
      <c r="D31" s="152"/>
      <c r="E31" s="152"/>
      <c r="F31" s="152"/>
      <c r="G31" s="153"/>
      <c r="H31" s="14"/>
    </row>
    <row r="32" spans="1:20" s="47" customFormat="1" ht="24.75" customHeight="1" x14ac:dyDescent="0.3">
      <c r="A32" s="576" t="s">
        <v>292</v>
      </c>
      <c r="B32" s="576"/>
      <c r="C32" s="576"/>
      <c r="D32" s="576"/>
      <c r="E32" s="576"/>
      <c r="F32" s="576"/>
      <c r="G32" s="576"/>
      <c r="H32" s="14"/>
      <c r="I32" s="1"/>
      <c r="J32" s="1"/>
      <c r="K32" s="127"/>
      <c r="L32" s="127"/>
      <c r="M32" s="127"/>
      <c r="N32" s="127"/>
      <c r="O32" s="127"/>
      <c r="P32" s="127"/>
      <c r="Q32" s="127"/>
      <c r="R32" s="127"/>
      <c r="S32" s="127"/>
    </row>
    <row r="33" spans="1:19" s="1" customFormat="1" ht="26.25" customHeight="1" x14ac:dyDescent="0.3">
      <c r="A33" s="18">
        <v>1</v>
      </c>
      <c r="B33" s="577" t="s">
        <v>293</v>
      </c>
      <c r="C33" s="577"/>
      <c r="D33" s="577"/>
      <c r="E33" s="577"/>
      <c r="F33" s="577"/>
      <c r="G33" s="154">
        <v>2.84</v>
      </c>
      <c r="H33" s="14" t="s">
        <v>294</v>
      </c>
    </row>
    <row r="34" spans="1:19" s="1" customFormat="1" ht="26.25" customHeight="1" x14ac:dyDescent="0.3">
      <c r="A34" s="155">
        <v>2</v>
      </c>
      <c r="B34" s="577" t="s">
        <v>295</v>
      </c>
      <c r="C34" s="577"/>
      <c r="D34" s="577"/>
      <c r="E34" s="577"/>
      <c r="F34" s="577"/>
      <c r="G34" s="150">
        <v>47.15</v>
      </c>
      <c r="H34" s="14" t="s">
        <v>294</v>
      </c>
    </row>
    <row r="35" spans="1:19" s="1" customFormat="1" ht="26.25" customHeight="1" x14ac:dyDescent="0.3">
      <c r="A35" s="580">
        <v>3</v>
      </c>
      <c r="B35" s="581" t="s">
        <v>296</v>
      </c>
      <c r="C35" s="581"/>
      <c r="D35" s="577" t="s">
        <v>297</v>
      </c>
      <c r="E35" s="577"/>
      <c r="F35" s="577"/>
      <c r="G35" s="150">
        <v>4.25</v>
      </c>
      <c r="H35" s="14" t="s">
        <v>298</v>
      </c>
      <c r="I35" s="127"/>
      <c r="O35" s="14"/>
    </row>
    <row r="36" spans="1:19" s="1" customFormat="1" ht="26.25" customHeight="1" x14ac:dyDescent="0.3">
      <c r="A36" s="580"/>
      <c r="B36" s="581"/>
      <c r="C36" s="581"/>
      <c r="D36" s="577" t="s">
        <v>299</v>
      </c>
      <c r="E36" s="577"/>
      <c r="F36" s="577"/>
      <c r="G36" s="150">
        <v>2</v>
      </c>
      <c r="H36" s="14" t="s">
        <v>300</v>
      </c>
      <c r="I36" s="127"/>
      <c r="O36" s="14"/>
    </row>
    <row r="37" spans="1:19" s="1" customFormat="1" ht="26.25" customHeight="1" x14ac:dyDescent="0.3">
      <c r="A37" s="580"/>
      <c r="B37" s="581"/>
      <c r="C37" s="581"/>
      <c r="D37" s="577" t="s">
        <v>301</v>
      </c>
      <c r="E37" s="577"/>
      <c r="F37" s="577"/>
      <c r="G37" s="156">
        <v>22</v>
      </c>
      <c r="H37" s="14" t="s">
        <v>302</v>
      </c>
      <c r="I37" s="127"/>
      <c r="O37" s="14"/>
    </row>
    <row r="38" spans="1:19" ht="26.25" customHeight="1" x14ac:dyDescent="0.3">
      <c r="A38" s="580"/>
      <c r="B38" s="581"/>
      <c r="C38" s="581"/>
      <c r="D38" s="582" t="s">
        <v>303</v>
      </c>
      <c r="E38" s="582"/>
      <c r="F38" s="582"/>
      <c r="G38" s="157">
        <v>0.06</v>
      </c>
      <c r="H38" s="14" t="s">
        <v>304</v>
      </c>
      <c r="O38" s="14"/>
    </row>
    <row r="39" spans="1:19" s="1" customFormat="1" ht="26.25" customHeight="1" x14ac:dyDescent="0.3">
      <c r="A39" s="580">
        <v>4</v>
      </c>
      <c r="B39" s="581" t="s">
        <v>305</v>
      </c>
      <c r="C39" s="581"/>
      <c r="D39" s="577" t="s">
        <v>306</v>
      </c>
      <c r="E39" s="577"/>
      <c r="F39" s="577"/>
      <c r="G39" s="150">
        <v>27.24</v>
      </c>
      <c r="H39" s="14" t="s">
        <v>307</v>
      </c>
      <c r="I39" s="127"/>
    </row>
    <row r="40" spans="1:19" ht="26.25" customHeight="1" x14ac:dyDescent="0.3">
      <c r="A40" s="580"/>
      <c r="B40" s="581"/>
      <c r="C40" s="581"/>
      <c r="D40" s="577" t="s">
        <v>301</v>
      </c>
      <c r="E40" s="577"/>
      <c r="F40" s="577"/>
      <c r="G40" s="156">
        <f>G37</f>
        <v>22</v>
      </c>
      <c r="H40" s="14" t="s">
        <v>302</v>
      </c>
      <c r="I40" s="3"/>
      <c r="J40" s="3"/>
      <c r="K40" s="127"/>
      <c r="O40" s="14"/>
      <c r="Q40" s="14"/>
      <c r="R40" s="14"/>
    </row>
    <row r="41" spans="1:19" s="1" customFormat="1" ht="26.25" customHeight="1" x14ac:dyDescent="0.3">
      <c r="A41" s="580"/>
      <c r="B41" s="581"/>
      <c r="C41" s="581"/>
      <c r="D41" s="582" t="s">
        <v>303</v>
      </c>
      <c r="E41" s="582"/>
      <c r="F41" s="582"/>
      <c r="G41" s="141">
        <v>0.2</v>
      </c>
      <c r="H41" s="14" t="s">
        <v>304</v>
      </c>
      <c r="O41" s="14"/>
    </row>
    <row r="42" spans="1:19" s="1" customFormat="1" ht="26.25" customHeight="1" x14ac:dyDescent="0.3">
      <c r="A42" s="18">
        <v>5</v>
      </c>
      <c r="B42" s="583" t="s">
        <v>308</v>
      </c>
      <c r="C42" s="583"/>
      <c r="D42" s="583"/>
      <c r="E42" s="583"/>
      <c r="F42" s="583"/>
      <c r="G42" s="150">
        <v>0</v>
      </c>
      <c r="H42" s="14" t="s">
        <v>309</v>
      </c>
      <c r="O42" s="14"/>
    </row>
    <row r="43" spans="1:19" s="1" customFormat="1" ht="26.25" customHeight="1" x14ac:dyDescent="0.3">
      <c r="A43" s="18">
        <v>6</v>
      </c>
      <c r="B43" s="583" t="s">
        <v>308</v>
      </c>
      <c r="C43" s="583"/>
      <c r="D43" s="583"/>
      <c r="E43" s="583"/>
      <c r="F43" s="583"/>
      <c r="G43" s="150">
        <v>0</v>
      </c>
      <c r="H43" s="14" t="s">
        <v>309</v>
      </c>
    </row>
    <row r="44" spans="1:19" s="1" customFormat="1" ht="12.75" customHeight="1" x14ac:dyDescent="0.3">
      <c r="H44" s="14"/>
    </row>
    <row r="45" spans="1:19" s="47" customFormat="1" ht="24.75" customHeight="1" x14ac:dyDescent="0.3">
      <c r="A45" s="576" t="s">
        <v>310</v>
      </c>
      <c r="B45" s="576"/>
      <c r="C45" s="576"/>
      <c r="D45" s="576"/>
      <c r="E45" s="576"/>
      <c r="F45" s="576"/>
      <c r="G45" s="576"/>
      <c r="H45" s="14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</row>
    <row r="46" spans="1:19" s="1" customFormat="1" ht="24.75" customHeight="1" x14ac:dyDescent="0.3">
      <c r="A46" s="18">
        <v>1</v>
      </c>
      <c r="B46" s="577" t="s">
        <v>311</v>
      </c>
      <c r="C46" s="577"/>
      <c r="D46" s="577"/>
      <c r="E46" s="577"/>
      <c r="F46" s="577"/>
      <c r="G46" s="141">
        <v>0.03</v>
      </c>
      <c r="H46" s="14" t="s">
        <v>312</v>
      </c>
    </row>
    <row r="47" spans="1:19" s="1" customFormat="1" ht="24.75" customHeight="1" x14ac:dyDescent="0.3">
      <c r="A47" s="18">
        <v>2</v>
      </c>
      <c r="B47" s="577" t="s">
        <v>313</v>
      </c>
      <c r="C47" s="577"/>
      <c r="D47" s="577"/>
      <c r="E47" s="577"/>
      <c r="F47" s="577"/>
      <c r="G47" s="141">
        <v>6.7900000000000002E-2</v>
      </c>
      <c r="H47" s="14" t="s">
        <v>312</v>
      </c>
    </row>
    <row r="48" spans="1:19" s="1" customFormat="1" ht="12.75" customHeight="1" x14ac:dyDescent="0.3">
      <c r="H48" s="14"/>
    </row>
    <row r="49" spans="1:19" s="47" customFormat="1" ht="24.75" customHeight="1" x14ac:dyDescent="0.3">
      <c r="A49" s="576" t="s">
        <v>314</v>
      </c>
      <c r="B49" s="576"/>
      <c r="C49" s="576"/>
      <c r="D49" s="576"/>
      <c r="E49" s="576"/>
      <c r="F49" s="576"/>
      <c r="G49" s="576"/>
      <c r="H49" s="14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</row>
    <row r="50" spans="1:19" s="47" customFormat="1" ht="24.75" customHeight="1" x14ac:dyDescent="0.3">
      <c r="A50" s="575" t="s">
        <v>315</v>
      </c>
      <c r="B50" s="576" t="str">
        <f>IF(F53="LUCRO REAL","INFORMAR ALÍQUOTAS MÉDIAS DE RECOLHIMENTO DOS ÚLTIMOS 12 (DOZE) MESES.",IF(F53="LUCRO PRESUMIDO","ALÍQUOTAS FIXAS - PIS: 0,65%; COFINS: 3,00%.",IF(F53="SIMPLES NACIONAL","NECESSÁRIO COMUNICAR A EXCLUSÃO DO SIMPLES NACIONAL - REGIME DE CONTRATAÇÃO INCOMPATÍVEL COM A LEI 123/2003. DEFINIR OUTRO REGIME TRIBUTÁRIO PARA O PRESENTE PROCESSO, OU APRESENTAR AS JUSTIFICATIVAS LEGAIS.","INFORMAR ALÍQUOTA E APRESENTAR AS JUSTIFICATIVAS LEGAIS.")))</f>
        <v>INFORMAR ALÍQUOTAS MÉDIAS DE RECOLHIMENTO DOS ÚLTIMOS 12 (DOZE) MESES.</v>
      </c>
      <c r="C50" s="576"/>
      <c r="D50" s="576"/>
      <c r="E50" s="576"/>
      <c r="F50" s="576"/>
      <c r="G50" s="576"/>
      <c r="H50" s="14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</row>
    <row r="51" spans="1:19" s="47" customFormat="1" ht="24.75" customHeight="1" x14ac:dyDescent="0.3">
      <c r="A51" s="575"/>
      <c r="B51" s="575"/>
      <c r="C51" s="576"/>
      <c r="D51" s="576"/>
      <c r="E51" s="576"/>
      <c r="F51" s="576"/>
      <c r="G51" s="576"/>
      <c r="H51" s="14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</row>
    <row r="52" spans="1:19" s="47" customFormat="1" ht="24.75" customHeight="1" x14ac:dyDescent="0.3">
      <c r="A52" s="575"/>
      <c r="B52" s="575"/>
      <c r="C52" s="576"/>
      <c r="D52" s="576"/>
      <c r="E52" s="576"/>
      <c r="F52" s="576"/>
      <c r="G52" s="576"/>
      <c r="H52" s="14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</row>
    <row r="53" spans="1:19" s="1" customFormat="1" ht="24" customHeight="1" x14ac:dyDescent="0.3">
      <c r="A53" s="18">
        <v>1</v>
      </c>
      <c r="B53" s="577" t="s">
        <v>316</v>
      </c>
      <c r="C53" s="577"/>
      <c r="D53" s="577"/>
      <c r="E53" s="577"/>
      <c r="F53" s="578" t="s">
        <v>317</v>
      </c>
      <c r="G53" s="578"/>
      <c r="H53" s="14" t="s">
        <v>318</v>
      </c>
      <c r="S53" s="158"/>
    </row>
    <row r="54" spans="1:19" s="1" customFormat="1" ht="24" customHeight="1" x14ac:dyDescent="0.3">
      <c r="A54" s="18">
        <v>2</v>
      </c>
      <c r="B54" s="577" t="s">
        <v>319</v>
      </c>
      <c r="C54" s="577"/>
      <c r="D54" s="577"/>
      <c r="E54" s="577"/>
      <c r="F54" s="577"/>
      <c r="G54" s="141">
        <v>7.5999999999999998E-2</v>
      </c>
      <c r="H54" s="14" t="s">
        <v>320</v>
      </c>
    </row>
    <row r="55" spans="1:19" s="1" customFormat="1" ht="24" customHeight="1" x14ac:dyDescent="0.3">
      <c r="A55" s="18">
        <v>3</v>
      </c>
      <c r="B55" s="577" t="s">
        <v>321</v>
      </c>
      <c r="C55" s="577"/>
      <c r="D55" s="577"/>
      <c r="E55" s="577"/>
      <c r="F55" s="577"/>
      <c r="G55" s="141">
        <v>1.6500000000000001E-2</v>
      </c>
      <c r="H55" s="14" t="s">
        <v>320</v>
      </c>
    </row>
    <row r="56" spans="1:19" s="1" customFormat="1" ht="24" customHeight="1" x14ac:dyDescent="0.3">
      <c r="A56" s="18">
        <v>4</v>
      </c>
      <c r="B56" s="577" t="s">
        <v>322</v>
      </c>
      <c r="C56" s="577"/>
      <c r="D56" s="577"/>
      <c r="E56" s="577"/>
      <c r="F56" s="577"/>
      <c r="G56" s="141">
        <v>0.05</v>
      </c>
      <c r="H56" s="14" t="s">
        <v>323</v>
      </c>
    </row>
    <row r="57" spans="1:19" s="1" customFormat="1" ht="24" customHeight="1" x14ac:dyDescent="0.3">
      <c r="A57" s="18">
        <v>5</v>
      </c>
      <c r="B57" s="583" t="s">
        <v>308</v>
      </c>
      <c r="C57" s="583"/>
      <c r="D57" s="583"/>
      <c r="E57" s="583"/>
      <c r="F57" s="583"/>
      <c r="G57" s="141">
        <v>0</v>
      </c>
      <c r="H57" s="14" t="s">
        <v>324</v>
      </c>
    </row>
    <row r="58" spans="1:19" s="1" customFormat="1" ht="21.75" customHeight="1" x14ac:dyDescent="0.3">
      <c r="A58" s="18">
        <v>6</v>
      </c>
      <c r="B58" s="577" t="s">
        <v>325</v>
      </c>
      <c r="C58" s="577"/>
      <c r="D58" s="577"/>
      <c r="E58" s="577"/>
      <c r="F58" s="577"/>
      <c r="G58" s="138">
        <f>SUM(G54:G57)</f>
        <v>0.14250000000000002</v>
      </c>
      <c r="H58" s="14"/>
    </row>
    <row r="59" spans="1:19" ht="12.75" customHeight="1" x14ac:dyDescent="0.3"/>
    <row r="60" spans="1:19" s="1" customFormat="1" x14ac:dyDescent="0.3"/>
    <row r="62" spans="1:19" ht="66.75" hidden="1" customHeight="1" x14ac:dyDescent="0.3">
      <c r="A62" s="575" t="s">
        <v>326</v>
      </c>
      <c r="B62" s="575"/>
      <c r="C62" s="575"/>
      <c r="D62" s="575"/>
      <c r="E62" s="575"/>
      <c r="F62" s="575"/>
      <c r="G62" s="575"/>
      <c r="H62" s="575"/>
      <c r="I62" s="147" t="s">
        <v>327</v>
      </c>
      <c r="J62" s="131" t="s">
        <v>328</v>
      </c>
      <c r="K62" s="147" t="s">
        <v>329</v>
      </c>
      <c r="L62" s="147" t="s">
        <v>327</v>
      </c>
      <c r="M62" s="147" t="s">
        <v>330</v>
      </c>
      <c r="N62" s="575" t="s">
        <v>331</v>
      </c>
      <c r="O62" s="575"/>
      <c r="P62" s="575" t="s">
        <v>332</v>
      </c>
      <c r="Q62" s="575"/>
      <c r="R62" s="131"/>
      <c r="S62" s="131" t="s">
        <v>333</v>
      </c>
    </row>
    <row r="63" spans="1:19" ht="15" hidden="1" customHeight="1" x14ac:dyDescent="0.3">
      <c r="A63" s="580" t="s">
        <v>334</v>
      </c>
      <c r="B63" s="580"/>
      <c r="C63" s="18" t="s">
        <v>335</v>
      </c>
      <c r="D63" s="159">
        <f>IPCA!G23</f>
        <v>0</v>
      </c>
      <c r="E63" s="577" t="s">
        <v>336</v>
      </c>
      <c r="F63" s="577"/>
      <c r="G63" s="577"/>
      <c r="H63" s="577"/>
      <c r="I63" s="160" t="s">
        <v>337</v>
      </c>
      <c r="J63" s="160" t="s">
        <v>337</v>
      </c>
      <c r="K63" s="160" t="s">
        <v>337</v>
      </c>
      <c r="L63" s="160" t="s">
        <v>337</v>
      </c>
      <c r="M63" s="160" t="s">
        <v>337</v>
      </c>
      <c r="N63" s="584">
        <f>ROUND((100%+D63),2)</f>
        <v>1</v>
      </c>
      <c r="O63" s="584"/>
      <c r="P63" s="585"/>
      <c r="Q63" s="585"/>
      <c r="R63" s="510"/>
      <c r="S63" s="161"/>
    </row>
    <row r="64" spans="1:19" ht="15" hidden="1" customHeight="1" x14ac:dyDescent="0.3">
      <c r="A64" s="580" t="s">
        <v>338</v>
      </c>
      <c r="B64" s="580"/>
      <c r="C64" s="18" t="s">
        <v>335</v>
      </c>
      <c r="D64" s="159">
        <f>IPCA!N23</f>
        <v>0</v>
      </c>
      <c r="E64" s="577" t="s">
        <v>336</v>
      </c>
      <c r="F64" s="577"/>
      <c r="G64" s="577"/>
      <c r="H64" s="577"/>
      <c r="I64" s="160" t="s">
        <v>337</v>
      </c>
      <c r="J64" s="160" t="s">
        <v>337</v>
      </c>
      <c r="K64" s="160" t="s">
        <v>337</v>
      </c>
      <c r="L64" s="160" t="s">
        <v>337</v>
      </c>
      <c r="M64" s="160" t="s">
        <v>337</v>
      </c>
      <c r="N64" s="584">
        <f>ROUND((100%+D64),2)</f>
        <v>1</v>
      </c>
      <c r="O64" s="584"/>
      <c r="P64" s="585"/>
      <c r="Q64" s="585"/>
      <c r="R64" s="510"/>
      <c r="S64" s="161"/>
    </row>
    <row r="65" spans="1:19" ht="15" hidden="1" customHeight="1" x14ac:dyDescent="0.3">
      <c r="A65" s="580" t="s">
        <v>339</v>
      </c>
      <c r="B65" s="580"/>
      <c r="C65" s="18" t="s">
        <v>335</v>
      </c>
      <c r="D65" s="159">
        <f>IPCA!U23</f>
        <v>0</v>
      </c>
      <c r="E65" s="577" t="s">
        <v>336</v>
      </c>
      <c r="F65" s="577"/>
      <c r="G65" s="577"/>
      <c r="H65" s="577"/>
      <c r="I65" s="160" t="s">
        <v>337</v>
      </c>
      <c r="J65" s="160" t="s">
        <v>337</v>
      </c>
      <c r="K65" s="160" t="s">
        <v>337</v>
      </c>
      <c r="L65" s="160" t="s">
        <v>337</v>
      </c>
      <c r="M65" s="160" t="s">
        <v>337</v>
      </c>
      <c r="N65" s="584">
        <f>ROUND((100%+D65),2)</f>
        <v>1</v>
      </c>
      <c r="O65" s="584"/>
      <c r="P65" s="585"/>
      <c r="Q65" s="585"/>
      <c r="R65" s="510"/>
      <c r="S65" s="161"/>
    </row>
    <row r="66" spans="1:19" ht="15" hidden="1" customHeight="1" x14ac:dyDescent="0.3">
      <c r="A66" s="580" t="s">
        <v>340</v>
      </c>
      <c r="B66" s="580"/>
      <c r="C66" s="18" t="s">
        <v>335</v>
      </c>
      <c r="D66" s="159">
        <f>IPCA!AB23</f>
        <v>0</v>
      </c>
      <c r="E66" s="577" t="s">
        <v>336</v>
      </c>
      <c r="F66" s="577"/>
      <c r="G66" s="577"/>
      <c r="H66" s="577"/>
      <c r="I66" s="160" t="s">
        <v>337</v>
      </c>
      <c r="J66" s="160" t="s">
        <v>337</v>
      </c>
      <c r="K66" s="160" t="s">
        <v>337</v>
      </c>
      <c r="L66" s="160" t="s">
        <v>337</v>
      </c>
      <c r="M66" s="160" t="s">
        <v>337</v>
      </c>
      <c r="N66" s="584">
        <f>ROUND((100%+D66),2)</f>
        <v>1</v>
      </c>
      <c r="O66" s="584"/>
      <c r="P66" s="585"/>
      <c r="Q66" s="585"/>
      <c r="R66" s="510"/>
      <c r="S66" s="161"/>
    </row>
    <row r="67" spans="1:19" ht="15" hidden="1" customHeight="1" x14ac:dyDescent="0.3">
      <c r="A67" s="580" t="s">
        <v>341</v>
      </c>
      <c r="B67" s="580"/>
      <c r="C67" s="18" t="s">
        <v>335</v>
      </c>
      <c r="D67" s="159">
        <f>IPCA!AI23</f>
        <v>0</v>
      </c>
      <c r="E67" s="577" t="s">
        <v>336</v>
      </c>
      <c r="F67" s="577"/>
      <c r="G67" s="577"/>
      <c r="H67" s="577"/>
      <c r="I67" s="160" t="s">
        <v>337</v>
      </c>
      <c r="J67" s="160" t="s">
        <v>337</v>
      </c>
      <c r="K67" s="160" t="s">
        <v>337</v>
      </c>
      <c r="L67" s="160" t="s">
        <v>337</v>
      </c>
      <c r="M67" s="160" t="s">
        <v>337</v>
      </c>
      <c r="N67" s="584">
        <f>ROUND((100%+D67),2)</f>
        <v>1</v>
      </c>
      <c r="O67" s="584"/>
      <c r="P67" s="585"/>
      <c r="Q67" s="585"/>
      <c r="R67" s="510"/>
      <c r="S67" s="161"/>
    </row>
    <row r="68" spans="1:19" hidden="1" x14ac:dyDescent="0.3">
      <c r="B68" s="162"/>
      <c r="C68" s="162"/>
      <c r="D68" s="162"/>
      <c r="E68" s="162"/>
    </row>
    <row r="69" spans="1:19" ht="30" hidden="1" customHeight="1" x14ac:dyDescent="0.3">
      <c r="A69" s="575" t="s">
        <v>342</v>
      </c>
      <c r="B69" s="575"/>
      <c r="C69" s="575"/>
      <c r="D69" s="131" t="s">
        <v>343</v>
      </c>
      <c r="E69" s="162"/>
    </row>
    <row r="70" spans="1:19" ht="15.75" hidden="1" customHeight="1" x14ac:dyDescent="0.3">
      <c r="A70" s="575"/>
      <c r="B70" s="575"/>
      <c r="C70" s="575"/>
      <c r="D70" s="160" t="s">
        <v>344</v>
      </c>
      <c r="E70" s="162"/>
    </row>
    <row r="71" spans="1:19" ht="30" hidden="1" customHeight="1" x14ac:dyDescent="0.3">
      <c r="A71" s="575" t="s">
        <v>345</v>
      </c>
      <c r="B71" s="575"/>
      <c r="C71" s="575"/>
      <c r="D71" s="131" t="s">
        <v>343</v>
      </c>
      <c r="E71" s="162"/>
    </row>
    <row r="72" spans="1:19" ht="15.75" hidden="1" customHeight="1" x14ac:dyDescent="0.3">
      <c r="A72" s="575"/>
      <c r="B72" s="575"/>
      <c r="C72" s="575"/>
      <c r="D72" s="160" t="s">
        <v>344</v>
      </c>
      <c r="E72" s="162"/>
    </row>
    <row r="73" spans="1:19" ht="30" hidden="1" customHeight="1" x14ac:dyDescent="0.3">
      <c r="A73" s="575" t="s">
        <v>346</v>
      </c>
      <c r="B73" s="575"/>
      <c r="C73" s="575"/>
      <c r="D73" s="131" t="s">
        <v>343</v>
      </c>
      <c r="E73" s="162"/>
    </row>
    <row r="74" spans="1:19" ht="15.75" hidden="1" customHeight="1" x14ac:dyDescent="0.3">
      <c r="A74" s="575"/>
      <c r="B74" s="575"/>
      <c r="C74" s="575"/>
      <c r="D74" s="160" t="s">
        <v>344</v>
      </c>
      <c r="E74" s="162"/>
    </row>
    <row r="75" spans="1:19" ht="42.75" hidden="1" customHeight="1" x14ac:dyDescent="0.3">
      <c r="A75" s="575" t="s">
        <v>347</v>
      </c>
      <c r="B75" s="575"/>
      <c r="C75" s="575"/>
      <c r="D75" s="131" t="s">
        <v>343</v>
      </c>
      <c r="E75" s="163" t="s">
        <v>348</v>
      </c>
      <c r="F75" s="131" t="s">
        <v>128</v>
      </c>
      <c r="G75" s="131" t="s">
        <v>129</v>
      </c>
      <c r="H75" s="131" t="s">
        <v>130</v>
      </c>
      <c r="I75" s="131" t="s">
        <v>131</v>
      </c>
      <c r="J75" s="131" t="s">
        <v>132</v>
      </c>
      <c r="K75" s="162"/>
    </row>
    <row r="76" spans="1:19" ht="15.75" hidden="1" customHeight="1" x14ac:dyDescent="0.3">
      <c r="A76" s="575"/>
      <c r="B76" s="575"/>
      <c r="C76" s="575"/>
      <c r="D76" s="160" t="s">
        <v>344</v>
      </c>
      <c r="E76" s="164">
        <v>1.55</v>
      </c>
      <c r="F76" s="165">
        <f>ROUND(IF(Dados!$M$63="SIM",E76*Dados!$N$63,E76),2)</f>
        <v>1.55</v>
      </c>
      <c r="G76" s="165">
        <f>ROUND(IF(Dados!$M$64="SIM",F76*Dados!$N$64,F76),2)</f>
        <v>1.55</v>
      </c>
      <c r="H76" s="165">
        <f>ROUND(IF(Dados!$M$65="SIM",G76*Dados!$N$65,G76),2)</f>
        <v>1.55</v>
      </c>
      <c r="I76" s="165">
        <f>ROUND(IF(Dados!$M$66="SIM",H76*Dados!$N$66,H76),2)</f>
        <v>1.55</v>
      </c>
      <c r="J76" s="165">
        <f>ROUND(IF(Dados!$M$67="SIM",I76*Dados!$N$67,I76),2)</f>
        <v>1.55</v>
      </c>
    </row>
    <row r="77" spans="1:19" hidden="1" x14ac:dyDescent="0.3">
      <c r="E77" s="162"/>
    </row>
    <row r="78" spans="1:19" ht="15.75" hidden="1" customHeight="1" x14ac:dyDescent="0.3">
      <c r="A78" s="586" t="s">
        <v>349</v>
      </c>
      <c r="B78" s="586"/>
      <c r="C78" s="586"/>
      <c r="D78" s="586"/>
      <c r="E78" s="586"/>
      <c r="F78" s="586"/>
      <c r="G78" s="586"/>
      <c r="H78" s="586"/>
    </row>
    <row r="79" spans="1:19" hidden="1" x14ac:dyDescent="0.3">
      <c r="A79" s="590" t="s">
        <v>350</v>
      </c>
      <c r="B79" s="590"/>
      <c r="C79" s="590"/>
      <c r="D79" s="590"/>
      <c r="E79" s="590"/>
      <c r="F79" s="588" t="s">
        <v>351</v>
      </c>
      <c r="G79" s="588"/>
      <c r="H79" s="166"/>
    </row>
    <row r="80" spans="1:19" ht="43.5" hidden="1" customHeight="1" x14ac:dyDescent="0.3">
      <c r="A80" s="589" t="s">
        <v>352</v>
      </c>
      <c r="B80" s="589"/>
      <c r="C80" s="589"/>
      <c r="D80" s="589"/>
      <c r="E80" s="589"/>
      <c r="F80" s="589"/>
      <c r="G80" s="589"/>
      <c r="H80" s="589"/>
    </row>
    <row r="81" spans="1:8" hidden="1" x14ac:dyDescent="0.3">
      <c r="A81" s="590" t="s">
        <v>353</v>
      </c>
      <c r="B81" s="590"/>
      <c r="C81" s="590"/>
      <c r="D81" s="590"/>
      <c r="E81" s="590"/>
      <c r="F81" s="588" t="s">
        <v>351</v>
      </c>
      <c r="G81" s="588"/>
      <c r="H81" s="166"/>
    </row>
    <row r="82" spans="1:8" ht="43.5" hidden="1" customHeight="1" x14ac:dyDescent="0.3">
      <c r="A82" s="591" t="s">
        <v>354</v>
      </c>
      <c r="B82" s="591"/>
      <c r="C82" s="591"/>
      <c r="D82" s="591"/>
      <c r="E82" s="591"/>
      <c r="F82" s="591"/>
      <c r="G82" s="591"/>
      <c r="H82" s="591"/>
    </row>
    <row r="83" spans="1:8" hidden="1" x14ac:dyDescent="0.3">
      <c r="A83" s="590" t="s">
        <v>355</v>
      </c>
      <c r="B83" s="590"/>
      <c r="C83" s="590"/>
      <c r="D83" s="590"/>
      <c r="E83" s="590"/>
      <c r="F83" s="588" t="s">
        <v>351</v>
      </c>
      <c r="G83" s="588"/>
      <c r="H83" s="166"/>
    </row>
    <row r="84" spans="1:8" ht="43.5" hidden="1" customHeight="1" x14ac:dyDescent="0.3">
      <c r="A84" s="589" t="s">
        <v>356</v>
      </c>
      <c r="B84" s="589"/>
      <c r="C84" s="589"/>
      <c r="D84" s="589"/>
      <c r="E84" s="589"/>
      <c r="F84" s="589"/>
      <c r="G84" s="589"/>
      <c r="H84" s="589"/>
    </row>
    <row r="85" spans="1:8" hidden="1" x14ac:dyDescent="0.3">
      <c r="A85" s="587" t="s">
        <v>357</v>
      </c>
      <c r="B85" s="587"/>
      <c r="C85" s="587"/>
      <c r="D85" s="587"/>
      <c r="E85" s="587"/>
      <c r="F85" s="588" t="s">
        <v>351</v>
      </c>
      <c r="G85" s="588"/>
      <c r="H85" s="167"/>
    </row>
    <row r="86" spans="1:8" ht="43.5" hidden="1" customHeight="1" x14ac:dyDescent="0.3">
      <c r="A86" s="589" t="s">
        <v>358</v>
      </c>
      <c r="B86" s="589"/>
      <c r="C86" s="589"/>
      <c r="D86" s="589"/>
      <c r="E86" s="589"/>
      <c r="F86" s="589"/>
      <c r="G86" s="589"/>
      <c r="H86" s="589"/>
    </row>
    <row r="87" spans="1:8" hidden="1" x14ac:dyDescent="0.3"/>
    <row r="88" spans="1:8" hidden="1" x14ac:dyDescent="0.3"/>
    <row r="89" spans="1:8" hidden="1" x14ac:dyDescent="0.3"/>
    <row r="90" spans="1:8" hidden="1" x14ac:dyDescent="0.3"/>
    <row r="91" spans="1:8" hidden="1" x14ac:dyDescent="0.3"/>
    <row r="92" spans="1:8" hidden="1" x14ac:dyDescent="0.3"/>
    <row r="93" spans="1:8" hidden="1" x14ac:dyDescent="0.3"/>
    <row r="94" spans="1:8" hidden="1" x14ac:dyDescent="0.3"/>
    <row r="95" spans="1:8" hidden="1" x14ac:dyDescent="0.3"/>
    <row r="96" spans="1:8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</sheetData>
  <sheetProtection algorithmName="SHA-512" hashValue="OLxXqPyQb68oPs0WXmqoHUUCC29Iz0zX6QB4k5N37sPRKvgO/mVim27CvEnuRj1kc7Op5Y3SJDz00P7zlbMyjg==" saltValue="jWFpGSL4hs7/cekVD5rsGw==" spinCount="100000" sheet="1" objects="1" scenarios="1"/>
  <mergeCells count="103">
    <mergeCell ref="A85:E85"/>
    <mergeCell ref="F85:G85"/>
    <mergeCell ref="A86:H86"/>
    <mergeCell ref="A79:E79"/>
    <mergeCell ref="F79:G79"/>
    <mergeCell ref="A80:H80"/>
    <mergeCell ref="A81:E81"/>
    <mergeCell ref="F81:G81"/>
    <mergeCell ref="A82:H82"/>
    <mergeCell ref="A83:E83"/>
    <mergeCell ref="F83:G83"/>
    <mergeCell ref="A84:H84"/>
    <mergeCell ref="A67:B67"/>
    <mergeCell ref="E67:H67"/>
    <mergeCell ref="N67:O67"/>
    <mergeCell ref="P67:Q67"/>
    <mergeCell ref="A69:C70"/>
    <mergeCell ref="A71:C72"/>
    <mergeCell ref="A73:C74"/>
    <mergeCell ref="A75:C76"/>
    <mergeCell ref="A78:H78"/>
    <mergeCell ref="A64:B64"/>
    <mergeCell ref="E64:H64"/>
    <mergeCell ref="N64:O64"/>
    <mergeCell ref="P64:Q64"/>
    <mergeCell ref="A65:B65"/>
    <mergeCell ref="E65:H65"/>
    <mergeCell ref="N65:O65"/>
    <mergeCell ref="P65:Q65"/>
    <mergeCell ref="A66:B66"/>
    <mergeCell ref="E66:H66"/>
    <mergeCell ref="N66:O66"/>
    <mergeCell ref="P66:Q66"/>
    <mergeCell ref="B54:F54"/>
    <mergeCell ref="B55:F55"/>
    <mergeCell ref="B56:F56"/>
    <mergeCell ref="B57:F57"/>
    <mergeCell ref="B58:F58"/>
    <mergeCell ref="A62:H62"/>
    <mergeCell ref="N62:O62"/>
    <mergeCell ref="P62:Q62"/>
    <mergeCell ref="A63:B63"/>
    <mergeCell ref="E63:H63"/>
    <mergeCell ref="N63:O63"/>
    <mergeCell ref="P63:Q63"/>
    <mergeCell ref="B42:F42"/>
    <mergeCell ref="B43:F43"/>
    <mergeCell ref="A45:G45"/>
    <mergeCell ref="B46:F46"/>
    <mergeCell ref="B47:F47"/>
    <mergeCell ref="A49:G49"/>
    <mergeCell ref="A50:A52"/>
    <mergeCell ref="B50:G52"/>
    <mergeCell ref="B53:E53"/>
    <mergeCell ref="F53:G53"/>
    <mergeCell ref="A35:A38"/>
    <mergeCell ref="B35:C38"/>
    <mergeCell ref="D35:F35"/>
    <mergeCell ref="D36:F36"/>
    <mergeCell ref="D37:F37"/>
    <mergeCell ref="D38:F38"/>
    <mergeCell ref="A39:A41"/>
    <mergeCell ref="B39:C41"/>
    <mergeCell ref="D39:F39"/>
    <mergeCell ref="D40:F40"/>
    <mergeCell ref="D41:F41"/>
    <mergeCell ref="B23:F23"/>
    <mergeCell ref="B25:F25"/>
    <mergeCell ref="B26:F26"/>
    <mergeCell ref="B27:F27"/>
    <mergeCell ref="A29:G29"/>
    <mergeCell ref="B30:F30"/>
    <mergeCell ref="A32:G32"/>
    <mergeCell ref="B33:F33"/>
    <mergeCell ref="B34:F34"/>
    <mergeCell ref="B17:D17"/>
    <mergeCell ref="E17:G17"/>
    <mergeCell ref="B18:D18"/>
    <mergeCell ref="E18:G18"/>
    <mergeCell ref="B19:D19"/>
    <mergeCell ref="E19:G19"/>
    <mergeCell ref="B20:D20"/>
    <mergeCell ref="E20:G20"/>
    <mergeCell ref="A22:G22"/>
    <mergeCell ref="J5:J6"/>
    <mergeCell ref="K5:K6"/>
    <mergeCell ref="L5:L6"/>
    <mergeCell ref="M5:M6"/>
    <mergeCell ref="T5:T6"/>
    <mergeCell ref="A15:G15"/>
    <mergeCell ref="B16:D16"/>
    <mergeCell ref="E16:G1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:A10"/>
    <mergeCell ref="A11:A13"/>
  </mergeCells>
  <dataValidations count="3">
    <dataValidation type="list" operator="equal" allowBlank="1" showInputMessage="1" showErrorMessage="1" sqref="F53" xr:uid="{00000000-0002-0000-0300-000000000000}">
      <formula1>"LUCRO REAL,LUCRO PRESUMIDO,SIMPLES NACIONAL,OUTRO"</formula1>
      <formula2>0</formula2>
    </dataValidation>
    <dataValidation type="list" operator="equal" allowBlank="1" showInputMessage="1" showErrorMessage="1" sqref="I63:M67" xr:uid="{00000000-0002-0000-0300-000001000000}">
      <formula1>"NÃO,SIM"</formula1>
      <formula2>0</formula2>
    </dataValidation>
    <dataValidation type="list" operator="equal" allowBlank="1" showInputMessage="1" showErrorMessage="1" sqref="D70 D72 D74 D76" xr:uid="{00000000-0002-0000-0300-000002000000}">
      <formula1>"INICIAL,1º IPCA,2º IPCA,3º IPCA,4º IPCA,5º IPCA"</formula1>
      <formula2>0</formula2>
    </dataValidation>
  </dataValidations>
  <printOptions horizontalCentered="1" verticalCentered="1"/>
  <pageMargins left="0.51180555555555596" right="0.51180555555555596" top="0.78749999999999998" bottom="0.78749999999999998" header="0.511811023622047" footer="0.511811023622047"/>
  <pageSetup paperSize="9" scale="31" fitToHeight="2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1"/>
  <sheetViews>
    <sheetView showGridLines="0" view="pageBreakPreview" zoomScaleNormal="100" workbookViewId="0">
      <selection activeCell="E19" sqref="E19"/>
    </sheetView>
  </sheetViews>
  <sheetFormatPr defaultColWidth="8.6640625" defaultRowHeight="14.4" x14ac:dyDescent="0.3"/>
  <cols>
    <col min="1" max="1" width="9" customWidth="1"/>
    <col min="2" max="2" width="55.5546875" customWidth="1"/>
    <col min="3" max="3" width="13.109375" customWidth="1"/>
    <col min="4" max="4" width="4.88671875" customWidth="1"/>
    <col min="5" max="5" width="41.6640625" customWidth="1"/>
    <col min="6" max="8" width="11" customWidth="1"/>
    <col min="9" max="257" width="9" customWidth="1"/>
    <col min="258" max="258" width="55.5546875" customWidth="1"/>
    <col min="259" max="259" width="13.109375" customWidth="1"/>
    <col min="260" max="260" width="9" customWidth="1"/>
    <col min="261" max="261" width="35.109375" customWidth="1"/>
    <col min="262" max="264" width="11" customWidth="1"/>
    <col min="265" max="513" width="9" customWidth="1"/>
    <col min="514" max="514" width="55.5546875" customWidth="1"/>
    <col min="515" max="515" width="13.109375" customWidth="1"/>
    <col min="516" max="516" width="9" customWidth="1"/>
    <col min="517" max="517" width="35.109375" customWidth="1"/>
    <col min="518" max="520" width="11" customWidth="1"/>
    <col min="521" max="769" width="9" customWidth="1"/>
    <col min="770" max="770" width="55.5546875" customWidth="1"/>
    <col min="771" max="771" width="13.109375" customWidth="1"/>
    <col min="772" max="772" width="9" customWidth="1"/>
    <col min="773" max="773" width="35.109375" customWidth="1"/>
    <col min="774" max="776" width="11" customWidth="1"/>
    <col min="777" max="1025" width="9" customWidth="1"/>
  </cols>
  <sheetData>
    <row r="1" spans="1:4" x14ac:dyDescent="0.3">
      <c r="A1" s="168"/>
      <c r="B1" s="77" t="str">
        <f>INSTRUÇÕES!B1</f>
        <v>Tribunal Regional Federal da 6ª Região</v>
      </c>
      <c r="C1" s="169"/>
    </row>
    <row r="2" spans="1:4" x14ac:dyDescent="0.3">
      <c r="A2" s="170"/>
      <c r="B2" s="80" t="str">
        <f>INSTRUÇÕES!B2</f>
        <v>Seção Judiciária de Minas Gerais</v>
      </c>
      <c r="C2" s="171"/>
    </row>
    <row r="3" spans="1:4" x14ac:dyDescent="0.3">
      <c r="A3" s="172"/>
      <c r="B3" s="80" t="str">
        <f>INSTRUÇÕES!B3</f>
        <v>Subseção Judiciária de Governador Valadares</v>
      </c>
      <c r="C3" s="171"/>
    </row>
    <row r="4" spans="1:4" ht="21.75" customHeight="1" x14ac:dyDescent="0.3">
      <c r="A4" s="592" t="s">
        <v>359</v>
      </c>
      <c r="B4" s="592"/>
      <c r="C4" s="592"/>
    </row>
    <row r="5" spans="1:4" ht="21.75" customHeight="1" x14ac:dyDescent="0.3">
      <c r="A5" s="592" t="s">
        <v>360</v>
      </c>
      <c r="B5" s="592"/>
      <c r="C5" s="592"/>
    </row>
    <row r="6" spans="1:4" ht="26.25" customHeight="1" x14ac:dyDescent="0.3">
      <c r="A6" s="593" t="s">
        <v>361</v>
      </c>
      <c r="B6" s="593"/>
      <c r="C6" s="593"/>
    </row>
    <row r="7" spans="1:4" x14ac:dyDescent="0.3">
      <c r="A7" s="594" t="s">
        <v>362</v>
      </c>
      <c r="B7" s="594"/>
      <c r="C7" s="594"/>
    </row>
    <row r="8" spans="1:4" ht="15.75" customHeight="1" x14ac:dyDescent="0.3">
      <c r="A8" s="173" t="s">
        <v>59</v>
      </c>
      <c r="B8" s="174" t="s">
        <v>363</v>
      </c>
      <c r="C8" s="175" t="s">
        <v>364</v>
      </c>
    </row>
    <row r="9" spans="1:4" ht="15.75" customHeight="1" x14ac:dyDescent="0.3">
      <c r="A9" s="176" t="s">
        <v>365</v>
      </c>
      <c r="B9" s="595" t="s">
        <v>366</v>
      </c>
      <c r="C9" s="595"/>
    </row>
    <row r="10" spans="1:4" ht="15.75" customHeight="1" x14ac:dyDescent="0.3">
      <c r="A10" s="177">
        <v>1</v>
      </c>
      <c r="B10" s="178" t="s">
        <v>367</v>
      </c>
      <c r="C10" s="179">
        <v>0.2</v>
      </c>
    </row>
    <row r="11" spans="1:4" ht="15.75" customHeight="1" x14ac:dyDescent="0.3">
      <c r="A11" s="177">
        <v>2</v>
      </c>
      <c r="B11" s="178" t="s">
        <v>368</v>
      </c>
      <c r="C11" s="179">
        <v>1.4999999999999999E-2</v>
      </c>
    </row>
    <row r="12" spans="1:4" ht="15.75" customHeight="1" x14ac:dyDescent="0.3">
      <c r="A12" s="177">
        <v>3</v>
      </c>
      <c r="B12" s="178" t="s">
        <v>369</v>
      </c>
      <c r="C12" s="179">
        <v>0.01</v>
      </c>
    </row>
    <row r="13" spans="1:4" ht="15.75" customHeight="1" x14ac:dyDescent="0.3">
      <c r="A13" s="177">
        <v>4</v>
      </c>
      <c r="B13" s="178" t="s">
        <v>370</v>
      </c>
      <c r="C13" s="179">
        <v>2E-3</v>
      </c>
    </row>
    <row r="14" spans="1:4" ht="15.75" customHeight="1" x14ac:dyDescent="0.3">
      <c r="A14" s="177">
        <v>5</v>
      </c>
      <c r="B14" s="178" t="s">
        <v>371</v>
      </c>
      <c r="C14" s="179">
        <v>2.5000000000000001E-2</v>
      </c>
    </row>
    <row r="15" spans="1:4" ht="15.75" customHeight="1" x14ac:dyDescent="0.3">
      <c r="A15" s="177">
        <v>6</v>
      </c>
      <c r="B15" s="178" t="s">
        <v>372</v>
      </c>
      <c r="C15" s="179">
        <v>0.08</v>
      </c>
    </row>
    <row r="16" spans="1:4" ht="15.75" customHeight="1" x14ac:dyDescent="0.3">
      <c r="A16" s="177">
        <v>7</v>
      </c>
      <c r="B16" s="178" t="s">
        <v>373</v>
      </c>
      <c r="C16" s="180">
        <f>Dados!G25</f>
        <v>0.06</v>
      </c>
      <c r="D16" s="181" t="s">
        <v>374</v>
      </c>
    </row>
    <row r="17" spans="1:3" ht="15.75" customHeight="1" x14ac:dyDescent="0.3">
      <c r="A17" s="177">
        <v>8</v>
      </c>
      <c r="B17" s="178" t="s">
        <v>375</v>
      </c>
      <c r="C17" s="179">
        <v>6.0000000000000001E-3</v>
      </c>
    </row>
    <row r="18" spans="1:3" ht="15.75" customHeight="1" x14ac:dyDescent="0.3">
      <c r="A18" s="596" t="s">
        <v>376</v>
      </c>
      <c r="B18" s="596"/>
      <c r="C18" s="182">
        <f>SUM(C10:C17)</f>
        <v>0.39800000000000008</v>
      </c>
    </row>
    <row r="19" spans="1:3" ht="15.75" customHeight="1" x14ac:dyDescent="0.3">
      <c r="A19" s="597" t="s">
        <v>377</v>
      </c>
      <c r="B19" s="597"/>
      <c r="C19" s="597"/>
    </row>
    <row r="20" spans="1:3" ht="15.75" customHeight="1" x14ac:dyDescent="0.3">
      <c r="A20" s="597" t="s">
        <v>378</v>
      </c>
      <c r="B20" s="597"/>
      <c r="C20" s="597"/>
    </row>
    <row r="21" spans="1:3" ht="15.75" customHeight="1" x14ac:dyDescent="0.3">
      <c r="A21" s="177">
        <v>9</v>
      </c>
      <c r="B21" s="183" t="s">
        <v>379</v>
      </c>
      <c r="C21" s="184">
        <f>ROUND((100%/11),4)</f>
        <v>9.0899999999999995E-2</v>
      </c>
    </row>
    <row r="22" spans="1:3" ht="15.75" customHeight="1" x14ac:dyDescent="0.3">
      <c r="A22" s="177">
        <v>10</v>
      </c>
      <c r="B22" s="183" t="s">
        <v>380</v>
      </c>
      <c r="C22" s="184">
        <f>ROUND((C21/3),4)</f>
        <v>3.0300000000000001E-2</v>
      </c>
    </row>
    <row r="23" spans="1:3" ht="15.75" customHeight="1" x14ac:dyDescent="0.3">
      <c r="A23" s="598" t="s">
        <v>381</v>
      </c>
      <c r="B23" s="598"/>
      <c r="C23" s="185">
        <f>SUM(C21:C22)</f>
        <v>0.1212</v>
      </c>
    </row>
    <row r="24" spans="1:3" ht="15.75" customHeight="1" x14ac:dyDescent="0.3">
      <c r="A24" s="599" t="s">
        <v>382</v>
      </c>
      <c r="B24" s="599"/>
      <c r="C24" s="180">
        <f>(C18*C23)</f>
        <v>4.8237600000000012E-2</v>
      </c>
    </row>
    <row r="25" spans="1:3" ht="15.75" customHeight="1" x14ac:dyDescent="0.3">
      <c r="A25" s="598" t="s">
        <v>383</v>
      </c>
      <c r="B25" s="598"/>
      <c r="C25" s="185">
        <f>SUM(C23:C24)</f>
        <v>0.16943760000000002</v>
      </c>
    </row>
    <row r="26" spans="1:3" ht="15.75" customHeight="1" x14ac:dyDescent="0.3">
      <c r="A26" s="176" t="s">
        <v>384</v>
      </c>
      <c r="B26" s="595" t="s">
        <v>385</v>
      </c>
      <c r="C26" s="595"/>
    </row>
    <row r="27" spans="1:3" ht="15.75" customHeight="1" x14ac:dyDescent="0.3">
      <c r="A27" s="177">
        <v>11</v>
      </c>
      <c r="B27" s="178" t="s">
        <v>386</v>
      </c>
      <c r="C27" s="179">
        <f>ROUND((0.0144*0.1*0.4509*6/12),4)</f>
        <v>2.9999999999999997E-4</v>
      </c>
    </row>
    <row r="28" spans="1:3" ht="15.75" customHeight="1" x14ac:dyDescent="0.3">
      <c r="A28" s="599" t="s">
        <v>387</v>
      </c>
      <c r="B28" s="599"/>
      <c r="C28" s="186">
        <f>C18*C27</f>
        <v>1.1940000000000002E-4</v>
      </c>
    </row>
    <row r="29" spans="1:3" ht="15.75" customHeight="1" x14ac:dyDescent="0.3">
      <c r="A29" s="598" t="s">
        <v>388</v>
      </c>
      <c r="B29" s="598"/>
      <c r="C29" s="187">
        <f>SUM(C27:C28)</f>
        <v>4.194E-4</v>
      </c>
    </row>
    <row r="30" spans="1:3" ht="15.75" customHeight="1" x14ac:dyDescent="0.3">
      <c r="A30" s="176" t="s">
        <v>389</v>
      </c>
      <c r="B30" s="595" t="s">
        <v>390</v>
      </c>
      <c r="C30" s="595"/>
    </row>
    <row r="31" spans="1:3" ht="15.75" customHeight="1" x14ac:dyDescent="0.3">
      <c r="A31" s="177">
        <v>12</v>
      </c>
      <c r="B31" s="178" t="s">
        <v>391</v>
      </c>
      <c r="C31" s="179">
        <f>ROUND((100%/12)*5%,4)</f>
        <v>4.1999999999999997E-3</v>
      </c>
    </row>
    <row r="32" spans="1:3" ht="15.75" customHeight="1" x14ac:dyDescent="0.3">
      <c r="A32" s="600" t="s">
        <v>392</v>
      </c>
      <c r="B32" s="600"/>
      <c r="C32" s="180">
        <f>C15*C31</f>
        <v>3.3599999999999998E-4</v>
      </c>
    </row>
    <row r="33" spans="1:8" ht="15.75" customHeight="1" x14ac:dyDescent="0.3">
      <c r="A33" s="177">
        <v>13</v>
      </c>
      <c r="B33" s="178" t="s">
        <v>393</v>
      </c>
      <c r="C33" s="184">
        <f>ROUND((C15*0.4*0.9*(1+1/11+1/11+(1/3*1/11))),5)</f>
        <v>3.4909999999999997E-2</v>
      </c>
    </row>
    <row r="34" spans="1:8" ht="15.75" customHeight="1" x14ac:dyDescent="0.3">
      <c r="A34" s="177">
        <v>14</v>
      </c>
      <c r="B34" s="178" t="s">
        <v>394</v>
      </c>
      <c r="C34" s="179">
        <f>ROUND((100%/30)*7/12,4)</f>
        <v>1.9400000000000001E-2</v>
      </c>
    </row>
    <row r="35" spans="1:8" ht="15.75" customHeight="1" x14ac:dyDescent="0.3">
      <c r="A35" s="600" t="s">
        <v>395</v>
      </c>
      <c r="B35" s="600"/>
      <c r="C35" s="180">
        <f>ROUND((C34*C18),4)</f>
        <v>7.7000000000000002E-3</v>
      </c>
    </row>
    <row r="36" spans="1:8" ht="15.75" customHeight="1" x14ac:dyDescent="0.3">
      <c r="A36" s="177">
        <v>15</v>
      </c>
      <c r="B36" s="178" t="s">
        <v>396</v>
      </c>
      <c r="C36" s="180">
        <f>(0.4*C15/100)</f>
        <v>3.2000000000000003E-4</v>
      </c>
    </row>
    <row r="37" spans="1:8" ht="15.75" customHeight="1" x14ac:dyDescent="0.3">
      <c r="A37" s="601" t="s">
        <v>397</v>
      </c>
      <c r="B37" s="601"/>
      <c r="C37" s="185">
        <f>SUM(C31:C36)</f>
        <v>6.6865999999999995E-2</v>
      </c>
    </row>
    <row r="38" spans="1:8" ht="15.75" customHeight="1" x14ac:dyDescent="0.3">
      <c r="A38" s="176" t="s">
        <v>398</v>
      </c>
      <c r="B38" s="595" t="s">
        <v>399</v>
      </c>
      <c r="C38" s="595"/>
    </row>
    <row r="39" spans="1:8" ht="15.75" customHeight="1" x14ac:dyDescent="0.3">
      <c r="A39" s="177">
        <v>16</v>
      </c>
      <c r="B39" s="178" t="s">
        <v>400</v>
      </c>
      <c r="C39" s="184">
        <f>ROUND((100%/11),4)</f>
        <v>9.0899999999999995E-2</v>
      </c>
    </row>
    <row r="40" spans="1:8" ht="15.75" customHeight="1" x14ac:dyDescent="0.3">
      <c r="A40" s="177">
        <v>17</v>
      </c>
      <c r="B40" s="178" t="s">
        <v>401</v>
      </c>
      <c r="C40" s="179">
        <v>1.66E-2</v>
      </c>
    </row>
    <row r="41" spans="1:8" ht="15.75" customHeight="1" x14ac:dyDescent="0.3">
      <c r="A41" s="177">
        <v>18</v>
      </c>
      <c r="B41" s="178" t="s">
        <v>402</v>
      </c>
      <c r="C41" s="179">
        <f>ROUND((5/30/12)*0.022,4)</f>
        <v>2.9999999999999997E-4</v>
      </c>
    </row>
    <row r="42" spans="1:8" ht="15.75" customHeight="1" x14ac:dyDescent="0.3">
      <c r="A42" s="177">
        <v>19</v>
      </c>
      <c r="B42" s="178" t="s">
        <v>403</v>
      </c>
      <c r="C42" s="179">
        <f>ROUND((1/30/12),4)</f>
        <v>2.8E-3</v>
      </c>
    </row>
    <row r="43" spans="1:8" ht="15.75" customHeight="1" x14ac:dyDescent="0.3">
      <c r="A43" s="177">
        <v>20</v>
      </c>
      <c r="B43" s="178" t="s">
        <v>404</v>
      </c>
      <c r="C43" s="179">
        <f>ROUND((15/30/12*0.0078),4)</f>
        <v>2.9999999999999997E-4</v>
      </c>
    </row>
    <row r="44" spans="1:8" ht="15.75" customHeight="1" x14ac:dyDescent="0.3">
      <c r="A44" s="601" t="s">
        <v>381</v>
      </c>
      <c r="B44" s="601"/>
      <c r="C44" s="185">
        <f>SUM(C39:C43)</f>
        <v>0.11089999999999998</v>
      </c>
      <c r="E44" s="602" t="s">
        <v>405</v>
      </c>
      <c r="F44" s="602"/>
      <c r="G44" s="602"/>
      <c r="H44" s="602"/>
    </row>
    <row r="45" spans="1:8" ht="15.75" customHeight="1" x14ac:dyDescent="0.3">
      <c r="A45" s="600" t="s">
        <v>406</v>
      </c>
      <c r="B45" s="600"/>
      <c r="C45" s="180">
        <f>C18*C44</f>
        <v>4.4138200000000002E-2</v>
      </c>
      <c r="E45" s="602"/>
      <c r="F45" s="602"/>
      <c r="G45" s="602"/>
      <c r="H45" s="602"/>
    </row>
    <row r="46" spans="1:8" ht="15" customHeight="1" x14ac:dyDescent="0.3">
      <c r="A46" s="601" t="s">
        <v>407</v>
      </c>
      <c r="B46" s="601"/>
      <c r="C46" s="185">
        <f>SUM(C44:C45)</f>
        <v>0.15503819999999999</v>
      </c>
      <c r="E46" s="603" t="s">
        <v>408</v>
      </c>
      <c r="F46" s="604" t="s">
        <v>409</v>
      </c>
      <c r="G46" s="604"/>
      <c r="H46" s="604"/>
    </row>
    <row r="47" spans="1:8" ht="15.75" customHeight="1" x14ac:dyDescent="0.3">
      <c r="A47" s="188" t="s">
        <v>410</v>
      </c>
      <c r="B47" s="189" t="s">
        <v>411</v>
      </c>
      <c r="C47" s="185" t="s">
        <v>283</v>
      </c>
      <c r="E47" s="603"/>
      <c r="F47" s="604" t="s">
        <v>412</v>
      </c>
      <c r="G47" s="604"/>
      <c r="H47" s="604"/>
    </row>
    <row r="48" spans="1:8" ht="15.75" customHeight="1" x14ac:dyDescent="0.3">
      <c r="A48" s="177">
        <v>21</v>
      </c>
      <c r="B48" s="178" t="s">
        <v>413</v>
      </c>
      <c r="C48" s="179">
        <f>1*1%/12</f>
        <v>8.3333333333333339E-4</v>
      </c>
      <c r="E48" s="190" t="s">
        <v>414</v>
      </c>
      <c r="F48" s="191" t="s">
        <v>415</v>
      </c>
      <c r="G48" s="191" t="s">
        <v>416</v>
      </c>
      <c r="H48" s="192" t="s">
        <v>417</v>
      </c>
    </row>
    <row r="49" spans="1:8" ht="15.75" customHeight="1" x14ac:dyDescent="0.3">
      <c r="A49" s="601" t="s">
        <v>418</v>
      </c>
      <c r="B49" s="601"/>
      <c r="C49" s="185">
        <f>SUM(C47:C48)</f>
        <v>8.3333333333333339E-4</v>
      </c>
      <c r="E49" s="190" t="s">
        <v>419</v>
      </c>
      <c r="F49" s="193">
        <v>0.34300000000000003</v>
      </c>
      <c r="G49" s="193">
        <v>0.39800000000000002</v>
      </c>
      <c r="H49" s="194">
        <f>$C$18</f>
        <v>0.39800000000000008</v>
      </c>
    </row>
    <row r="50" spans="1:8" ht="15.75" customHeight="1" x14ac:dyDescent="0.3">
      <c r="A50" s="605" t="s">
        <v>420</v>
      </c>
      <c r="B50" s="605"/>
      <c r="C50" s="605"/>
      <c r="E50" s="190" t="s">
        <v>421</v>
      </c>
      <c r="F50" s="193">
        <v>5.0000000000000001E-3</v>
      </c>
      <c r="G50" s="193">
        <v>0.06</v>
      </c>
      <c r="H50" s="194">
        <f>$C$16</f>
        <v>0.06</v>
      </c>
    </row>
    <row r="51" spans="1:8" ht="15.75" customHeight="1" x14ac:dyDescent="0.3">
      <c r="A51" s="600" t="s">
        <v>366</v>
      </c>
      <c r="B51" s="600"/>
      <c r="C51" s="180">
        <f>ROUND(C18,4)</f>
        <v>0.39800000000000002</v>
      </c>
      <c r="E51" s="195" t="s">
        <v>422</v>
      </c>
      <c r="F51" s="196">
        <f>$C$21</f>
        <v>9.0899999999999995E-2</v>
      </c>
      <c r="G51" s="196">
        <f>$F$51</f>
        <v>9.0899999999999995E-2</v>
      </c>
      <c r="H51" s="180">
        <f>$F$51</f>
        <v>9.0899999999999995E-2</v>
      </c>
    </row>
    <row r="52" spans="1:8" ht="15.75" customHeight="1" x14ac:dyDescent="0.3">
      <c r="A52" s="600" t="s">
        <v>423</v>
      </c>
      <c r="B52" s="600"/>
      <c r="C52" s="180">
        <f>ROUND(C25,4)</f>
        <v>0.1694</v>
      </c>
      <c r="E52" s="195" t="s">
        <v>424</v>
      </c>
      <c r="F52" s="196">
        <f>$C$39</f>
        <v>9.0899999999999995E-2</v>
      </c>
      <c r="G52" s="196">
        <f>$F$52</f>
        <v>9.0899999999999995E-2</v>
      </c>
      <c r="H52" s="180">
        <f>$F$52</f>
        <v>9.0899999999999995E-2</v>
      </c>
    </row>
    <row r="53" spans="1:8" ht="15.75" customHeight="1" x14ac:dyDescent="0.3">
      <c r="A53" s="600" t="s">
        <v>385</v>
      </c>
      <c r="B53" s="600"/>
      <c r="C53" s="180">
        <f>ROUND(C29,4)</f>
        <v>4.0000000000000002E-4</v>
      </c>
      <c r="E53" s="195" t="s">
        <v>425</v>
      </c>
      <c r="F53" s="196">
        <f>$C$22</f>
        <v>3.0300000000000001E-2</v>
      </c>
      <c r="G53" s="196">
        <f>$F$53</f>
        <v>3.0300000000000001E-2</v>
      </c>
      <c r="H53" s="180">
        <f>$F$53</f>
        <v>3.0300000000000001E-2</v>
      </c>
    </row>
    <row r="54" spans="1:8" ht="15.75" customHeight="1" x14ac:dyDescent="0.3">
      <c r="A54" s="600" t="s">
        <v>426</v>
      </c>
      <c r="B54" s="600"/>
      <c r="C54" s="180">
        <f>ROUND(C37,4)</f>
        <v>6.6900000000000001E-2</v>
      </c>
      <c r="E54" s="197" t="s">
        <v>381</v>
      </c>
      <c r="F54" s="198">
        <f>SUM(F51:F53)</f>
        <v>0.21209999999999998</v>
      </c>
      <c r="G54" s="198">
        <f>SUM(G51:G53)</f>
        <v>0.21209999999999998</v>
      </c>
      <c r="H54" s="199">
        <f>ROUND((SUM(H51:H53)),4)</f>
        <v>0.21210000000000001</v>
      </c>
    </row>
    <row r="55" spans="1:8" ht="15.75" customHeight="1" x14ac:dyDescent="0.3">
      <c r="A55" s="600" t="s">
        <v>427</v>
      </c>
      <c r="B55" s="600"/>
      <c r="C55" s="180">
        <f>ROUND(C46,4)</f>
        <v>0.155</v>
      </c>
      <c r="E55" s="195" t="s">
        <v>428</v>
      </c>
      <c r="F55" s="196">
        <f>F54*F49</f>
        <v>7.2750300000000004E-2</v>
      </c>
      <c r="G55" s="196">
        <f>G54*G49</f>
        <v>8.4415799999999999E-2</v>
      </c>
      <c r="H55" s="180">
        <f>ROUND((H54*H49),4)</f>
        <v>8.4400000000000003E-2</v>
      </c>
    </row>
    <row r="56" spans="1:8" ht="15.75" customHeight="1" x14ac:dyDescent="0.3">
      <c r="A56" s="600" t="s">
        <v>413</v>
      </c>
      <c r="B56" s="600"/>
      <c r="C56" s="180">
        <f>ROUND(C49,4)</f>
        <v>8.0000000000000004E-4</v>
      </c>
      <c r="E56" s="195" t="s">
        <v>429</v>
      </c>
      <c r="F56" s="196">
        <v>3.4909999999999997E-2</v>
      </c>
      <c r="G56" s="196">
        <v>3.4909999999999997E-2</v>
      </c>
      <c r="H56" s="200">
        <f>C33</f>
        <v>3.4909999999999997E-2</v>
      </c>
    </row>
    <row r="57" spans="1:8" ht="15.75" customHeight="1" x14ac:dyDescent="0.3">
      <c r="A57" s="606" t="s">
        <v>430</v>
      </c>
      <c r="B57" s="606"/>
      <c r="C57" s="182">
        <f>SUM(C51:C56)</f>
        <v>0.79049999999999998</v>
      </c>
      <c r="E57" s="201" t="s">
        <v>431</v>
      </c>
      <c r="F57" s="202">
        <f>SUM(F54:F56)</f>
        <v>0.3197603</v>
      </c>
      <c r="G57" s="202">
        <f>SUM(G54:G56)</f>
        <v>0.33142579999999999</v>
      </c>
      <c r="H57" s="203">
        <f>ROUND((SUM(H54:H56)),4)</f>
        <v>0.33139999999999997</v>
      </c>
    </row>
    <row r="58" spans="1:8" ht="24" x14ac:dyDescent="0.3">
      <c r="A58" s="204" t="s">
        <v>50</v>
      </c>
      <c r="B58" s="205"/>
      <c r="C58" s="206"/>
      <c r="E58" s="195" t="s">
        <v>432</v>
      </c>
      <c r="F58" s="207" t="s">
        <v>283</v>
      </c>
      <c r="G58" s="207" t="s">
        <v>283</v>
      </c>
      <c r="H58" s="208" t="s">
        <v>283</v>
      </c>
    </row>
    <row r="59" spans="1:8" ht="54.75" customHeight="1" x14ac:dyDescent="0.3">
      <c r="A59" s="607" t="s">
        <v>433</v>
      </c>
      <c r="B59" s="607"/>
      <c r="C59" s="607"/>
      <c r="E59" s="209" t="s">
        <v>434</v>
      </c>
      <c r="F59" s="210">
        <f>F57</f>
        <v>0.3197603</v>
      </c>
      <c r="G59" s="210">
        <f>G57</f>
        <v>0.33142579999999999</v>
      </c>
      <c r="H59" s="211">
        <f>ROUND((H57),4)</f>
        <v>0.33139999999999997</v>
      </c>
    </row>
    <row r="61" spans="1:8" ht="12.75" customHeight="1" x14ac:dyDescent="0.3"/>
  </sheetData>
  <sheetProtection password="C494" sheet="1" objects="1" scenarios="1"/>
  <mergeCells count="36">
    <mergeCell ref="A54:B54"/>
    <mergeCell ref="A55:B55"/>
    <mergeCell ref="A56:B56"/>
    <mergeCell ref="A57:B57"/>
    <mergeCell ref="A59:C59"/>
    <mergeCell ref="A49:B49"/>
    <mergeCell ref="A50:C50"/>
    <mergeCell ref="A51:B51"/>
    <mergeCell ref="A52:B52"/>
    <mergeCell ref="A53:B53"/>
    <mergeCell ref="E44:H45"/>
    <mergeCell ref="A45:B45"/>
    <mergeCell ref="A46:B46"/>
    <mergeCell ref="E46:E47"/>
    <mergeCell ref="F46:H46"/>
    <mergeCell ref="F47:H47"/>
    <mergeCell ref="A32:B32"/>
    <mergeCell ref="A35:B35"/>
    <mergeCell ref="A37:B37"/>
    <mergeCell ref="B38:C38"/>
    <mergeCell ref="A44:B44"/>
    <mergeCell ref="A25:B25"/>
    <mergeCell ref="B26:C26"/>
    <mergeCell ref="A28:B28"/>
    <mergeCell ref="A29:B29"/>
    <mergeCell ref="B30:C30"/>
    <mergeCell ref="A18:B18"/>
    <mergeCell ref="A19:C19"/>
    <mergeCell ref="A20:C20"/>
    <mergeCell ref="A23:B23"/>
    <mergeCell ref="A24:B24"/>
    <mergeCell ref="A4:C4"/>
    <mergeCell ref="A5:C5"/>
    <mergeCell ref="A6:C6"/>
    <mergeCell ref="A7:C7"/>
    <mergeCell ref="B9:C9"/>
  </mergeCells>
  <printOptions horizontalCentered="1" verticalCentered="1"/>
  <pageMargins left="0.51180555555555596" right="0.51180555555555596" top="0.78749999999999998" bottom="0.78749999999999998" header="0.511811023622047" footer="0.511811023622047"/>
  <pageSetup paperSize="9" scale="58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7"/>
  <sheetViews>
    <sheetView showGridLines="0" zoomScaleNormal="100" zoomScaleSheetLayoutView="100" workbookViewId="0">
      <selection activeCell="E27" sqref="E27"/>
    </sheetView>
  </sheetViews>
  <sheetFormatPr defaultColWidth="8.6640625" defaultRowHeight="14.4" x14ac:dyDescent="0.3"/>
  <cols>
    <col min="1" max="1" width="5" style="52" customWidth="1"/>
    <col min="2" max="2" width="29.33203125" style="55" customWidth="1"/>
    <col min="3" max="3" width="10.44140625" style="55" customWidth="1"/>
    <col min="4" max="8" width="18.44140625" style="55" customWidth="1"/>
    <col min="9" max="9" width="4.33203125" customWidth="1"/>
    <col min="10" max="10" width="11.44140625" customWidth="1"/>
    <col min="11" max="11" width="12.44140625" style="55" customWidth="1"/>
    <col min="12" max="12" width="8.5546875" hidden="1" customWidth="1"/>
    <col min="13" max="13" width="9" customWidth="1"/>
    <col min="14" max="14" width="26.109375" hidden="1" customWidth="1"/>
    <col min="15" max="19" width="11.5546875" hidden="1" customWidth="1"/>
    <col min="20" max="256" width="9" customWidth="1"/>
    <col min="257" max="257" width="8.33203125" customWidth="1"/>
    <col min="258" max="258" width="44.5546875" customWidth="1"/>
    <col min="259" max="259" width="7.44140625" customWidth="1"/>
    <col min="260" max="260" width="13" customWidth="1"/>
    <col min="261" max="261" width="11.6640625" customWidth="1"/>
    <col min="262" max="262" width="10.5546875" customWidth="1"/>
    <col min="263" max="263" width="14.44140625" customWidth="1"/>
    <col min="264" max="264" width="35.44140625" customWidth="1"/>
    <col min="265" max="265" width="14" customWidth="1"/>
    <col min="266" max="266" width="11.6640625" customWidth="1"/>
    <col min="267" max="267" width="13.5546875" customWidth="1"/>
    <col min="268" max="512" width="9" customWidth="1"/>
    <col min="513" max="513" width="8.33203125" customWidth="1"/>
    <col min="514" max="514" width="44.5546875" customWidth="1"/>
    <col min="515" max="515" width="7.44140625" customWidth="1"/>
    <col min="516" max="516" width="13" customWidth="1"/>
    <col min="517" max="517" width="11.6640625" customWidth="1"/>
    <col min="518" max="518" width="10.5546875" customWidth="1"/>
    <col min="519" max="519" width="14.44140625" customWidth="1"/>
    <col min="520" max="520" width="35.44140625" customWidth="1"/>
    <col min="521" max="521" width="14" customWidth="1"/>
    <col min="522" max="522" width="11.6640625" customWidth="1"/>
    <col min="523" max="523" width="13.5546875" customWidth="1"/>
    <col min="524" max="768" width="9" customWidth="1"/>
    <col min="769" max="769" width="8.33203125" customWidth="1"/>
    <col min="770" max="770" width="44.5546875" customWidth="1"/>
    <col min="771" max="771" width="7.44140625" customWidth="1"/>
    <col min="772" max="772" width="13" customWidth="1"/>
    <col min="773" max="773" width="11.6640625" customWidth="1"/>
    <col min="774" max="774" width="10.5546875" customWidth="1"/>
    <col min="775" max="775" width="14.44140625" customWidth="1"/>
    <col min="776" max="776" width="35.44140625" customWidth="1"/>
    <col min="777" max="777" width="14" customWidth="1"/>
    <col min="778" max="778" width="11.6640625" customWidth="1"/>
    <col min="779" max="779" width="13.5546875" customWidth="1"/>
    <col min="780" max="1025" width="9" customWidth="1"/>
  </cols>
  <sheetData>
    <row r="1" spans="1:22" s="55" customFormat="1" ht="15" customHeight="1" x14ac:dyDescent="0.3">
      <c r="A1" s="76"/>
      <c r="B1" s="77" t="str">
        <f>INSTRUÇÕES!B1</f>
        <v>Tribunal Regional Federal da 6ª Região</v>
      </c>
      <c r="C1" s="78"/>
      <c r="D1" s="78"/>
      <c r="E1" s="78"/>
      <c r="F1" s="78"/>
      <c r="G1" s="78"/>
      <c r="H1" s="78"/>
    </row>
    <row r="2" spans="1:22" s="55" customFormat="1" ht="17.25" customHeight="1" x14ac:dyDescent="0.3">
      <c r="A2" s="79"/>
      <c r="B2" s="80" t="str">
        <f>INSTRUÇÕES!B2</f>
        <v>Seção Judiciária de Minas Gerais</v>
      </c>
    </row>
    <row r="3" spans="1:22" s="55" customFormat="1" ht="16.5" customHeight="1" x14ac:dyDescent="0.3">
      <c r="A3" s="79"/>
      <c r="B3" s="80" t="str">
        <f>INSTRUÇÕES!B3</f>
        <v>Subseção Judiciária de Governador Valadares</v>
      </c>
      <c r="N3" s="1"/>
      <c r="O3" s="1"/>
      <c r="P3" s="1"/>
      <c r="Q3" s="1"/>
      <c r="R3" s="1"/>
      <c r="S3" s="1"/>
      <c r="T3" s="1"/>
    </row>
    <row r="4" spans="1:22" s="55" customFormat="1" ht="27.75" customHeight="1" x14ac:dyDescent="0.3">
      <c r="A4" s="611" t="s">
        <v>118</v>
      </c>
      <c r="B4" s="611"/>
      <c r="C4" s="611"/>
      <c r="D4" s="611"/>
      <c r="E4" s="611"/>
      <c r="F4" s="611"/>
      <c r="G4" s="611"/>
      <c r="H4" s="611"/>
      <c r="I4" s="81"/>
      <c r="J4" s="81"/>
      <c r="U4" s="1"/>
      <c r="V4" s="1"/>
    </row>
    <row r="5" spans="1:22" s="1" customFormat="1" ht="30.75" customHeight="1" x14ac:dyDescent="0.3">
      <c r="A5" s="612" t="s">
        <v>119</v>
      </c>
      <c r="B5" s="612"/>
      <c r="C5" s="612"/>
      <c r="D5" s="612"/>
      <c r="E5" s="612"/>
      <c r="F5" s="612"/>
      <c r="G5" s="612"/>
      <c r="H5" s="612"/>
      <c r="K5" s="82"/>
      <c r="N5" s="554" t="s">
        <v>120</v>
      </c>
      <c r="O5" s="554"/>
      <c r="P5" s="554"/>
      <c r="Q5" s="554"/>
      <c r="R5" s="554"/>
      <c r="S5" s="554"/>
      <c r="T5" s="55"/>
      <c r="U5" s="55"/>
      <c r="V5" s="55"/>
    </row>
    <row r="6" spans="1:22" s="55" customFormat="1" ht="15" customHeight="1" x14ac:dyDescent="0.3">
      <c r="A6" s="608" t="s">
        <v>59</v>
      </c>
      <c r="B6" s="609" t="s">
        <v>121</v>
      </c>
      <c r="C6" s="609"/>
      <c r="D6" s="609"/>
      <c r="E6" s="616" t="s">
        <v>125</v>
      </c>
      <c r="F6" s="616" t="s">
        <v>71</v>
      </c>
      <c r="G6" s="619" t="s">
        <v>124</v>
      </c>
      <c r="H6" s="615" t="s">
        <v>122</v>
      </c>
      <c r="I6" s="54"/>
      <c r="J6" s="54"/>
      <c r="N6" s="554"/>
      <c r="O6" s="554"/>
      <c r="P6" s="554"/>
      <c r="Q6" s="554"/>
      <c r="R6" s="554"/>
      <c r="S6" s="554"/>
    </row>
    <row r="7" spans="1:22" s="55" customFormat="1" ht="13.5" customHeight="1" x14ac:dyDescent="0.3">
      <c r="A7" s="608"/>
      <c r="B7" s="609"/>
      <c r="C7" s="609"/>
      <c r="D7" s="609"/>
      <c r="E7" s="617"/>
      <c r="F7" s="617"/>
      <c r="G7" s="620"/>
      <c r="H7" s="615"/>
      <c r="I7" s="54"/>
      <c r="J7" s="610" t="s">
        <v>123</v>
      </c>
      <c r="K7" s="610"/>
      <c r="L7" s="610"/>
      <c r="N7" s="554"/>
      <c r="O7" s="554"/>
      <c r="P7" s="554"/>
      <c r="Q7" s="554"/>
      <c r="R7" s="554"/>
      <c r="S7" s="554"/>
    </row>
    <row r="8" spans="1:22" s="55" customFormat="1" ht="41.4" x14ac:dyDescent="0.3">
      <c r="A8" s="608"/>
      <c r="B8" s="509" t="s">
        <v>64</v>
      </c>
      <c r="C8" s="84" t="s">
        <v>65</v>
      </c>
      <c r="D8" s="84" t="s">
        <v>66</v>
      </c>
      <c r="E8" s="618"/>
      <c r="F8" s="618"/>
      <c r="G8" s="621"/>
      <c r="H8" s="615"/>
      <c r="I8" s="54"/>
      <c r="J8" s="84" t="s">
        <v>69</v>
      </c>
      <c r="K8" s="84" t="s">
        <v>68</v>
      </c>
      <c r="L8" s="85" t="s">
        <v>126</v>
      </c>
      <c r="N8" s="86" t="s">
        <v>127</v>
      </c>
      <c r="O8" s="19" t="s">
        <v>128</v>
      </c>
      <c r="P8" s="19" t="s">
        <v>129</v>
      </c>
      <c r="Q8" s="19" t="s">
        <v>130</v>
      </c>
      <c r="R8" s="19" t="s">
        <v>131</v>
      </c>
      <c r="S8" s="21" t="s">
        <v>132</v>
      </c>
    </row>
    <row r="9" spans="1:22" s="55" customFormat="1" ht="15" customHeight="1" x14ac:dyDescent="0.3">
      <c r="A9" s="57">
        <v>1</v>
      </c>
      <c r="B9" s="507" t="s">
        <v>73</v>
      </c>
      <c r="C9" s="58" t="s">
        <v>74</v>
      </c>
      <c r="D9" s="58"/>
      <c r="E9" s="90">
        <v>1</v>
      </c>
      <c r="F9" s="91" t="s">
        <v>133</v>
      </c>
      <c r="G9" s="87">
        <v>50.2</v>
      </c>
      <c r="H9" s="89"/>
      <c r="I9" s="54"/>
      <c r="J9" s="58">
        <f>'Ocorrências Mensais - FAT'!L29</f>
        <v>1</v>
      </c>
      <c r="K9" s="88">
        <f t="shared" ref="K9:K38" si="0">G9*J9</f>
        <v>50.2</v>
      </c>
      <c r="L9" s="92">
        <f t="shared" ref="L9:L38" si="1">IF(F9="MENSAL",1,IF(F9="BIMESTRAL",2,IF(F9="TRIMESTRAL",3,IF(F9="QUADRIMESTRAL",4,IF(F9="SEMESTRAL",6,IF(F9="ANUAL",12,IF(F9="BIENAL",24,"")))))))</f>
        <v>1</v>
      </c>
      <c r="N9" s="93">
        <v>1.99</v>
      </c>
      <c r="O9" s="35">
        <f>ROUND(IF(Dados!$J$59="SIM",N9*Dados!$N$59,N9),2)</f>
        <v>1.99</v>
      </c>
      <c r="P9" s="35">
        <f>ROUND(IF(Dados!$J$60="SIM",O9*Dados!$N$60,O9),2)</f>
        <v>1.99</v>
      </c>
      <c r="Q9" s="35">
        <f>ROUND(IF(Dados!$J$61="SIM",P9*Dados!$N$61,P9),2)</f>
        <v>1.99</v>
      </c>
      <c r="R9" s="35">
        <f>ROUND(IF(Dados!$J$62="SIM",Q9*Dados!$N$62,Q9),2)</f>
        <v>1.99</v>
      </c>
      <c r="S9" s="94">
        <f>ROUND(IF(Dados!$J$63="SIM",R9*Dados!$N$63,R9),2)</f>
        <v>1.99</v>
      </c>
    </row>
    <row r="10" spans="1:22" s="55" customFormat="1" ht="14.4" customHeight="1" x14ac:dyDescent="0.3">
      <c r="A10" s="64">
        <v>2</v>
      </c>
      <c r="B10" s="507" t="s">
        <v>75</v>
      </c>
      <c r="C10" s="58" t="s">
        <v>65</v>
      </c>
      <c r="D10" s="58"/>
      <c r="E10" s="25">
        <v>15</v>
      </c>
      <c r="F10" s="91" t="s">
        <v>133</v>
      </c>
      <c r="G10" s="87">
        <v>11.24</v>
      </c>
      <c r="H10" s="95"/>
      <c r="I10" s="54"/>
      <c r="J10" s="58">
        <f>'Ocorrências Mensais - FAT'!L30</f>
        <v>15</v>
      </c>
      <c r="K10" s="88">
        <f t="shared" si="0"/>
        <v>168.6</v>
      </c>
      <c r="L10" s="92">
        <f t="shared" si="1"/>
        <v>1</v>
      </c>
      <c r="N10" s="93">
        <v>2</v>
      </c>
      <c r="O10" s="35">
        <f>ROUND(IF(Dados!$J$59="SIM",N10*Dados!$N$59,N10),2)</f>
        <v>2</v>
      </c>
      <c r="P10" s="35">
        <f>ROUND(IF(Dados!$J$60="SIM",O10*Dados!$N$60,O10),2)</f>
        <v>2</v>
      </c>
      <c r="Q10" s="35">
        <f>ROUND(IF(Dados!$J$61="SIM",P10*Dados!$N$61,P10),2)</f>
        <v>2</v>
      </c>
      <c r="R10" s="35">
        <f>ROUND(IF(Dados!$J$62="SIM",Q10*Dados!$N$62,Q10),2)</f>
        <v>2</v>
      </c>
      <c r="S10" s="94">
        <f>ROUND(IF(Dados!$J$63="SIM",R10*Dados!$N$63,R10),2)</f>
        <v>2</v>
      </c>
    </row>
    <row r="11" spans="1:22" s="55" customFormat="1" ht="26.85" customHeight="1" x14ac:dyDescent="0.3">
      <c r="A11" s="64">
        <v>3</v>
      </c>
      <c r="B11" s="507" t="s">
        <v>134</v>
      </c>
      <c r="C11" s="58" t="s">
        <v>65</v>
      </c>
      <c r="D11" s="96" t="s">
        <v>135</v>
      </c>
      <c r="E11" s="25">
        <v>5</v>
      </c>
      <c r="F11" s="91" t="s">
        <v>136</v>
      </c>
      <c r="G11" s="87">
        <v>24.44</v>
      </c>
      <c r="H11" s="95"/>
      <c r="I11" s="54"/>
      <c r="J11" s="58">
        <f>'Ocorrências Mensais - FAT'!L31</f>
        <v>0.41666666666666669</v>
      </c>
      <c r="K11" s="88">
        <f t="shared" si="0"/>
        <v>10.183333333333334</v>
      </c>
      <c r="L11" s="92">
        <f t="shared" si="1"/>
        <v>12</v>
      </c>
      <c r="N11" s="93">
        <v>4.0999999999999996</v>
      </c>
      <c r="O11" s="35">
        <f>ROUND(IF(Dados!$J$59="SIM",N11*Dados!$N$59,N11),2)</f>
        <v>4.0999999999999996</v>
      </c>
      <c r="P11" s="35">
        <f>ROUND(IF(Dados!$J$60="SIM",O11*Dados!$N$60,O11),2)</f>
        <v>4.0999999999999996</v>
      </c>
      <c r="Q11" s="35">
        <f>ROUND(IF(Dados!$J$61="SIM",P11*Dados!$N$61,P11),2)</f>
        <v>4.0999999999999996</v>
      </c>
      <c r="R11" s="35">
        <f>ROUND(IF(Dados!$J$62="SIM",Q11*Dados!$N$62,Q11),2)</f>
        <v>4.0999999999999996</v>
      </c>
      <c r="S11" s="94">
        <f>ROUND(IF(Dados!$J$63="SIM",R11*Dados!$N$63,R11),2)</f>
        <v>4.0999999999999996</v>
      </c>
    </row>
    <row r="12" spans="1:22" s="55" customFormat="1" ht="15.6" customHeight="1" x14ac:dyDescent="0.3">
      <c r="A12" s="64">
        <v>4</v>
      </c>
      <c r="B12" s="507" t="s">
        <v>76</v>
      </c>
      <c r="C12" s="58" t="s">
        <v>74</v>
      </c>
      <c r="D12" s="58"/>
      <c r="E12" s="25">
        <v>8</v>
      </c>
      <c r="F12" s="91" t="s">
        <v>133</v>
      </c>
      <c r="G12" s="87">
        <v>21.68</v>
      </c>
      <c r="H12" s="95"/>
      <c r="I12" s="54"/>
      <c r="J12" s="58">
        <f>'Ocorrências Mensais - FAT'!L32</f>
        <v>8</v>
      </c>
      <c r="K12" s="88">
        <f t="shared" si="0"/>
        <v>173.44</v>
      </c>
      <c r="L12" s="92">
        <f t="shared" si="1"/>
        <v>1</v>
      </c>
      <c r="N12" s="93">
        <v>3</v>
      </c>
      <c r="O12" s="35">
        <f>ROUND(IF(Dados!$J$59="SIM",N12*Dados!$N$59,N12),2)</f>
        <v>3</v>
      </c>
      <c r="P12" s="35">
        <f>ROUND(IF(Dados!$J$60="SIM",O12*Dados!$N$60,O12),2)</f>
        <v>3</v>
      </c>
      <c r="Q12" s="35">
        <f>ROUND(IF(Dados!$J$61="SIM",P12*Dados!$N$61,P12),2)</f>
        <v>3</v>
      </c>
      <c r="R12" s="35">
        <f>ROUND(IF(Dados!$J$62="SIM",Q12*Dados!$N$62,Q12),2)</f>
        <v>3</v>
      </c>
      <c r="S12" s="94">
        <f>ROUND(IF(Dados!$J$63="SIM",R12*Dados!$N$63,R12),2)</f>
        <v>3</v>
      </c>
    </row>
    <row r="13" spans="1:22" s="55" customFormat="1" ht="15" customHeight="1" x14ac:dyDescent="0.3">
      <c r="A13" s="64">
        <v>5</v>
      </c>
      <c r="B13" s="507" t="s">
        <v>137</v>
      </c>
      <c r="C13" s="58" t="s">
        <v>65</v>
      </c>
      <c r="D13" s="96" t="s">
        <v>138</v>
      </c>
      <c r="E13" s="25">
        <v>1</v>
      </c>
      <c r="F13" s="91" t="s">
        <v>136</v>
      </c>
      <c r="G13" s="87">
        <v>15.5</v>
      </c>
      <c r="H13" s="95"/>
      <c r="I13" s="54"/>
      <c r="J13" s="58">
        <f>'Ocorrências Mensais - FAT'!L33</f>
        <v>8.3333333333333329E-2</v>
      </c>
      <c r="K13" s="88">
        <f t="shared" si="0"/>
        <v>1.2916666666666665</v>
      </c>
      <c r="L13" s="92">
        <f t="shared" si="1"/>
        <v>12</v>
      </c>
      <c r="N13" s="93">
        <v>3.8</v>
      </c>
      <c r="O13" s="35">
        <f>ROUND(IF(Dados!$J$59="SIM",N13*Dados!$N$59,N13),2)</f>
        <v>3.8</v>
      </c>
      <c r="P13" s="35">
        <f>ROUND(IF(Dados!$J$60="SIM",O13*Dados!$N$60,O13),2)</f>
        <v>3.8</v>
      </c>
      <c r="Q13" s="35">
        <f>ROUND(IF(Dados!$J$61="SIM",P13*Dados!$N$61,P13),2)</f>
        <v>3.8</v>
      </c>
      <c r="R13" s="35">
        <f>ROUND(IF(Dados!$J$62="SIM",Q13*Dados!$N$62,Q13),2)</f>
        <v>3.8</v>
      </c>
      <c r="S13" s="94">
        <f>ROUND(IF(Dados!$J$63="SIM",R13*Dados!$N$63,R13),2)</f>
        <v>3.8</v>
      </c>
    </row>
    <row r="14" spans="1:22" s="55" customFormat="1" ht="27.6" customHeight="1" x14ac:dyDescent="0.3">
      <c r="A14" s="64">
        <v>6</v>
      </c>
      <c r="B14" s="507" t="s">
        <v>139</v>
      </c>
      <c r="C14" s="58" t="s">
        <v>65</v>
      </c>
      <c r="D14" s="58"/>
      <c r="E14" s="25">
        <v>2</v>
      </c>
      <c r="F14" s="91" t="s">
        <v>136</v>
      </c>
      <c r="G14" s="87">
        <v>14.32</v>
      </c>
      <c r="H14" s="95"/>
      <c r="I14" s="54"/>
      <c r="J14" s="58">
        <f>'Ocorrências Mensais - FAT'!L34</f>
        <v>0.16666666666666666</v>
      </c>
      <c r="K14" s="88">
        <f t="shared" si="0"/>
        <v>2.3866666666666667</v>
      </c>
      <c r="L14" s="92">
        <f t="shared" si="1"/>
        <v>12</v>
      </c>
      <c r="N14" s="93">
        <v>4.1399999999999997</v>
      </c>
      <c r="O14" s="35">
        <f>ROUND(IF(Dados!$J$59="SIM",N14*Dados!$N$59,N14),2)</f>
        <v>4.1399999999999997</v>
      </c>
      <c r="P14" s="35">
        <f>ROUND(IF(Dados!$J$60="SIM",O14*Dados!$N$60,O14),2)</f>
        <v>4.1399999999999997</v>
      </c>
      <c r="Q14" s="35">
        <f>ROUND(IF(Dados!$J$61="SIM",P14*Dados!$N$61,P14),2)</f>
        <v>4.1399999999999997</v>
      </c>
      <c r="R14" s="35">
        <f>ROUND(IF(Dados!$J$62="SIM",Q14*Dados!$N$62,Q14),2)</f>
        <v>4.1399999999999997</v>
      </c>
      <c r="S14" s="94">
        <f>ROUND(IF(Dados!$J$63="SIM",R14*Dados!$N$63,R14),2)</f>
        <v>4.1399999999999997</v>
      </c>
    </row>
    <row r="15" spans="1:22" s="55" customFormat="1" ht="25.35" customHeight="1" x14ac:dyDescent="0.3">
      <c r="A15" s="64">
        <v>7</v>
      </c>
      <c r="B15" s="97" t="s">
        <v>140</v>
      </c>
      <c r="C15" s="58" t="s">
        <v>74</v>
      </c>
      <c r="D15" s="58" t="s">
        <v>77</v>
      </c>
      <c r="E15" s="25">
        <v>3</v>
      </c>
      <c r="F15" s="91" t="s">
        <v>133</v>
      </c>
      <c r="G15" s="87">
        <v>16.87</v>
      </c>
      <c r="H15" s="95"/>
      <c r="I15" s="54"/>
      <c r="J15" s="58">
        <f>'Ocorrências Mensais - FAT'!L35</f>
        <v>3</v>
      </c>
      <c r="K15" s="88">
        <f t="shared" si="0"/>
        <v>50.61</v>
      </c>
      <c r="L15" s="92">
        <f t="shared" si="1"/>
        <v>1</v>
      </c>
      <c r="N15" s="93">
        <v>1.4</v>
      </c>
      <c r="O15" s="35">
        <f>ROUND(IF(Dados!$J$59="SIM",N15*Dados!$N$59,N15),2)</f>
        <v>1.4</v>
      </c>
      <c r="P15" s="35">
        <f>ROUND(IF(Dados!$J$60="SIM",O15*Dados!$N$60,O15),2)</f>
        <v>1.4</v>
      </c>
      <c r="Q15" s="35">
        <f>ROUND(IF(Dados!$J$61="SIM",P15*Dados!$N$61,P15),2)</f>
        <v>1.4</v>
      </c>
      <c r="R15" s="35">
        <f>ROUND(IF(Dados!$J$62="SIM",Q15*Dados!$N$62,Q15),2)</f>
        <v>1.4</v>
      </c>
      <c r="S15" s="94">
        <f>ROUND(IF(Dados!$J$63="SIM",R15*Dados!$N$63,R15),2)</f>
        <v>1.4</v>
      </c>
    </row>
    <row r="16" spans="1:22" s="55" customFormat="1" ht="14.4" customHeight="1" x14ac:dyDescent="0.3">
      <c r="A16" s="64">
        <v>8</v>
      </c>
      <c r="B16" s="507" t="s">
        <v>78</v>
      </c>
      <c r="C16" s="58" t="s">
        <v>65</v>
      </c>
      <c r="D16" s="58" t="s">
        <v>79</v>
      </c>
      <c r="E16" s="25">
        <v>4</v>
      </c>
      <c r="F16" s="91" t="s">
        <v>133</v>
      </c>
      <c r="G16" s="87">
        <v>2.94</v>
      </c>
      <c r="H16" s="95"/>
      <c r="I16" s="54"/>
      <c r="J16" s="58">
        <f>'Ocorrências Mensais - FAT'!L36</f>
        <v>4</v>
      </c>
      <c r="K16" s="88">
        <f t="shared" si="0"/>
        <v>11.76</v>
      </c>
      <c r="L16" s="92">
        <f t="shared" si="1"/>
        <v>1</v>
      </c>
      <c r="N16" s="93">
        <v>3.2</v>
      </c>
      <c r="O16" s="35">
        <f>ROUND(IF(Dados!$J$59="SIM",N16*Dados!$N$59,N16),2)</f>
        <v>3.2</v>
      </c>
      <c r="P16" s="35">
        <f>ROUND(IF(Dados!$J$60="SIM",O16*Dados!$N$60,O16),2)</f>
        <v>3.2</v>
      </c>
      <c r="Q16" s="35">
        <f>ROUND(IF(Dados!$J$61="SIM",P16*Dados!$N$61,P16),2)</f>
        <v>3.2</v>
      </c>
      <c r="R16" s="35">
        <f>ROUND(IF(Dados!$J$62="SIM",Q16*Dados!$N$62,Q16),2)</f>
        <v>3.2</v>
      </c>
      <c r="S16" s="94">
        <f>ROUND(IF(Dados!$J$63="SIM",R16*Dados!$N$63,R16),2)</f>
        <v>3.2</v>
      </c>
    </row>
    <row r="17" spans="1:19" s="55" customFormat="1" ht="26.1" customHeight="1" x14ac:dyDescent="0.3">
      <c r="A17" s="65">
        <v>9</v>
      </c>
      <c r="B17" s="97" t="s">
        <v>141</v>
      </c>
      <c r="C17" s="58" t="s">
        <v>65</v>
      </c>
      <c r="D17" s="58" t="s">
        <v>80</v>
      </c>
      <c r="E17" s="25">
        <v>1</v>
      </c>
      <c r="F17" s="91" t="s">
        <v>136</v>
      </c>
      <c r="G17" s="87">
        <v>4.3</v>
      </c>
      <c r="H17" s="95"/>
      <c r="I17" s="54"/>
      <c r="J17" s="58">
        <f>'Ocorrências Mensais - FAT'!L37</f>
        <v>8.3333333333333329E-2</v>
      </c>
      <c r="K17" s="88">
        <f t="shared" si="0"/>
        <v>0.35833333333333328</v>
      </c>
      <c r="L17" s="92">
        <f t="shared" si="1"/>
        <v>12</v>
      </c>
      <c r="N17" s="93">
        <v>4</v>
      </c>
      <c r="O17" s="35">
        <f>ROUND(IF(Dados!$J$59="SIM",N17*Dados!$N$59,N17),2)</f>
        <v>4</v>
      </c>
      <c r="P17" s="35">
        <f>ROUND(IF(Dados!$J$60="SIM",O17*Dados!$N$60,O17),2)</f>
        <v>4</v>
      </c>
      <c r="Q17" s="35">
        <f>ROUND(IF(Dados!$J$61="SIM",P17*Dados!$N$61,P17),2)</f>
        <v>4</v>
      </c>
      <c r="R17" s="35">
        <f>ROUND(IF(Dados!$J$62="SIM",Q17*Dados!$N$62,Q17),2)</f>
        <v>4</v>
      </c>
      <c r="S17" s="94">
        <f>ROUND(IF(Dados!$J$63="SIM",R17*Dados!$N$63,R17),2)</f>
        <v>4</v>
      </c>
    </row>
    <row r="18" spans="1:19" s="55" customFormat="1" ht="15" customHeight="1" x14ac:dyDescent="0.3">
      <c r="A18" s="64">
        <v>10</v>
      </c>
      <c r="B18" s="97" t="s">
        <v>142</v>
      </c>
      <c r="C18" s="58" t="s">
        <v>65</v>
      </c>
      <c r="D18" s="58" t="s">
        <v>143</v>
      </c>
      <c r="E18" s="25">
        <v>4</v>
      </c>
      <c r="F18" s="91" t="s">
        <v>133</v>
      </c>
      <c r="G18" s="87">
        <v>2.5499999999999998</v>
      </c>
      <c r="H18" s="95"/>
      <c r="I18" s="54"/>
      <c r="J18" s="58">
        <f>'Ocorrências Mensais - FAT'!L38</f>
        <v>4</v>
      </c>
      <c r="K18" s="88">
        <f t="shared" si="0"/>
        <v>10.199999999999999</v>
      </c>
      <c r="L18" s="92">
        <f t="shared" si="1"/>
        <v>1</v>
      </c>
      <c r="N18" s="93">
        <v>1.2</v>
      </c>
      <c r="O18" s="35">
        <f>ROUND(IF(Dados!$J$59="SIM",N18*Dados!$N$59,N18),2)</f>
        <v>1.2</v>
      </c>
      <c r="P18" s="35">
        <f>ROUND(IF(Dados!$J$60="SIM",O18*Dados!$N$60,O18),2)</f>
        <v>1.2</v>
      </c>
      <c r="Q18" s="35">
        <f>ROUND(IF(Dados!$J$61="SIM",P18*Dados!$N$61,P18),2)</f>
        <v>1.2</v>
      </c>
      <c r="R18" s="35">
        <f>ROUND(IF(Dados!$J$62="SIM",Q18*Dados!$N$62,Q18),2)</f>
        <v>1.2</v>
      </c>
      <c r="S18" s="94">
        <f>ROUND(IF(Dados!$J$63="SIM",R18*Dados!$N$63,R18),2)</f>
        <v>1.2</v>
      </c>
    </row>
    <row r="19" spans="1:19" s="55" customFormat="1" ht="27.6" x14ac:dyDescent="0.3">
      <c r="A19" s="64">
        <v>11</v>
      </c>
      <c r="B19" s="507" t="s">
        <v>144</v>
      </c>
      <c r="C19" s="58" t="s">
        <v>65</v>
      </c>
      <c r="D19" s="58" t="s">
        <v>81</v>
      </c>
      <c r="E19" s="25">
        <v>1</v>
      </c>
      <c r="F19" s="91" t="s">
        <v>136</v>
      </c>
      <c r="G19" s="87">
        <v>345.5</v>
      </c>
      <c r="H19" s="95"/>
      <c r="I19" s="54"/>
      <c r="J19" s="58">
        <f>'Ocorrências Mensais - FAT'!L39</f>
        <v>8.3333333333333329E-2</v>
      </c>
      <c r="K19" s="88">
        <f t="shared" si="0"/>
        <v>28.791666666666664</v>
      </c>
      <c r="L19" s="92">
        <f t="shared" si="1"/>
        <v>12</v>
      </c>
      <c r="N19" s="93">
        <v>1.3</v>
      </c>
      <c r="O19" s="35">
        <f>ROUND(IF(Dados!$J$59="SIM",N19*Dados!$N$59,N19),2)</f>
        <v>1.3</v>
      </c>
      <c r="P19" s="35">
        <f>ROUND(IF(Dados!$J$60="SIM",O19*Dados!$N$60,O19),2)</f>
        <v>1.3</v>
      </c>
      <c r="Q19" s="35">
        <f>ROUND(IF(Dados!$J$61="SIM",P19*Dados!$N$61,P19),2)</f>
        <v>1.3</v>
      </c>
      <c r="R19" s="35">
        <f>ROUND(IF(Dados!$J$62="SIM",Q19*Dados!$N$62,Q19),2)</f>
        <v>1.3</v>
      </c>
      <c r="S19" s="94">
        <f>ROUND(IF(Dados!$J$63="SIM",R19*Dados!$N$63,R19),2)</f>
        <v>1.3</v>
      </c>
    </row>
    <row r="20" spans="1:19" s="55" customFormat="1" ht="25.35" customHeight="1" x14ac:dyDescent="0.3">
      <c r="A20" s="65">
        <v>12</v>
      </c>
      <c r="B20" s="97" t="s">
        <v>145</v>
      </c>
      <c r="C20" s="58" t="s">
        <v>65</v>
      </c>
      <c r="D20" s="58" t="s">
        <v>82</v>
      </c>
      <c r="E20" s="25">
        <v>8</v>
      </c>
      <c r="F20" s="91" t="s">
        <v>146</v>
      </c>
      <c r="G20" s="87">
        <v>4.6900000000000004</v>
      </c>
      <c r="H20" s="95"/>
      <c r="I20" s="54"/>
      <c r="J20" s="58">
        <f>'Ocorrências Mensais - FAT'!L40</f>
        <v>4</v>
      </c>
      <c r="K20" s="88">
        <f t="shared" si="0"/>
        <v>18.760000000000002</v>
      </c>
      <c r="L20" s="92">
        <f t="shared" si="1"/>
        <v>2</v>
      </c>
      <c r="N20" s="93">
        <v>1.48</v>
      </c>
      <c r="O20" s="35">
        <f>ROUND(IF(Dados!$J$59="SIM",N20*Dados!$N$59,N20),2)</f>
        <v>1.48</v>
      </c>
      <c r="P20" s="35">
        <f>ROUND(IF(Dados!$J$60="SIM",O20*Dados!$N$60,O20),2)</f>
        <v>1.48</v>
      </c>
      <c r="Q20" s="35">
        <f>ROUND(IF(Dados!$J$61="SIM",P20*Dados!$N$61,P20),2)</f>
        <v>1.48</v>
      </c>
      <c r="R20" s="35">
        <f>ROUND(IF(Dados!$J$62="SIM",Q20*Dados!$N$62,Q20),2)</f>
        <v>1.48</v>
      </c>
      <c r="S20" s="94">
        <f>ROUND(IF(Dados!$J$63="SIM",R20*Dados!$N$63,R20),2)</f>
        <v>1.48</v>
      </c>
    </row>
    <row r="21" spans="1:19" s="55" customFormat="1" ht="14.85" customHeight="1" x14ac:dyDescent="0.3">
      <c r="A21" s="64">
        <v>13</v>
      </c>
      <c r="B21" s="507" t="s">
        <v>147</v>
      </c>
      <c r="C21" s="58" t="s">
        <v>65</v>
      </c>
      <c r="D21" s="58" t="s">
        <v>148</v>
      </c>
      <c r="E21" s="25">
        <v>6</v>
      </c>
      <c r="F21" s="91" t="s">
        <v>133</v>
      </c>
      <c r="G21" s="87">
        <v>4.96</v>
      </c>
      <c r="H21" s="95"/>
      <c r="I21" s="54"/>
      <c r="J21" s="58">
        <f>'Ocorrências Mensais - FAT'!L41</f>
        <v>6</v>
      </c>
      <c r="K21" s="88">
        <f t="shared" si="0"/>
        <v>29.759999999999998</v>
      </c>
      <c r="L21" s="92">
        <f t="shared" si="1"/>
        <v>1</v>
      </c>
      <c r="N21" s="93">
        <v>1.4</v>
      </c>
      <c r="O21" s="35">
        <f>ROUND(IF(Dados!$J$59="SIM",N21*Dados!$N$59,N21),2)</f>
        <v>1.4</v>
      </c>
      <c r="P21" s="35">
        <f>ROUND(IF(Dados!$J$60="SIM",O21*Dados!$N$60,O21),2)</f>
        <v>1.4</v>
      </c>
      <c r="Q21" s="35">
        <f>ROUND(IF(Dados!$J$61="SIM",P21*Dados!$N$61,P21),2)</f>
        <v>1.4</v>
      </c>
      <c r="R21" s="35">
        <f>ROUND(IF(Dados!$J$62="SIM",Q21*Dados!$N$62,Q21),2)</f>
        <v>1.4</v>
      </c>
      <c r="S21" s="94">
        <f>ROUND(IF(Dados!$J$63="SIM",R21*Dados!$N$63,R21),2)</f>
        <v>1.4</v>
      </c>
    </row>
    <row r="22" spans="1:19" s="55" customFormat="1" ht="14.85" customHeight="1" x14ac:dyDescent="0.3">
      <c r="A22" s="64">
        <v>14</v>
      </c>
      <c r="B22" s="507" t="s">
        <v>83</v>
      </c>
      <c r="C22" s="58" t="s">
        <v>65</v>
      </c>
      <c r="D22" s="58" t="s">
        <v>84</v>
      </c>
      <c r="E22" s="25">
        <v>12</v>
      </c>
      <c r="F22" s="91" t="s">
        <v>133</v>
      </c>
      <c r="G22" s="87">
        <v>8.34</v>
      </c>
      <c r="H22" s="95"/>
      <c r="I22" s="54"/>
      <c r="J22" s="58">
        <f>'Ocorrências Mensais - FAT'!L42</f>
        <v>12</v>
      </c>
      <c r="K22" s="88">
        <f t="shared" si="0"/>
        <v>100.08</v>
      </c>
      <c r="L22" s="92">
        <f t="shared" si="1"/>
        <v>1</v>
      </c>
      <c r="N22" s="93">
        <v>9.1</v>
      </c>
      <c r="O22" s="35">
        <f>ROUND(IF(Dados!$J$59="SIM",N22*Dados!$N$59,N22),2)</f>
        <v>9.1</v>
      </c>
      <c r="P22" s="35">
        <f>ROUND(IF(Dados!$J$60="SIM",O22*Dados!$N$60,O22),2)</f>
        <v>9.1</v>
      </c>
      <c r="Q22" s="35">
        <f>ROUND(IF(Dados!$J$61="SIM",P22*Dados!$N$61,P22),2)</f>
        <v>9.1</v>
      </c>
      <c r="R22" s="35">
        <f>ROUND(IF(Dados!$J$62="SIM",Q22*Dados!$N$62,Q22),2)</f>
        <v>9.1</v>
      </c>
      <c r="S22" s="94">
        <f>ROUND(IF(Dados!$J$63="SIM",R22*Dados!$N$63,R22),2)</f>
        <v>9.1</v>
      </c>
    </row>
    <row r="23" spans="1:19" s="55" customFormat="1" ht="27.6" x14ac:dyDescent="0.3">
      <c r="A23" s="64">
        <v>15</v>
      </c>
      <c r="B23" s="507" t="s">
        <v>85</v>
      </c>
      <c r="C23" s="58" t="s">
        <v>65</v>
      </c>
      <c r="D23" s="58" t="s">
        <v>84</v>
      </c>
      <c r="E23" s="25">
        <v>12</v>
      </c>
      <c r="F23" s="91" t="s">
        <v>133</v>
      </c>
      <c r="G23" s="87">
        <v>13.89</v>
      </c>
      <c r="H23" s="95"/>
      <c r="I23" s="54"/>
      <c r="J23" s="58">
        <f>'Ocorrências Mensais - FAT'!L43</f>
        <v>12</v>
      </c>
      <c r="K23" s="88">
        <f t="shared" si="0"/>
        <v>166.68</v>
      </c>
      <c r="L23" s="92">
        <f t="shared" si="1"/>
        <v>1</v>
      </c>
      <c r="N23" s="93">
        <v>1</v>
      </c>
      <c r="O23" s="35">
        <f>ROUND(IF(Dados!$J$59="SIM",N23*Dados!$N$59,N23),2)</f>
        <v>1</v>
      </c>
      <c r="P23" s="35">
        <f>ROUND(IF(Dados!$J$60="SIM",O23*Dados!$N$60,O23),2)</f>
        <v>1</v>
      </c>
      <c r="Q23" s="35">
        <f>ROUND(IF(Dados!$J$61="SIM",P23*Dados!$N$61,P23),2)</f>
        <v>1</v>
      </c>
      <c r="R23" s="35">
        <f>ROUND(IF(Dados!$J$62="SIM",Q23*Dados!$N$62,Q23),2)</f>
        <v>1</v>
      </c>
      <c r="S23" s="94">
        <f>ROUND(IF(Dados!$J$63="SIM",R23*Dados!$N$63,R23),2)</f>
        <v>1</v>
      </c>
    </row>
    <row r="24" spans="1:19" s="55" customFormat="1" ht="15.6" customHeight="1" x14ac:dyDescent="0.3">
      <c r="A24" s="64">
        <v>16</v>
      </c>
      <c r="B24" s="507" t="s">
        <v>149</v>
      </c>
      <c r="C24" s="58" t="s">
        <v>150</v>
      </c>
      <c r="D24" s="58"/>
      <c r="E24" s="25">
        <v>6</v>
      </c>
      <c r="F24" s="91" t="s">
        <v>133</v>
      </c>
      <c r="G24" s="87">
        <v>5.58</v>
      </c>
      <c r="H24" s="95"/>
      <c r="I24" s="54"/>
      <c r="J24" s="58">
        <f>'Ocorrências Mensais - FAT'!L44</f>
        <v>6</v>
      </c>
      <c r="K24" s="88">
        <f t="shared" si="0"/>
        <v>33.480000000000004</v>
      </c>
      <c r="L24" s="92">
        <f t="shared" si="1"/>
        <v>1</v>
      </c>
      <c r="N24" s="93">
        <v>1.59</v>
      </c>
      <c r="O24" s="35">
        <f>ROUND(IF(Dados!$J$59="SIM",N24*Dados!$N$59,N24),2)</f>
        <v>1.59</v>
      </c>
      <c r="P24" s="35">
        <f>ROUND(IF(Dados!$J$60="SIM",O24*Dados!$N$60,O24),2)</f>
        <v>1.59</v>
      </c>
      <c r="Q24" s="35">
        <f>ROUND(IF(Dados!$J$61="SIM",P24*Dados!$N$61,P24),2)</f>
        <v>1.59</v>
      </c>
      <c r="R24" s="35">
        <f>ROUND(IF(Dados!$J$62="SIM",Q24*Dados!$N$62,Q24),2)</f>
        <v>1.59</v>
      </c>
      <c r="S24" s="94">
        <f>ROUND(IF(Dados!$J$63="SIM",R24*Dados!$N$63,R24),2)</f>
        <v>1.59</v>
      </c>
    </row>
    <row r="25" spans="1:19" s="55" customFormat="1" ht="16.649999999999999" customHeight="1" x14ac:dyDescent="0.3">
      <c r="A25" s="64">
        <v>17</v>
      </c>
      <c r="B25" s="507" t="s">
        <v>151</v>
      </c>
      <c r="C25" s="58" t="s">
        <v>65</v>
      </c>
      <c r="D25" s="58"/>
      <c r="E25" s="25">
        <v>4</v>
      </c>
      <c r="F25" s="91" t="s">
        <v>136</v>
      </c>
      <c r="G25" s="87">
        <v>10.81</v>
      </c>
      <c r="H25" s="95"/>
      <c r="I25" s="54"/>
      <c r="J25" s="58">
        <f>'Ocorrências Mensais - FAT'!L45</f>
        <v>0.33333333333333331</v>
      </c>
      <c r="K25" s="88">
        <f t="shared" si="0"/>
        <v>3.6033333333333335</v>
      </c>
      <c r="L25" s="92">
        <f t="shared" si="1"/>
        <v>12</v>
      </c>
      <c r="N25" s="93">
        <v>10.9</v>
      </c>
      <c r="O25" s="35">
        <f>ROUND(IF(Dados!$J$59="SIM",N25*Dados!$N$59,N25),2)</f>
        <v>10.9</v>
      </c>
      <c r="P25" s="35">
        <f>ROUND(IF(Dados!$J$60="SIM",O25*Dados!$N$60,O25),2)</f>
        <v>10.9</v>
      </c>
      <c r="Q25" s="35">
        <f>ROUND(IF(Dados!$J$61="SIM",P25*Dados!$N$61,P25),2)</f>
        <v>10.9</v>
      </c>
      <c r="R25" s="35">
        <f>ROUND(IF(Dados!$J$62="SIM",Q25*Dados!$N$62,Q25),2)</f>
        <v>10.9</v>
      </c>
      <c r="S25" s="94">
        <f>ROUND(IF(Dados!$J$63="SIM",R25*Dados!$N$63,R25),2)</f>
        <v>10.9</v>
      </c>
    </row>
    <row r="26" spans="1:19" s="55" customFormat="1" ht="41.4" x14ac:dyDescent="0.3">
      <c r="A26" s="64">
        <v>18</v>
      </c>
      <c r="B26" s="507" t="s">
        <v>152</v>
      </c>
      <c r="C26" s="58" t="s">
        <v>87</v>
      </c>
      <c r="D26" s="58" t="s">
        <v>153</v>
      </c>
      <c r="E26" s="25">
        <v>2</v>
      </c>
      <c r="F26" s="91" t="s">
        <v>133</v>
      </c>
      <c r="G26" s="87">
        <v>154.69999999999999</v>
      </c>
      <c r="H26" s="95"/>
      <c r="I26" s="54"/>
      <c r="J26" s="58">
        <f>'Ocorrências Mensais - FAT'!L46</f>
        <v>2</v>
      </c>
      <c r="K26" s="88">
        <f t="shared" si="0"/>
        <v>309.39999999999998</v>
      </c>
      <c r="L26" s="92">
        <f t="shared" si="1"/>
        <v>1</v>
      </c>
      <c r="N26" s="93">
        <v>1</v>
      </c>
      <c r="O26" s="35">
        <f>ROUND(IF(Dados!$J$59="SIM",N26*Dados!$N$59,N26),2)</f>
        <v>1</v>
      </c>
      <c r="P26" s="35">
        <f>ROUND(IF(Dados!$J$60="SIM",O26*Dados!$N$60,O26),2)</f>
        <v>1</v>
      </c>
      <c r="Q26" s="35">
        <f>ROUND(IF(Dados!$J$61="SIM",P26*Dados!$N$61,P26),2)</f>
        <v>1</v>
      </c>
      <c r="R26" s="35">
        <f>ROUND(IF(Dados!$J$62="SIM",Q26*Dados!$N$62,Q26),2)</f>
        <v>1</v>
      </c>
      <c r="S26" s="94">
        <f>ROUND(IF(Dados!$J$63="SIM",R26*Dados!$N$63,R26),2)</f>
        <v>1</v>
      </c>
    </row>
    <row r="27" spans="1:19" s="55" customFormat="1" ht="35.85" customHeight="1" x14ac:dyDescent="0.3">
      <c r="A27" s="64">
        <v>19</v>
      </c>
      <c r="B27" s="97" t="s">
        <v>154</v>
      </c>
      <c r="C27" s="58" t="s">
        <v>87</v>
      </c>
      <c r="D27" s="58" t="s">
        <v>88</v>
      </c>
      <c r="E27" s="25">
        <v>30</v>
      </c>
      <c r="F27" s="91" t="s">
        <v>133</v>
      </c>
      <c r="G27" s="87">
        <v>19.47</v>
      </c>
      <c r="H27" s="95"/>
      <c r="I27" s="54"/>
      <c r="J27" s="58">
        <f>'Ocorrências Mensais - FAT'!L47</f>
        <v>30</v>
      </c>
      <c r="K27" s="88">
        <f t="shared" si="0"/>
        <v>584.09999999999991</v>
      </c>
      <c r="L27" s="92">
        <f t="shared" si="1"/>
        <v>1</v>
      </c>
      <c r="N27" s="93">
        <v>2</v>
      </c>
      <c r="O27" s="35">
        <f>ROUND(IF(Dados!$J$59="SIM",N27*Dados!$N$59,N27),2)</f>
        <v>2</v>
      </c>
      <c r="P27" s="35">
        <f>ROUND(IF(Dados!$J$60="SIM",O27*Dados!$N$60,O27),2)</f>
        <v>2</v>
      </c>
      <c r="Q27" s="35">
        <f>ROUND(IF(Dados!$J$61="SIM",P27*Dados!$N$61,P27),2)</f>
        <v>2</v>
      </c>
      <c r="R27" s="35">
        <f>ROUND(IF(Dados!$J$62="SIM",Q27*Dados!$N$62,Q27),2)</f>
        <v>2</v>
      </c>
      <c r="S27" s="94">
        <f>ROUND(IF(Dados!$J$63="SIM",R27*Dados!$N$63,R27),2)</f>
        <v>2</v>
      </c>
    </row>
    <row r="28" spans="1:19" s="55" customFormat="1" ht="27.6" x14ac:dyDescent="0.3">
      <c r="A28" s="64">
        <v>20</v>
      </c>
      <c r="B28" s="507" t="s">
        <v>155</v>
      </c>
      <c r="C28" s="58" t="s">
        <v>65</v>
      </c>
      <c r="D28" s="58" t="s">
        <v>89</v>
      </c>
      <c r="E28" s="25">
        <v>10</v>
      </c>
      <c r="F28" s="91" t="s">
        <v>133</v>
      </c>
      <c r="G28" s="87">
        <v>2.7</v>
      </c>
      <c r="H28" s="95"/>
      <c r="I28" s="54"/>
      <c r="J28" s="58">
        <f>'Ocorrências Mensais - FAT'!L48</f>
        <v>10</v>
      </c>
      <c r="K28" s="88">
        <f t="shared" si="0"/>
        <v>27</v>
      </c>
      <c r="L28" s="92">
        <f t="shared" si="1"/>
        <v>1</v>
      </c>
      <c r="N28" s="93">
        <v>20</v>
      </c>
      <c r="O28" s="35">
        <f>ROUND(IF(Dados!$J$59="SIM",N28*Dados!$N$59,N28),2)</f>
        <v>20</v>
      </c>
      <c r="P28" s="35">
        <f>ROUND(IF(Dados!$J$60="SIM",O28*Dados!$N$60,O28),2)</f>
        <v>20</v>
      </c>
      <c r="Q28" s="35">
        <f>ROUND(IF(Dados!$J$61="SIM",P28*Dados!$N$61,P28),2)</f>
        <v>20</v>
      </c>
      <c r="R28" s="35">
        <f>ROUND(IF(Dados!$J$62="SIM",Q28*Dados!$N$62,Q28),2)</f>
        <v>20</v>
      </c>
      <c r="S28" s="94">
        <f>ROUND(IF(Dados!$J$63="SIM",R28*Dados!$N$63,R28),2)</f>
        <v>20</v>
      </c>
    </row>
    <row r="29" spans="1:19" s="55" customFormat="1" ht="27.6" x14ac:dyDescent="0.3">
      <c r="A29" s="64">
        <v>21</v>
      </c>
      <c r="B29" s="97" t="s">
        <v>156</v>
      </c>
      <c r="C29" s="58" t="s">
        <v>65</v>
      </c>
      <c r="D29" s="58" t="s">
        <v>157</v>
      </c>
      <c r="E29" s="25">
        <v>4</v>
      </c>
      <c r="F29" s="91" t="s">
        <v>158</v>
      </c>
      <c r="G29" s="87">
        <v>21.41</v>
      </c>
      <c r="H29" s="95"/>
      <c r="I29" s="54"/>
      <c r="J29" s="58">
        <f>'Ocorrências Mensais - FAT'!L49</f>
        <v>0.66666666666666663</v>
      </c>
      <c r="K29" s="88">
        <f t="shared" si="0"/>
        <v>14.273333333333333</v>
      </c>
      <c r="L29" s="92">
        <f t="shared" si="1"/>
        <v>6</v>
      </c>
      <c r="N29" s="93">
        <v>6.3</v>
      </c>
      <c r="O29" s="35">
        <f>ROUND(IF(Dados!$J$59="SIM",N29*Dados!$N$59,N29),2)</f>
        <v>6.3</v>
      </c>
      <c r="P29" s="35">
        <f>ROUND(IF(Dados!$J$60="SIM",O29*Dados!$N$60,O29),2)</f>
        <v>6.3</v>
      </c>
      <c r="Q29" s="35">
        <f>ROUND(IF(Dados!$J$61="SIM",P29*Dados!$N$61,P29),2)</f>
        <v>6.3</v>
      </c>
      <c r="R29" s="35">
        <f>ROUND(IF(Dados!$J$62="SIM",Q29*Dados!$N$62,Q29),2)</f>
        <v>6.3</v>
      </c>
      <c r="S29" s="94">
        <f>ROUND(IF(Dados!$J$63="SIM",R29*Dados!$N$63,R29),2)</f>
        <v>6.3</v>
      </c>
    </row>
    <row r="30" spans="1:19" s="55" customFormat="1" ht="15.45" customHeight="1" x14ac:dyDescent="0.3">
      <c r="A30" s="64">
        <v>22</v>
      </c>
      <c r="B30" s="507" t="s">
        <v>159</v>
      </c>
      <c r="C30" s="58" t="s">
        <v>65</v>
      </c>
      <c r="D30" s="58"/>
      <c r="E30" s="25">
        <v>3</v>
      </c>
      <c r="F30" s="91" t="s">
        <v>133</v>
      </c>
      <c r="G30" s="87">
        <v>30.51</v>
      </c>
      <c r="H30" s="95"/>
      <c r="I30" s="54"/>
      <c r="J30" s="58">
        <f>'Ocorrências Mensais - FAT'!L50</f>
        <v>3</v>
      </c>
      <c r="K30" s="88">
        <f t="shared" si="0"/>
        <v>91.53</v>
      </c>
      <c r="L30" s="92">
        <f t="shared" si="1"/>
        <v>1</v>
      </c>
      <c r="N30" s="93">
        <v>1.5</v>
      </c>
      <c r="O30" s="35">
        <f>ROUND(IF(Dados!$J$59="SIM",N30*Dados!$N$59,N30),2)</f>
        <v>1.5</v>
      </c>
      <c r="P30" s="35">
        <f>ROUND(IF(Dados!$J$60="SIM",O30*Dados!$N$60,O30),2)</f>
        <v>1.5</v>
      </c>
      <c r="Q30" s="35">
        <f>ROUND(IF(Dados!$J$61="SIM",P30*Dados!$N$61,P30),2)</f>
        <v>1.5</v>
      </c>
      <c r="R30" s="35">
        <f>ROUND(IF(Dados!$J$62="SIM",Q30*Dados!$N$62,Q30),2)</f>
        <v>1.5</v>
      </c>
      <c r="S30" s="94">
        <f>ROUND(IF(Dados!$J$63="SIM",R30*Dados!$N$63,R30),2)</f>
        <v>1.5</v>
      </c>
    </row>
    <row r="31" spans="1:19" s="55" customFormat="1" ht="39.6" x14ac:dyDescent="0.3">
      <c r="A31" s="64">
        <v>23</v>
      </c>
      <c r="B31" s="97" t="s">
        <v>160</v>
      </c>
      <c r="C31" s="58" t="s">
        <v>65</v>
      </c>
      <c r="D31" s="58"/>
      <c r="E31" s="25">
        <v>4</v>
      </c>
      <c r="F31" s="91" t="s">
        <v>146</v>
      </c>
      <c r="G31" s="87">
        <v>8.15</v>
      </c>
      <c r="H31" s="95"/>
      <c r="I31" s="54"/>
      <c r="J31" s="58">
        <f>'Ocorrências Mensais - FAT'!L51</f>
        <v>2</v>
      </c>
      <c r="K31" s="88">
        <f t="shared" si="0"/>
        <v>16.3</v>
      </c>
      <c r="L31" s="92">
        <f t="shared" si="1"/>
        <v>2</v>
      </c>
      <c r="N31" s="93">
        <v>3.2</v>
      </c>
      <c r="O31" s="35">
        <f>ROUND(IF(Dados!$J$59="SIM",N31*Dados!$N$59,N31),2)</f>
        <v>3.2</v>
      </c>
      <c r="P31" s="35">
        <f>ROUND(IF(Dados!$J$60="SIM",O31*Dados!$N$60,O31),2)</f>
        <v>3.2</v>
      </c>
      <c r="Q31" s="35">
        <f>ROUND(IF(Dados!$J$61="SIM",P31*Dados!$N$61,P31),2)</f>
        <v>3.2</v>
      </c>
      <c r="R31" s="35">
        <f>ROUND(IF(Dados!$J$62="SIM",Q31*Dados!$N$62,Q31),2)</f>
        <v>3.2</v>
      </c>
      <c r="S31" s="94">
        <f>ROUND(IF(Dados!$J$63="SIM",R31*Dados!$N$63,R31),2)</f>
        <v>3.2</v>
      </c>
    </row>
    <row r="32" spans="1:19" s="55" customFormat="1" ht="16.2" customHeight="1" x14ac:dyDescent="0.3">
      <c r="A32" s="64">
        <v>24</v>
      </c>
      <c r="B32" s="507" t="s">
        <v>161</v>
      </c>
      <c r="C32" s="58" t="s">
        <v>90</v>
      </c>
      <c r="D32" s="58"/>
      <c r="E32" s="25">
        <v>2</v>
      </c>
      <c r="F32" s="91" t="s">
        <v>146</v>
      </c>
      <c r="G32" s="87">
        <v>28.17</v>
      </c>
      <c r="H32" s="95"/>
      <c r="I32" s="54"/>
      <c r="J32" s="58">
        <f>'Ocorrências Mensais - FAT'!L52</f>
        <v>1</v>
      </c>
      <c r="K32" s="88">
        <f t="shared" si="0"/>
        <v>28.17</v>
      </c>
      <c r="L32" s="92">
        <f t="shared" si="1"/>
        <v>2</v>
      </c>
      <c r="N32" s="93">
        <v>3.99</v>
      </c>
      <c r="O32" s="35">
        <f>ROUND(IF(Dados!$J$59="SIM",N32*Dados!$N$59,N32),2)</f>
        <v>3.99</v>
      </c>
      <c r="P32" s="35">
        <f>ROUND(IF(Dados!$J$60="SIM",O32*Dados!$N$60,O32),2)</f>
        <v>3.99</v>
      </c>
      <c r="Q32" s="35">
        <f>ROUND(IF(Dados!$J$61="SIM",P32*Dados!$N$61,P32),2)</f>
        <v>3.99</v>
      </c>
      <c r="R32" s="35">
        <f>ROUND(IF(Dados!$J$62="SIM",Q32*Dados!$N$62,Q32),2)</f>
        <v>3.99</v>
      </c>
      <c r="S32" s="94">
        <f>ROUND(IF(Dados!$J$63="SIM",R32*Dados!$N$63,R32),2)</f>
        <v>3.99</v>
      </c>
    </row>
    <row r="33" spans="1:19" s="55" customFormat="1" ht="17.25" customHeight="1" x14ac:dyDescent="0.3">
      <c r="A33" s="64">
        <v>25</v>
      </c>
      <c r="B33" s="507" t="s">
        <v>91</v>
      </c>
      <c r="C33" s="58" t="s">
        <v>90</v>
      </c>
      <c r="D33" s="58"/>
      <c r="E33" s="25">
        <v>1</v>
      </c>
      <c r="F33" s="91" t="s">
        <v>133</v>
      </c>
      <c r="G33" s="87">
        <v>90.09</v>
      </c>
      <c r="H33" s="95"/>
      <c r="I33" s="54"/>
      <c r="J33" s="58">
        <f>'Ocorrências Mensais - FAT'!L53</f>
        <v>1</v>
      </c>
      <c r="K33" s="88">
        <f t="shared" si="0"/>
        <v>90.09</v>
      </c>
      <c r="L33" s="92">
        <f t="shared" si="1"/>
        <v>1</v>
      </c>
      <c r="N33" s="93">
        <v>1.4</v>
      </c>
      <c r="O33" s="35">
        <f>ROUND(IF(Dados!$J$59="SIM",N33*Dados!$N$59,N33),2)</f>
        <v>1.4</v>
      </c>
      <c r="P33" s="35">
        <f>ROUND(IF(Dados!$J$60="SIM",O33*Dados!$N$60,O33),2)</f>
        <v>1.4</v>
      </c>
      <c r="Q33" s="35">
        <f>ROUND(IF(Dados!$J$61="SIM",P33*Dados!$N$61,P33),2)</f>
        <v>1.4</v>
      </c>
      <c r="R33" s="35">
        <f>ROUND(IF(Dados!$J$62="SIM",Q33*Dados!$N$62,Q33),2)</f>
        <v>1.4</v>
      </c>
      <c r="S33" s="94">
        <f>ROUND(IF(Dados!$J$63="SIM",R33*Dados!$N$63,R33),2)</f>
        <v>1.4</v>
      </c>
    </row>
    <row r="34" spans="1:19" s="55" customFormat="1" ht="28.35" customHeight="1" x14ac:dyDescent="0.3">
      <c r="A34" s="64">
        <v>26</v>
      </c>
      <c r="B34" s="97" t="s">
        <v>162</v>
      </c>
      <c r="C34" s="58" t="s">
        <v>65</v>
      </c>
      <c r="D34" s="58"/>
      <c r="E34" s="25">
        <v>1</v>
      </c>
      <c r="F34" s="91" t="s">
        <v>136</v>
      </c>
      <c r="G34" s="87">
        <v>31.39</v>
      </c>
      <c r="H34" s="95"/>
      <c r="I34" s="54"/>
      <c r="J34" s="58">
        <f>'Ocorrências Mensais - FAT'!L54</f>
        <v>8.3333333333333329E-2</v>
      </c>
      <c r="K34" s="88">
        <f t="shared" si="0"/>
        <v>2.6158333333333332</v>
      </c>
      <c r="L34" s="92">
        <f t="shared" si="1"/>
        <v>12</v>
      </c>
      <c r="N34" s="93">
        <v>2.04</v>
      </c>
      <c r="O34" s="35">
        <f>ROUND(IF(Dados!$J$59="SIM",N34*Dados!$N$59,N34),2)</f>
        <v>2.04</v>
      </c>
      <c r="P34" s="35">
        <f>ROUND(IF(Dados!$J$60="SIM",O34*Dados!$N$60,O34),2)</f>
        <v>2.04</v>
      </c>
      <c r="Q34" s="35">
        <f>ROUND(IF(Dados!$J$61="SIM",P34*Dados!$N$61,P34),2)</f>
        <v>2.04</v>
      </c>
      <c r="R34" s="35">
        <f>ROUND(IF(Dados!$J$62="SIM",Q34*Dados!$N$62,Q34),2)</f>
        <v>2.04</v>
      </c>
      <c r="S34" s="94">
        <f>ROUND(IF(Dados!$J$63="SIM",R34*Dados!$N$63,R34),2)</f>
        <v>2.04</v>
      </c>
    </row>
    <row r="35" spans="1:19" s="55" customFormat="1" ht="24.6" customHeight="1" x14ac:dyDescent="0.3">
      <c r="A35" s="64">
        <v>27</v>
      </c>
      <c r="B35" s="507" t="s">
        <v>163</v>
      </c>
      <c r="C35" s="58" t="s">
        <v>65</v>
      </c>
      <c r="D35" s="58" t="s">
        <v>157</v>
      </c>
      <c r="E35" s="25">
        <v>1</v>
      </c>
      <c r="F35" s="91" t="s">
        <v>136</v>
      </c>
      <c r="G35" s="87">
        <v>30.53</v>
      </c>
      <c r="H35" s="95"/>
      <c r="I35" s="54"/>
      <c r="J35" s="58">
        <f>'Ocorrências Mensais - FAT'!L55</f>
        <v>8.3333333333333329E-2</v>
      </c>
      <c r="K35" s="88">
        <f t="shared" si="0"/>
        <v>2.5441666666666665</v>
      </c>
      <c r="L35" s="92">
        <f t="shared" si="1"/>
        <v>12</v>
      </c>
      <c r="N35" s="93">
        <v>6.55</v>
      </c>
      <c r="O35" s="35">
        <f>ROUND(IF(Dados!$J$59="SIM",N35*Dados!$N$59,N35),2)</f>
        <v>6.55</v>
      </c>
      <c r="P35" s="35">
        <f>ROUND(IF(Dados!$J$60="SIM",O35*Dados!$N$60,O35),2)</f>
        <v>6.55</v>
      </c>
      <c r="Q35" s="35">
        <f>ROUND(IF(Dados!$J$61="SIM",P35*Dados!$N$61,P35),2)</f>
        <v>6.55</v>
      </c>
      <c r="R35" s="35">
        <f>ROUND(IF(Dados!$J$62="SIM",Q35*Dados!$N$62,Q35),2)</f>
        <v>6.55</v>
      </c>
      <c r="S35" s="94">
        <f>ROUND(IF(Dados!$J$63="SIM",R35*Dados!$N$63,R35),2)</f>
        <v>6.55</v>
      </c>
    </row>
    <row r="36" spans="1:19" s="55" customFormat="1" ht="26.1" customHeight="1" x14ac:dyDescent="0.3">
      <c r="A36" s="64">
        <v>28</v>
      </c>
      <c r="B36" s="97" t="s">
        <v>164</v>
      </c>
      <c r="C36" s="58" t="s">
        <v>65</v>
      </c>
      <c r="D36" s="58"/>
      <c r="E36" s="25">
        <v>4</v>
      </c>
      <c r="F36" s="91" t="s">
        <v>158</v>
      </c>
      <c r="G36" s="87">
        <v>26.79</v>
      </c>
      <c r="H36" s="95"/>
      <c r="I36" s="54"/>
      <c r="J36" s="58">
        <f>'Ocorrências Mensais - FAT'!L56</f>
        <v>0.66666666666666663</v>
      </c>
      <c r="K36" s="88">
        <f t="shared" si="0"/>
        <v>17.86</v>
      </c>
      <c r="L36" s="92">
        <f t="shared" si="1"/>
        <v>6</v>
      </c>
      <c r="N36" s="93">
        <v>2.8</v>
      </c>
      <c r="O36" s="35">
        <f>ROUND(IF(Dados!$J$59="SIM",N36*Dados!$N$59,N36),2)</f>
        <v>2.8</v>
      </c>
      <c r="P36" s="35">
        <f>ROUND(IF(Dados!$J$60="SIM",O36*Dados!$N$60,O36),2)</f>
        <v>2.8</v>
      </c>
      <c r="Q36" s="35">
        <f>ROUND(IF(Dados!$J$61="SIM",P36*Dados!$N$61,P36),2)</f>
        <v>2.8</v>
      </c>
      <c r="R36" s="35">
        <f>ROUND(IF(Dados!$J$62="SIM",Q36*Dados!$N$62,Q36),2)</f>
        <v>2.8</v>
      </c>
      <c r="S36" s="94">
        <f>ROUND(IF(Dados!$J$63="SIM",R36*Dados!$N$63,R36),2)</f>
        <v>2.8</v>
      </c>
    </row>
    <row r="37" spans="1:19" s="55" customFormat="1" ht="24.15" customHeight="1" x14ac:dyDescent="0.3">
      <c r="A37" s="64">
        <v>29</v>
      </c>
      <c r="B37" s="507" t="s">
        <v>165</v>
      </c>
      <c r="C37" s="58" t="s">
        <v>65</v>
      </c>
      <c r="D37" s="58"/>
      <c r="E37" s="25">
        <v>1</v>
      </c>
      <c r="F37" s="91" t="s">
        <v>136</v>
      </c>
      <c r="G37" s="87">
        <v>46.5</v>
      </c>
      <c r="H37" s="95"/>
      <c r="I37" s="54"/>
      <c r="J37" s="58">
        <f>'Ocorrências Mensais - FAT'!L57</f>
        <v>8.3333333333333329E-2</v>
      </c>
      <c r="K37" s="88">
        <f t="shared" si="0"/>
        <v>3.875</v>
      </c>
      <c r="L37" s="92">
        <f t="shared" si="1"/>
        <v>12</v>
      </c>
      <c r="N37" s="93">
        <v>19.899999999999999</v>
      </c>
      <c r="O37" s="35">
        <f>ROUND(IF(Dados!$J$59="SIM",N37*Dados!$N$59,N37),2)</f>
        <v>19.899999999999999</v>
      </c>
      <c r="P37" s="35">
        <f>ROUND(IF(Dados!$J$60="SIM",O37*Dados!$N$60,O37),2)</f>
        <v>19.899999999999999</v>
      </c>
      <c r="Q37" s="35">
        <f>ROUND(IF(Dados!$J$61="SIM",P37*Dados!$N$61,P37),2)</f>
        <v>19.899999999999999</v>
      </c>
      <c r="R37" s="35">
        <f>ROUND(IF(Dados!$J$62="SIM",Q37*Dados!$N$62,Q37),2)</f>
        <v>19.899999999999999</v>
      </c>
      <c r="S37" s="94">
        <f>ROUND(IF(Dados!$J$63="SIM",R37*Dados!$N$63,R37),2)</f>
        <v>19.899999999999999</v>
      </c>
    </row>
    <row r="38" spans="1:19" s="55" customFormat="1" ht="24.9" customHeight="1" x14ac:dyDescent="0.3">
      <c r="A38" s="64">
        <v>30</v>
      </c>
      <c r="B38" s="507" t="s">
        <v>92</v>
      </c>
      <c r="C38" s="58" t="s">
        <v>65</v>
      </c>
      <c r="D38" s="58"/>
      <c r="E38" s="25">
        <v>10</v>
      </c>
      <c r="F38" s="91" t="s">
        <v>136</v>
      </c>
      <c r="G38" s="87">
        <v>12.36</v>
      </c>
      <c r="H38" s="95"/>
      <c r="I38" s="54"/>
      <c r="J38" s="58">
        <f>'Ocorrências Mensais - FAT'!L58</f>
        <v>0.83333333333333337</v>
      </c>
      <c r="K38" s="88">
        <f t="shared" si="0"/>
        <v>10.3</v>
      </c>
      <c r="L38" s="92">
        <f t="shared" si="1"/>
        <v>12</v>
      </c>
      <c r="N38" s="93">
        <v>5.8</v>
      </c>
      <c r="O38" s="35">
        <f>ROUND(IF(Dados!$J$59="SIM",N38*Dados!$N$59,N38),2)</f>
        <v>5.8</v>
      </c>
      <c r="P38" s="35">
        <f>ROUND(IF(Dados!$J$60="SIM",O38*Dados!$N$60,O38),2)</f>
        <v>5.8</v>
      </c>
      <c r="Q38" s="35">
        <f>ROUND(IF(Dados!$J$61="SIM",P38*Dados!$N$61,P38),2)</f>
        <v>5.8</v>
      </c>
      <c r="R38" s="35">
        <f>ROUND(IF(Dados!$J$62="SIM",Q38*Dados!$N$62,Q38),2)</f>
        <v>5.8</v>
      </c>
      <c r="S38" s="94">
        <f>ROUND(IF(Dados!$J$63="SIM",R38*Dados!$N$63,R38),2)</f>
        <v>5.8</v>
      </c>
    </row>
    <row r="39" spans="1:19" ht="15.6" x14ac:dyDescent="0.3">
      <c r="A39" s="613"/>
      <c r="B39" s="613"/>
      <c r="C39" s="613"/>
      <c r="D39" s="613"/>
      <c r="E39" s="613"/>
      <c r="F39" s="613"/>
      <c r="G39" s="613"/>
      <c r="H39" s="613"/>
      <c r="I39" s="47"/>
      <c r="J39" s="513" t="s">
        <v>265</v>
      </c>
      <c r="K39" s="514">
        <f>SUM(K9:K38)</f>
        <v>2058.2433333333329</v>
      </c>
      <c r="N39" s="98"/>
      <c r="O39" s="99"/>
      <c r="P39" s="99"/>
      <c r="Q39" s="99"/>
      <c r="R39" s="99"/>
      <c r="S39" s="99"/>
    </row>
    <row r="40" spans="1:19" x14ac:dyDescent="0.3">
      <c r="A40" s="100"/>
      <c r="N40" s="98"/>
      <c r="O40" s="99"/>
      <c r="P40" s="99"/>
      <c r="Q40" s="99"/>
      <c r="R40" s="99"/>
      <c r="S40" s="99"/>
    </row>
    <row r="41" spans="1:19" ht="18.75" customHeight="1" x14ac:dyDescent="0.3">
      <c r="A41" s="611" t="s">
        <v>166</v>
      </c>
      <c r="B41" s="611"/>
      <c r="C41" s="611"/>
      <c r="D41" s="611"/>
      <c r="E41" s="611"/>
      <c r="F41" s="611"/>
      <c r="G41" s="611"/>
      <c r="H41" s="611"/>
      <c r="I41" s="55"/>
      <c r="J41" s="55"/>
      <c r="L41" s="55"/>
      <c r="N41" s="554" t="s">
        <v>120</v>
      </c>
      <c r="O41" s="554"/>
      <c r="P41" s="554"/>
      <c r="Q41" s="554"/>
      <c r="R41" s="554"/>
      <c r="S41" s="554"/>
    </row>
    <row r="42" spans="1:19" ht="15" customHeight="1" x14ac:dyDescent="0.3">
      <c r="A42" s="101"/>
      <c r="B42" s="54"/>
      <c r="C42" s="54"/>
      <c r="D42" s="54"/>
      <c r="E42" s="54"/>
      <c r="F42" s="54"/>
      <c r="G42" s="54"/>
      <c r="H42" s="54"/>
      <c r="I42" s="55"/>
      <c r="J42" s="55"/>
      <c r="L42" s="55"/>
      <c r="N42" s="554"/>
      <c r="O42" s="554"/>
      <c r="P42" s="554"/>
      <c r="Q42" s="554"/>
      <c r="R42" s="554"/>
      <c r="S42" s="554"/>
    </row>
    <row r="43" spans="1:19" ht="15" customHeight="1" x14ac:dyDescent="0.3">
      <c r="A43" s="608" t="s">
        <v>59</v>
      </c>
      <c r="B43" s="609" t="s">
        <v>121</v>
      </c>
      <c r="C43" s="609"/>
      <c r="D43" s="609"/>
      <c r="E43" s="622" t="s">
        <v>125</v>
      </c>
      <c r="F43" s="624" t="s">
        <v>71</v>
      </c>
      <c r="G43" s="619" t="s">
        <v>168</v>
      </c>
      <c r="H43" s="615" t="s">
        <v>122</v>
      </c>
      <c r="I43" s="55"/>
      <c r="J43" s="610" t="s">
        <v>123</v>
      </c>
      <c r="K43" s="610"/>
      <c r="L43" s="610"/>
      <c r="N43" s="554"/>
      <c r="O43" s="554"/>
      <c r="P43" s="554"/>
      <c r="Q43" s="554"/>
      <c r="R43" s="554"/>
      <c r="S43" s="554"/>
    </row>
    <row r="44" spans="1:19" ht="41.4" x14ac:dyDescent="0.3">
      <c r="A44" s="608"/>
      <c r="B44" s="509" t="s">
        <v>64</v>
      </c>
      <c r="C44" s="84" t="s">
        <v>65</v>
      </c>
      <c r="D44" s="84" t="s">
        <v>167</v>
      </c>
      <c r="E44" s="623"/>
      <c r="F44" s="625"/>
      <c r="G44" s="621"/>
      <c r="H44" s="615"/>
      <c r="I44" s="55"/>
      <c r="J44" s="84" t="s">
        <v>69</v>
      </c>
      <c r="K44" s="102" t="s">
        <v>68</v>
      </c>
      <c r="L44" s="85" t="s">
        <v>126</v>
      </c>
      <c r="N44" s="86" t="s">
        <v>127</v>
      </c>
      <c r="O44" s="19" t="s">
        <v>128</v>
      </c>
      <c r="P44" s="19" t="s">
        <v>129</v>
      </c>
      <c r="Q44" s="19" t="s">
        <v>130</v>
      </c>
      <c r="R44" s="19" t="s">
        <v>131</v>
      </c>
      <c r="S44" s="21" t="s">
        <v>132</v>
      </c>
    </row>
    <row r="45" spans="1:19" x14ac:dyDescent="0.3">
      <c r="A45" s="25">
        <v>1</v>
      </c>
      <c r="B45" s="97" t="s">
        <v>169</v>
      </c>
      <c r="C45" s="58" t="s">
        <v>65</v>
      </c>
      <c r="D45" s="58"/>
      <c r="E45" s="25">
        <v>2</v>
      </c>
      <c r="F45" s="58" t="s">
        <v>136</v>
      </c>
      <c r="G45" s="87">
        <v>11.98</v>
      </c>
      <c r="H45" s="103"/>
      <c r="I45" s="55"/>
      <c r="J45" s="58">
        <f>'Ocorrências Mensais - FAT'!L67</f>
        <v>0.16666666666666666</v>
      </c>
      <c r="K45" s="88">
        <f t="shared" ref="K45:K54" si="2">G45*J45</f>
        <v>1.9966666666666666</v>
      </c>
      <c r="L45" s="92">
        <f t="shared" ref="L45:L54" si="3">IF(F45="MENSAL",1,IF(F45="BIMESTRAL",2,IF(F45="TRIMESTRAL",3,IF(F45="QUADRIMESTRAL",4,IF(F45="SEMESTRAL",6,IF(F45="ANUAL",12,IF(F45="BIENAL",24,"")))))))</f>
        <v>12</v>
      </c>
      <c r="N45" s="104">
        <v>3.1</v>
      </c>
      <c r="O45" s="35">
        <f>ROUND(IF(Dados!$J$59="SIM",N45*Dados!$N$59,N45),2)</f>
        <v>3.1</v>
      </c>
      <c r="P45" s="35">
        <f>ROUND(IF(Dados!$J$60="SIM",O45*Dados!$N$60,O45),2)</f>
        <v>3.1</v>
      </c>
      <c r="Q45" s="35">
        <f>ROUND(IF(Dados!$J$61="SIM",P45*Dados!$N$61,P45),2)</f>
        <v>3.1</v>
      </c>
      <c r="R45" s="35">
        <f>ROUND(IF(Dados!$J$62="SIM",Q45*Dados!$N$62,Q45),2)</f>
        <v>3.1</v>
      </c>
      <c r="S45" s="94">
        <f>ROUND(IF(Dados!$J$63="SIM",R45*Dados!$N$63,R45),2)</f>
        <v>3.1</v>
      </c>
    </row>
    <row r="46" spans="1:19" ht="26.1" customHeight="1" x14ac:dyDescent="0.3">
      <c r="A46" s="25">
        <v>2</v>
      </c>
      <c r="B46" s="97" t="s">
        <v>170</v>
      </c>
      <c r="C46" s="58" t="s">
        <v>65</v>
      </c>
      <c r="D46" s="58"/>
      <c r="E46" s="25">
        <v>1</v>
      </c>
      <c r="F46" s="58" t="s">
        <v>133</v>
      </c>
      <c r="G46" s="87">
        <v>8.65</v>
      </c>
      <c r="H46" s="103"/>
      <c r="I46" s="55"/>
      <c r="J46" s="58">
        <f>'Ocorrências Mensais - FAT'!L68</f>
        <v>1</v>
      </c>
      <c r="K46" s="88">
        <f t="shared" si="2"/>
        <v>8.65</v>
      </c>
      <c r="L46" s="92">
        <f t="shared" si="3"/>
        <v>1</v>
      </c>
      <c r="N46" s="104"/>
      <c r="O46" s="35"/>
      <c r="P46" s="35"/>
      <c r="Q46" s="35"/>
      <c r="R46" s="35"/>
      <c r="S46" s="94"/>
    </row>
    <row r="47" spans="1:19" x14ac:dyDescent="0.3">
      <c r="A47" s="25">
        <v>3</v>
      </c>
      <c r="B47" s="522" t="s">
        <v>137</v>
      </c>
      <c r="C47" s="58" t="s">
        <v>65</v>
      </c>
      <c r="D47" s="96" t="s">
        <v>138</v>
      </c>
      <c r="E47" s="25">
        <v>1</v>
      </c>
      <c r="F47" s="58" t="s">
        <v>136</v>
      </c>
      <c r="G47" s="87">
        <v>15.5</v>
      </c>
      <c r="H47" s="103"/>
      <c r="I47" s="55"/>
      <c r="J47" s="58">
        <f>'Ocorrências Mensais - FAT'!L69</f>
        <v>8.3333333333333329E-2</v>
      </c>
      <c r="K47" s="88">
        <f t="shared" si="2"/>
        <v>1.2916666666666665</v>
      </c>
      <c r="L47" s="92">
        <f t="shared" si="3"/>
        <v>12</v>
      </c>
      <c r="N47" s="104"/>
      <c r="O47" s="35"/>
      <c r="P47" s="35"/>
      <c r="Q47" s="35"/>
      <c r="R47" s="35"/>
      <c r="S47" s="94"/>
    </row>
    <row r="48" spans="1:19" x14ac:dyDescent="0.3">
      <c r="A48" s="25">
        <v>4</v>
      </c>
      <c r="B48" s="522" t="s">
        <v>171</v>
      </c>
      <c r="C48" s="58" t="s">
        <v>65</v>
      </c>
      <c r="D48" s="58" t="s">
        <v>172</v>
      </c>
      <c r="E48" s="25">
        <v>8</v>
      </c>
      <c r="F48" s="58" t="s">
        <v>133</v>
      </c>
      <c r="G48" s="87">
        <v>2.94</v>
      </c>
      <c r="H48" s="103"/>
      <c r="I48" s="55"/>
      <c r="J48" s="58">
        <f>'Ocorrências Mensais - FAT'!L70</f>
        <v>8</v>
      </c>
      <c r="K48" s="88">
        <f t="shared" si="2"/>
        <v>23.52</v>
      </c>
      <c r="L48" s="92">
        <f t="shared" si="3"/>
        <v>1</v>
      </c>
      <c r="N48" s="104"/>
      <c r="O48" s="35"/>
      <c r="P48" s="35"/>
      <c r="Q48" s="35"/>
      <c r="R48" s="35"/>
      <c r="S48" s="94"/>
    </row>
    <row r="49" spans="1:19" ht="27.6" x14ac:dyDescent="0.3">
      <c r="A49" s="25">
        <v>5</v>
      </c>
      <c r="B49" s="522" t="s">
        <v>173</v>
      </c>
      <c r="C49" s="58" t="s">
        <v>65</v>
      </c>
      <c r="D49" s="58" t="s">
        <v>174</v>
      </c>
      <c r="E49" s="25">
        <v>1</v>
      </c>
      <c r="F49" s="58" t="s">
        <v>136</v>
      </c>
      <c r="G49" s="87">
        <v>4.3</v>
      </c>
      <c r="H49" s="103"/>
      <c r="I49" s="55"/>
      <c r="J49" s="58">
        <f>'Ocorrências Mensais - FAT'!L71</f>
        <v>8.3333333333333329E-2</v>
      </c>
      <c r="K49" s="88">
        <f t="shared" si="2"/>
        <v>0.35833333333333328</v>
      </c>
      <c r="L49" s="92">
        <f t="shared" si="3"/>
        <v>12</v>
      </c>
      <c r="N49" s="104"/>
      <c r="O49" s="35"/>
      <c r="P49" s="35"/>
      <c r="Q49" s="35"/>
      <c r="R49" s="35"/>
      <c r="S49" s="94"/>
    </row>
    <row r="50" spans="1:19" ht="27.6" x14ac:dyDescent="0.3">
      <c r="A50" s="25">
        <v>6</v>
      </c>
      <c r="B50" s="522" t="s">
        <v>175</v>
      </c>
      <c r="C50" s="58" t="s">
        <v>65</v>
      </c>
      <c r="D50" s="58" t="s">
        <v>176</v>
      </c>
      <c r="E50" s="25">
        <v>4</v>
      </c>
      <c r="F50" s="58" t="s">
        <v>133</v>
      </c>
      <c r="G50" s="87">
        <v>2.5499999999999998</v>
      </c>
      <c r="H50" s="103"/>
      <c r="I50" s="55"/>
      <c r="J50" s="58">
        <f>'Ocorrências Mensais - FAT'!L72</f>
        <v>4</v>
      </c>
      <c r="K50" s="88">
        <f t="shared" si="2"/>
        <v>10.199999999999999</v>
      </c>
      <c r="L50" s="92">
        <f t="shared" si="3"/>
        <v>1</v>
      </c>
      <c r="N50" s="104"/>
      <c r="O50" s="35"/>
      <c r="P50" s="35"/>
      <c r="Q50" s="35"/>
      <c r="R50" s="35"/>
      <c r="S50" s="94"/>
    </row>
    <row r="51" spans="1:19" ht="14.85" customHeight="1" x14ac:dyDescent="0.3">
      <c r="A51" s="25">
        <v>7</v>
      </c>
      <c r="B51" s="507" t="s">
        <v>99</v>
      </c>
      <c r="C51" s="58" t="s">
        <v>86</v>
      </c>
      <c r="D51" s="58" t="s">
        <v>100</v>
      </c>
      <c r="E51" s="25">
        <v>2</v>
      </c>
      <c r="F51" s="58" t="s">
        <v>133</v>
      </c>
      <c r="G51" s="87">
        <v>2.66</v>
      </c>
      <c r="H51" s="103"/>
      <c r="I51" s="55"/>
      <c r="J51" s="58">
        <f>'Ocorrências Mensais - FAT'!L73</f>
        <v>2</v>
      </c>
      <c r="K51" s="88">
        <f t="shared" si="2"/>
        <v>5.32</v>
      </c>
      <c r="L51" s="92">
        <f t="shared" si="3"/>
        <v>1</v>
      </c>
      <c r="N51" s="104">
        <v>4.04</v>
      </c>
      <c r="O51" s="35">
        <f>ROUND(IF(Dados!$J$59="SIM",N51*Dados!$N$59,N51),2)</f>
        <v>4.04</v>
      </c>
      <c r="P51" s="35">
        <f>ROUND(IF(Dados!$J$60="SIM",O51*Dados!$N$60,O51),2)</f>
        <v>4.04</v>
      </c>
      <c r="Q51" s="35">
        <f>ROUND(IF(Dados!$J$61="SIM",P51*Dados!$N$61,P51),2)</f>
        <v>4.04</v>
      </c>
      <c r="R51" s="35">
        <f>ROUND(IF(Dados!$J$62="SIM",Q51*Dados!$N$62,Q51),2)</f>
        <v>4.04</v>
      </c>
      <c r="S51" s="94">
        <f>ROUND(IF(Dados!$J$63="SIM",R51*Dados!$N$63,R51),2)</f>
        <v>4.04</v>
      </c>
    </row>
    <row r="52" spans="1:19" ht="27.6" x14ac:dyDescent="0.3">
      <c r="A52" s="25">
        <v>8</v>
      </c>
      <c r="B52" s="507" t="s">
        <v>177</v>
      </c>
      <c r="C52" s="58" t="s">
        <v>65</v>
      </c>
      <c r="D52" s="58"/>
      <c r="E52" s="25">
        <v>5</v>
      </c>
      <c r="F52" s="58" t="s">
        <v>178</v>
      </c>
      <c r="G52" s="87">
        <v>4.72</v>
      </c>
      <c r="H52" s="103"/>
      <c r="I52" s="55"/>
      <c r="J52" s="58">
        <f>'Ocorrências Mensais - FAT'!L74</f>
        <v>1.6666666666666667</v>
      </c>
      <c r="K52" s="88">
        <f t="shared" si="2"/>
        <v>7.8666666666666663</v>
      </c>
      <c r="L52" s="92">
        <f t="shared" si="3"/>
        <v>3</v>
      </c>
      <c r="N52" s="104">
        <v>1.5</v>
      </c>
      <c r="O52" s="35">
        <f>ROUND(IF(Dados!$J$59="SIM",N52*Dados!$N$59,N52),2)</f>
        <v>1.5</v>
      </c>
      <c r="P52" s="35">
        <f>ROUND(IF(Dados!$J$60="SIM",O52*Dados!$N$60,O52),2)</f>
        <v>1.5</v>
      </c>
      <c r="Q52" s="35">
        <f>ROUND(IF(Dados!$J$61="SIM",P52*Dados!$N$61,P52),2)</f>
        <v>1.5</v>
      </c>
      <c r="R52" s="35">
        <f>ROUND(IF(Dados!$J$62="SIM",Q52*Dados!$N$62,Q52),2)</f>
        <v>1.5</v>
      </c>
      <c r="S52" s="94">
        <f>ROUND(IF(Dados!$J$63="SIM",R52*Dados!$N$63,R52),2)</f>
        <v>1.5</v>
      </c>
    </row>
    <row r="53" spans="1:19" ht="22.35" customHeight="1" x14ac:dyDescent="0.3">
      <c r="A53" s="25">
        <v>9</v>
      </c>
      <c r="B53" s="507" t="s">
        <v>179</v>
      </c>
      <c r="C53" s="58" t="s">
        <v>65</v>
      </c>
      <c r="D53" s="58" t="s">
        <v>101</v>
      </c>
      <c r="E53" s="25">
        <v>1</v>
      </c>
      <c r="F53" s="58" t="s">
        <v>133</v>
      </c>
      <c r="G53" s="87">
        <v>16.78</v>
      </c>
      <c r="H53" s="103"/>
      <c r="I53" s="55"/>
      <c r="J53" s="58">
        <f>'Ocorrências Mensais - FAT'!L75</f>
        <v>1</v>
      </c>
      <c r="K53" s="88">
        <f t="shared" si="2"/>
        <v>16.78</v>
      </c>
      <c r="L53" s="92">
        <f t="shared" si="3"/>
        <v>1</v>
      </c>
      <c r="N53" s="104"/>
      <c r="O53" s="35"/>
      <c r="P53" s="35"/>
      <c r="Q53" s="35"/>
      <c r="R53" s="35"/>
      <c r="S53" s="94"/>
    </row>
    <row r="54" spans="1:19" ht="26.4" x14ac:dyDescent="0.3">
      <c r="A54" s="25">
        <v>10</v>
      </c>
      <c r="B54" s="97" t="s">
        <v>180</v>
      </c>
      <c r="C54" s="58" t="s">
        <v>65</v>
      </c>
      <c r="D54" s="58" t="s">
        <v>102</v>
      </c>
      <c r="E54" s="25">
        <v>1</v>
      </c>
      <c r="F54" s="58" t="s">
        <v>133</v>
      </c>
      <c r="G54" s="87">
        <v>17.18</v>
      </c>
      <c r="H54" s="103"/>
      <c r="I54" s="55"/>
      <c r="J54" s="58">
        <f>'Ocorrências Mensais - FAT'!L76</f>
        <v>1</v>
      </c>
      <c r="K54" s="88">
        <f t="shared" si="2"/>
        <v>17.18</v>
      </c>
      <c r="L54" s="92">
        <f t="shared" si="3"/>
        <v>1</v>
      </c>
      <c r="N54" s="104"/>
      <c r="O54" s="35"/>
      <c r="P54" s="35"/>
      <c r="Q54" s="35"/>
      <c r="R54" s="35"/>
      <c r="S54" s="94"/>
    </row>
    <row r="55" spans="1:19" ht="15.6" x14ac:dyDescent="0.3">
      <c r="A55" s="613"/>
      <c r="B55" s="613"/>
      <c r="C55" s="613"/>
      <c r="D55" s="613"/>
      <c r="E55" s="613"/>
      <c r="F55" s="613"/>
      <c r="G55" s="613"/>
      <c r="H55" s="613"/>
      <c r="I55" s="55"/>
      <c r="J55" s="515" t="s">
        <v>265</v>
      </c>
      <c r="K55" s="516">
        <f>SUM(K45:K54)</f>
        <v>93.163333333333327</v>
      </c>
      <c r="L55" s="55"/>
      <c r="N55" s="3"/>
      <c r="O55" s="3"/>
      <c r="P55" s="3"/>
      <c r="Q55" s="3"/>
      <c r="R55" s="3"/>
      <c r="S55" s="3"/>
    </row>
    <row r="56" spans="1:19" x14ac:dyDescent="0.3">
      <c r="A56" s="100"/>
      <c r="N56" s="3"/>
      <c r="O56" s="3"/>
      <c r="P56" s="3"/>
      <c r="Q56" s="3"/>
      <c r="R56" s="3"/>
      <c r="S56" s="3"/>
    </row>
    <row r="57" spans="1:19" ht="18" x14ac:dyDescent="0.3">
      <c r="A57" s="611" t="s">
        <v>181</v>
      </c>
      <c r="B57" s="611"/>
      <c r="C57" s="611"/>
      <c r="D57" s="611"/>
      <c r="E57" s="611"/>
      <c r="F57" s="611"/>
      <c r="G57" s="611"/>
      <c r="H57" s="611"/>
      <c r="K57"/>
      <c r="N57" s="3"/>
      <c r="O57" s="3"/>
      <c r="P57" s="3"/>
      <c r="Q57" s="3"/>
      <c r="R57" s="3"/>
      <c r="S57" s="3"/>
    </row>
    <row r="58" spans="1:19" x14ac:dyDescent="0.3">
      <c r="A58" s="101"/>
      <c r="B58" s="54"/>
      <c r="C58" s="54"/>
      <c r="D58" s="54"/>
      <c r="E58" s="54"/>
      <c r="F58" s="54"/>
      <c r="G58" s="54"/>
      <c r="H58" s="54"/>
      <c r="K58"/>
      <c r="M58" s="3"/>
      <c r="N58" s="3"/>
      <c r="O58" s="3"/>
      <c r="P58" s="3"/>
      <c r="Q58" s="3"/>
      <c r="R58" s="3"/>
    </row>
    <row r="59" spans="1:19" ht="21" customHeight="1" x14ac:dyDescent="0.3">
      <c r="A59" s="608" t="s">
        <v>59</v>
      </c>
      <c r="B59" s="609" t="s">
        <v>121</v>
      </c>
      <c r="C59" s="609"/>
      <c r="D59" s="609"/>
      <c r="E59" s="619" t="s">
        <v>125</v>
      </c>
      <c r="F59" s="619" t="s">
        <v>71</v>
      </c>
      <c r="G59" s="619" t="s">
        <v>168</v>
      </c>
      <c r="H59" s="615" t="s">
        <v>122</v>
      </c>
      <c r="J59" s="610" t="s">
        <v>123</v>
      </c>
      <c r="K59" s="610"/>
      <c r="L59" s="610"/>
      <c r="N59" s="562" t="s">
        <v>120</v>
      </c>
      <c r="O59" s="562"/>
      <c r="P59" s="562"/>
      <c r="Q59" s="562"/>
      <c r="R59" s="562"/>
      <c r="S59" s="562"/>
    </row>
    <row r="60" spans="1:19" ht="41.4" x14ac:dyDescent="0.3">
      <c r="A60" s="608"/>
      <c r="B60" s="509" t="s">
        <v>64</v>
      </c>
      <c r="C60" s="84" t="s">
        <v>65</v>
      </c>
      <c r="D60" s="84" t="s">
        <v>167</v>
      </c>
      <c r="E60" s="621"/>
      <c r="F60" s="621"/>
      <c r="G60" s="621"/>
      <c r="H60" s="615"/>
      <c r="J60" s="84" t="s">
        <v>69</v>
      </c>
      <c r="K60" s="512" t="s">
        <v>68</v>
      </c>
      <c r="L60" s="85" t="s">
        <v>126</v>
      </c>
      <c r="N60" s="105" t="s">
        <v>127</v>
      </c>
      <c r="O60" s="51" t="s">
        <v>128</v>
      </c>
      <c r="P60" s="51" t="s">
        <v>129</v>
      </c>
      <c r="Q60" s="51" t="s">
        <v>130</v>
      </c>
      <c r="R60" s="51" t="s">
        <v>131</v>
      </c>
      <c r="S60" s="56" t="s">
        <v>132</v>
      </c>
    </row>
    <row r="61" spans="1:19" x14ac:dyDescent="0.3">
      <c r="A61" s="24">
        <v>1</v>
      </c>
      <c r="B61" s="507" t="s">
        <v>105</v>
      </c>
      <c r="C61" s="58" t="s">
        <v>65</v>
      </c>
      <c r="D61" s="58"/>
      <c r="E61" s="25">
        <v>1</v>
      </c>
      <c r="F61" s="58" t="s">
        <v>178</v>
      </c>
      <c r="G61" s="87">
        <v>22.84</v>
      </c>
      <c r="H61" s="89"/>
      <c r="J61" s="58">
        <f>'Ocorrências Mensais - FAT'!L85</f>
        <v>0.33333333333333331</v>
      </c>
      <c r="K61" s="88">
        <f t="shared" ref="K61:K66" si="4">G61*J61</f>
        <v>7.6133333333333333</v>
      </c>
      <c r="L61" s="92">
        <f t="shared" ref="L61:L66" si="5">IF(F61="MENSAL",1,IF(F61="BIMESTRAL",2,IF(F61="TRIMESTRAL",3,IF(F61="QUADRIMESTRAL",4,IF(F61="SEMESTRAL",6,IF(F61="ANUAL",12,IF(F61="BIENAL",24,"")))))))</f>
        <v>3</v>
      </c>
      <c r="N61" s="104">
        <v>2.5</v>
      </c>
      <c r="O61" s="35">
        <f>ROUND(IF(Dados!$J$59="SIM",N61*Dados!$N$59,N61),2)</f>
        <v>2.5</v>
      </c>
      <c r="P61" s="35">
        <f>ROUND(IF(Dados!$J$60="SIM",O61*Dados!$N$60,O61),2)</f>
        <v>2.5</v>
      </c>
      <c r="Q61" s="35">
        <f>ROUND(IF(Dados!$J$61="SIM",P61*Dados!$N$61,P61),2)</f>
        <v>2.5</v>
      </c>
      <c r="R61" s="35">
        <f>ROUND(IF(Dados!$J$62="SIM",Q61*Dados!$N$62,Q61),2)</f>
        <v>2.5</v>
      </c>
      <c r="S61" s="94">
        <f>ROUND(IF(Dados!$J$63="SIM",R61*Dados!$N$63,R61),2)</f>
        <v>2.5</v>
      </c>
    </row>
    <row r="62" spans="1:19" ht="12.6" customHeight="1" x14ac:dyDescent="0.3">
      <c r="A62" s="24">
        <v>2</v>
      </c>
      <c r="B62" s="507" t="s">
        <v>142</v>
      </c>
      <c r="C62" s="58" t="s">
        <v>65</v>
      </c>
      <c r="D62" s="96" t="s">
        <v>176</v>
      </c>
      <c r="E62" s="25">
        <v>1</v>
      </c>
      <c r="F62" s="58" t="s">
        <v>133</v>
      </c>
      <c r="G62" s="87">
        <v>2.5499999999999998</v>
      </c>
      <c r="H62" s="89"/>
      <c r="J62" s="58">
        <f>'Ocorrências Mensais - FAT'!L86</f>
        <v>1</v>
      </c>
      <c r="K62" s="88">
        <f t="shared" si="4"/>
        <v>2.5499999999999998</v>
      </c>
      <c r="L62" s="92">
        <f t="shared" si="5"/>
        <v>1</v>
      </c>
      <c r="N62" s="104">
        <v>7</v>
      </c>
      <c r="O62" s="35">
        <f>ROUND(IF(Dados!$J$59="SIM",N62*Dados!$N$59,N62),2)</f>
        <v>7</v>
      </c>
      <c r="P62" s="35">
        <f>ROUND(IF(Dados!$J$60="SIM",O62*Dados!$N$60,O62),2)</f>
        <v>7</v>
      </c>
      <c r="Q62" s="35">
        <f>ROUND(IF(Dados!$J$61="SIM",P62*Dados!$N$61,P62),2)</f>
        <v>7</v>
      </c>
      <c r="R62" s="35">
        <f>ROUND(IF(Dados!$J$62="SIM",Q62*Dados!$N$62,Q62),2)</f>
        <v>7</v>
      </c>
      <c r="S62" s="94">
        <f>ROUND(IF(Dados!$J$63="SIM",R62*Dados!$N$63,R62),2)</f>
        <v>7</v>
      </c>
    </row>
    <row r="63" spans="1:19" ht="14.1" customHeight="1" x14ac:dyDescent="0.3">
      <c r="A63" s="24">
        <v>3</v>
      </c>
      <c r="B63" s="507" t="s">
        <v>182</v>
      </c>
      <c r="C63" s="58" t="s">
        <v>183</v>
      </c>
      <c r="D63" s="58"/>
      <c r="E63" s="25">
        <v>1</v>
      </c>
      <c r="F63" s="58" t="s">
        <v>146</v>
      </c>
      <c r="G63" s="87">
        <v>12.48</v>
      </c>
      <c r="H63" s="89"/>
      <c r="J63" s="58">
        <f>'Ocorrências Mensais - FAT'!L87</f>
        <v>0.5</v>
      </c>
      <c r="K63" s="88">
        <f t="shared" si="4"/>
        <v>6.24</v>
      </c>
      <c r="L63" s="92">
        <f t="shared" si="5"/>
        <v>2</v>
      </c>
      <c r="N63" s="104">
        <v>3.1</v>
      </c>
      <c r="O63" s="35">
        <f>ROUND(IF(Dados!$J$59="SIM",N63*Dados!$N$59,N63),2)</f>
        <v>3.1</v>
      </c>
      <c r="P63" s="35">
        <f>ROUND(IF(Dados!$J$60="SIM",O63*Dados!$N$60,O63),2)</f>
        <v>3.1</v>
      </c>
      <c r="Q63" s="35">
        <f>ROUND(IF(Dados!$J$61="SIM",P63*Dados!$N$61,P63),2)</f>
        <v>3.1</v>
      </c>
      <c r="R63" s="35">
        <f>ROUND(IF(Dados!$J$62="SIM",Q63*Dados!$N$62,Q63),2)</f>
        <v>3.1</v>
      </c>
      <c r="S63" s="94">
        <f>ROUND(IF(Dados!$J$63="SIM",R63*Dados!$N$63,R63),2)</f>
        <v>3.1</v>
      </c>
    </row>
    <row r="64" spans="1:19" x14ac:dyDescent="0.3">
      <c r="A64" s="24">
        <v>4</v>
      </c>
      <c r="B64" s="507" t="s">
        <v>184</v>
      </c>
      <c r="C64" s="58" t="s">
        <v>65</v>
      </c>
      <c r="D64" s="58"/>
      <c r="E64" s="25">
        <v>1</v>
      </c>
      <c r="F64" s="58" t="s">
        <v>178</v>
      </c>
      <c r="G64" s="87">
        <v>22.28</v>
      </c>
      <c r="H64" s="89"/>
      <c r="J64" s="58">
        <f>'Ocorrências Mensais - FAT'!L88</f>
        <v>0.33333333333333331</v>
      </c>
      <c r="K64" s="88">
        <f t="shared" si="4"/>
        <v>7.4266666666666667</v>
      </c>
      <c r="L64" s="92">
        <f t="shared" si="5"/>
        <v>3</v>
      </c>
      <c r="N64" s="104">
        <v>1.89</v>
      </c>
      <c r="O64" s="35">
        <f>ROUND(IF(Dados!$J$59="SIM",N64*Dados!$N$59,N64),2)</f>
        <v>1.89</v>
      </c>
      <c r="P64" s="35">
        <f>ROUND(IF(Dados!$J$60="SIM",O64*Dados!$N$60,O64),2)</f>
        <v>1.89</v>
      </c>
      <c r="Q64" s="35">
        <f>ROUND(IF(Dados!$J$61="SIM",P64*Dados!$N$61,P64),2)</f>
        <v>1.89</v>
      </c>
      <c r="R64" s="35">
        <f>ROUND(IF(Dados!$J$62="SIM",Q64*Dados!$N$62,Q64),2)</f>
        <v>1.89</v>
      </c>
      <c r="S64" s="94">
        <f>ROUND(IF(Dados!$J$63="SIM",R64*Dados!$N$63,R64),2)</f>
        <v>1.89</v>
      </c>
    </row>
    <row r="65" spans="1:19" ht="12.6" customHeight="1" x14ac:dyDescent="0.3">
      <c r="A65" s="24">
        <v>5</v>
      </c>
      <c r="B65" s="507" t="s">
        <v>106</v>
      </c>
      <c r="C65" s="58" t="s">
        <v>65</v>
      </c>
      <c r="D65" s="58"/>
      <c r="E65" s="25">
        <v>1</v>
      </c>
      <c r="F65" s="58" t="s">
        <v>178</v>
      </c>
      <c r="G65" s="87">
        <v>18.32</v>
      </c>
      <c r="H65" s="89"/>
      <c r="J65" s="58">
        <f>'Ocorrências Mensais - FAT'!L89</f>
        <v>0.33333333333333331</v>
      </c>
      <c r="K65" s="88">
        <f t="shared" si="4"/>
        <v>6.1066666666666665</v>
      </c>
      <c r="L65" s="92">
        <f t="shared" si="5"/>
        <v>3</v>
      </c>
      <c r="N65" s="104">
        <v>8</v>
      </c>
      <c r="O65" s="35">
        <f>ROUND(IF(Dados!$J$59="SIM",N65*Dados!$N$59,N65),2)</f>
        <v>8</v>
      </c>
      <c r="P65" s="35">
        <f>ROUND(IF(Dados!$J$60="SIM",O65*Dados!$N$60,O65),2)</f>
        <v>8</v>
      </c>
      <c r="Q65" s="35">
        <f>ROUND(IF(Dados!$J$61="SIM",P65*Dados!$N$61,P65),2)</f>
        <v>8</v>
      </c>
      <c r="R65" s="35">
        <f>ROUND(IF(Dados!$J$62="SIM",Q65*Dados!$N$62,Q65),2)</f>
        <v>8</v>
      </c>
      <c r="S65" s="94">
        <f>ROUND(IF(Dados!$J$63="SIM",R65*Dados!$N$63,R65),2)</f>
        <v>8</v>
      </c>
    </row>
    <row r="66" spans="1:19" ht="12.6" customHeight="1" x14ac:dyDescent="0.3">
      <c r="A66" s="24">
        <v>6</v>
      </c>
      <c r="B66" s="507" t="s">
        <v>185</v>
      </c>
      <c r="C66" s="58" t="s">
        <v>65</v>
      </c>
      <c r="D66" s="58"/>
      <c r="E66" s="25">
        <v>1</v>
      </c>
      <c r="F66" s="58" t="s">
        <v>186</v>
      </c>
      <c r="G66" s="87">
        <v>21.25</v>
      </c>
      <c r="H66" s="89"/>
      <c r="J66" s="58">
        <f>'Ocorrências Mensais - FAT'!L90</f>
        <v>0.25</v>
      </c>
      <c r="K66" s="88">
        <f t="shared" si="4"/>
        <v>5.3125</v>
      </c>
      <c r="L66" s="92">
        <f t="shared" si="5"/>
        <v>4</v>
      </c>
      <c r="N66" s="106">
        <v>5</v>
      </c>
      <c r="O66" s="107">
        <f>ROUND(IF(Dados!$J$59="SIM",N66*Dados!$N$59,N66),2)</f>
        <v>5</v>
      </c>
      <c r="P66" s="107">
        <f>ROUND(IF(Dados!$J$60="SIM",O66*Dados!$N$60,O66),2)</f>
        <v>5</v>
      </c>
      <c r="Q66" s="107">
        <f>ROUND(IF(Dados!$J$61="SIM",P66*Dados!$N$61,P66),2)</f>
        <v>5</v>
      </c>
      <c r="R66" s="107">
        <f>ROUND(IF(Dados!$J$62="SIM",Q66*Dados!$N$62,Q66),2)</f>
        <v>5</v>
      </c>
      <c r="S66" s="108">
        <f>ROUND(IF(Dados!$J$63="SIM",R66*Dados!$N$63,R66),2)</f>
        <v>5</v>
      </c>
    </row>
    <row r="67" spans="1:19" x14ac:dyDescent="0.3">
      <c r="A67" s="614"/>
      <c r="B67" s="614"/>
      <c r="C67" s="614"/>
      <c r="D67" s="614"/>
      <c r="E67" s="614"/>
      <c r="F67" s="614"/>
      <c r="G67" s="614"/>
      <c r="H67" s="614"/>
      <c r="J67" s="517" t="s">
        <v>265</v>
      </c>
      <c r="K67" s="518">
        <f>SUM(K61:K66)</f>
        <v>35.249166666666667</v>
      </c>
    </row>
  </sheetData>
  <sheetProtection algorithmName="SHA-512" hashValue="uaaZS/6DIxzBWGR/uzk4bYeNeJGICky0lRh1Qvs777tz/6E6am98DUFAyFDNrQsvHGfsgcgw303ZMFP6p4QYUQ==" saltValue="8ZtfgcuvWxkdlsaMiMYcBQ==" spinCount="100000" sheet="1" objects="1" scenarios="1"/>
  <mergeCells count="31">
    <mergeCell ref="J59:L59"/>
    <mergeCell ref="N59:S59"/>
    <mergeCell ref="A67:H67"/>
    <mergeCell ref="H6:H8"/>
    <mergeCell ref="H43:H44"/>
    <mergeCell ref="H59:H60"/>
    <mergeCell ref="E6:E8"/>
    <mergeCell ref="F6:F8"/>
    <mergeCell ref="G6:G8"/>
    <mergeCell ref="E43:E44"/>
    <mergeCell ref="F43:F44"/>
    <mergeCell ref="G43:G44"/>
    <mergeCell ref="G59:G60"/>
    <mergeCell ref="F59:F60"/>
    <mergeCell ref="E59:E60"/>
    <mergeCell ref="A55:H55"/>
    <mergeCell ref="A57:H57"/>
    <mergeCell ref="A59:A60"/>
    <mergeCell ref="B59:D59"/>
    <mergeCell ref="A39:H39"/>
    <mergeCell ref="A41:H41"/>
    <mergeCell ref="N41:S43"/>
    <mergeCell ref="A43:A44"/>
    <mergeCell ref="B43:D43"/>
    <mergeCell ref="J43:L43"/>
    <mergeCell ref="A4:H4"/>
    <mergeCell ref="A5:H5"/>
    <mergeCell ref="N5:S7"/>
    <mergeCell ref="A6:A8"/>
    <mergeCell ref="B6:D7"/>
    <mergeCell ref="J7:L7"/>
  </mergeCells>
  <dataValidations count="1">
    <dataValidation type="list" operator="equal" allowBlank="1" showInputMessage="1" showErrorMessage="1" sqref="F9:F38 F45:F54 F61:F66" xr:uid="{00000000-0002-0000-0100-000000000000}">
      <formula1>"Mensal,Bimestral,Trimestral,Quadrimestral,Semestral,Anual,Bienal"</formula1>
      <formula2>0</formula2>
    </dataValidation>
  </dataValidations>
  <printOptions horizontalCentered="1" verticalCentered="1"/>
  <pageMargins left="0.51180555555555596" right="0.51180555555555596" top="0.78749999999999998" bottom="0.78749999999999998" header="0.511811023622047" footer="0.511811023622047"/>
  <pageSetup paperSize="9" scale="55" fitToHeight="2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4"/>
  <sheetViews>
    <sheetView showGridLines="0" zoomScaleNormal="100" zoomScaleSheetLayoutView="100" workbookViewId="0">
      <selection activeCell="H24" sqref="H24"/>
    </sheetView>
  </sheetViews>
  <sheetFormatPr defaultColWidth="8.6640625" defaultRowHeight="14.4" x14ac:dyDescent="0.3"/>
  <cols>
    <col min="1" max="1" width="5.5546875" style="55" customWidth="1"/>
    <col min="2" max="2" width="45.109375" style="55" customWidth="1"/>
    <col min="3" max="3" width="7.88671875" style="55" customWidth="1"/>
    <col min="4" max="6" width="13.6640625" style="55" customWidth="1"/>
    <col min="7" max="255" width="9" customWidth="1"/>
    <col min="256" max="256" width="5.5546875" customWidth="1"/>
    <col min="257" max="257" width="45.109375" customWidth="1"/>
    <col min="258" max="258" width="6.33203125" customWidth="1"/>
    <col min="259" max="262" width="13.6640625" customWidth="1"/>
    <col min="263" max="511" width="9" customWidth="1"/>
    <col min="512" max="512" width="5.5546875" customWidth="1"/>
    <col min="513" max="513" width="45.109375" customWidth="1"/>
    <col min="514" max="514" width="6.33203125" customWidth="1"/>
    <col min="515" max="518" width="13.6640625" customWidth="1"/>
    <col min="519" max="767" width="9" customWidth="1"/>
    <col min="768" max="768" width="5.5546875" customWidth="1"/>
    <col min="769" max="769" width="45.109375" customWidth="1"/>
    <col min="770" max="770" width="6.33203125" customWidth="1"/>
    <col min="771" max="774" width="13.6640625" customWidth="1"/>
    <col min="775" max="1024" width="9" customWidth="1"/>
  </cols>
  <sheetData>
    <row r="1" spans="1:6" s="55" customFormat="1" ht="11.25" customHeight="1" x14ac:dyDescent="0.3">
      <c r="A1" s="168"/>
      <c r="B1" s="77" t="str">
        <f>INSTRUÇÕES!B1</f>
        <v>Tribunal Regional Federal da 6ª Região</v>
      </c>
      <c r="C1" s="212"/>
      <c r="D1" s="213"/>
      <c r="E1" s="213"/>
      <c r="F1" s="214"/>
    </row>
    <row r="2" spans="1:6" s="55" customFormat="1" ht="11.25" customHeight="1" x14ac:dyDescent="0.3">
      <c r="A2" s="170"/>
      <c r="B2" s="80" t="str">
        <f>INSTRUÇÕES!B2</f>
        <v>Seção Judiciária de Minas Gerais</v>
      </c>
      <c r="C2" s="215"/>
      <c r="D2" s="216"/>
      <c r="E2" s="216"/>
      <c r="F2" s="217"/>
    </row>
    <row r="3" spans="1:6" s="55" customFormat="1" ht="10.5" customHeight="1" x14ac:dyDescent="0.3">
      <c r="A3" s="172"/>
      <c r="B3" s="80" t="str">
        <f>INSTRUÇÕES!B3</f>
        <v>Subseção Judiciária de Governador Valadares</v>
      </c>
      <c r="C3" s="215"/>
      <c r="D3" s="216"/>
      <c r="E3" s="216"/>
      <c r="F3" s="217"/>
    </row>
    <row r="4" spans="1:6" s="55" customFormat="1" ht="21.75" customHeight="1" x14ac:dyDescent="0.3">
      <c r="A4" s="627" t="s">
        <v>622</v>
      </c>
      <c r="B4" s="627"/>
      <c r="C4" s="627"/>
      <c r="D4" s="627"/>
      <c r="E4" s="627"/>
      <c r="F4" s="627"/>
    </row>
    <row r="5" spans="1:6" s="55" customFormat="1" ht="26.25" customHeight="1" x14ac:dyDescent="0.3">
      <c r="A5" s="628" t="s">
        <v>119</v>
      </c>
      <c r="B5" s="628"/>
      <c r="C5" s="628"/>
      <c r="D5" s="628"/>
      <c r="E5" s="628"/>
      <c r="F5" s="628"/>
    </row>
    <row r="6" spans="1:6" s="55" customFormat="1" ht="15.6" x14ac:dyDescent="0.3">
      <c r="A6" s="218"/>
      <c r="B6" s="219"/>
      <c r="C6" s="219"/>
      <c r="D6" s="219" t="s">
        <v>436</v>
      </c>
      <c r="E6" s="219"/>
      <c r="F6" s="220"/>
    </row>
    <row r="7" spans="1:6" s="55" customFormat="1" ht="27.6" x14ac:dyDescent="0.3">
      <c r="A7" s="221" t="s">
        <v>437</v>
      </c>
      <c r="B7" s="509" t="s">
        <v>438</v>
      </c>
      <c r="C7" s="509" t="s">
        <v>439</v>
      </c>
      <c r="D7" s="222" t="s">
        <v>440</v>
      </c>
      <c r="E7" s="222" t="s">
        <v>441</v>
      </c>
      <c r="F7" s="223" t="s">
        <v>443</v>
      </c>
    </row>
    <row r="8" spans="1:6" s="55" customFormat="1" ht="13.8" x14ac:dyDescent="0.3">
      <c r="A8" s="561" t="s">
        <v>624</v>
      </c>
      <c r="B8" s="561"/>
      <c r="C8" s="561"/>
      <c r="D8" s="561"/>
      <c r="E8" s="561"/>
      <c r="F8" s="561"/>
    </row>
    <row r="9" spans="1:6" s="55" customFormat="1" ht="52.8" x14ac:dyDescent="0.3">
      <c r="A9" s="224">
        <v>1</v>
      </c>
      <c r="B9" s="270" t="s">
        <v>466</v>
      </c>
      <c r="C9" s="226">
        <v>3</v>
      </c>
      <c r="D9" s="227">
        <v>49.18</v>
      </c>
      <c r="E9" s="228">
        <f>ROUND((D9*C9),2)</f>
        <v>147.54</v>
      </c>
      <c r="F9" s="229">
        <f>ROUND(E9/12,2)</f>
        <v>12.3</v>
      </c>
    </row>
    <row r="10" spans="1:6" s="55" customFormat="1" ht="15.75" customHeight="1" thickBot="1" x14ac:dyDescent="0.35">
      <c r="A10" s="626" t="s">
        <v>623</v>
      </c>
      <c r="B10" s="626"/>
      <c r="C10" s="626"/>
      <c r="D10" s="626"/>
      <c r="E10" s="626"/>
      <c r="F10" s="231">
        <f>SUM(F9:F9)</f>
        <v>12.3</v>
      </c>
    </row>
    <row r="11" spans="1:6" x14ac:dyDescent="0.3">
      <c r="A11" s="629" t="s">
        <v>659</v>
      </c>
      <c r="B11" s="629"/>
      <c r="C11" s="629"/>
      <c r="D11" s="629"/>
      <c r="E11" s="629"/>
      <c r="F11" s="629"/>
    </row>
    <row r="12" spans="1:6" ht="52.8" x14ac:dyDescent="0.3">
      <c r="A12" s="224">
        <v>1</v>
      </c>
      <c r="B12" s="270" t="s">
        <v>466</v>
      </c>
      <c r="C12" s="226">
        <v>1</v>
      </c>
      <c r="D12" s="227">
        <v>49.18</v>
      </c>
      <c r="E12" s="228">
        <f>ROUND((D12*C12),2)</f>
        <v>49.18</v>
      </c>
      <c r="F12" s="229">
        <f>ROUND(E12/12,2)</f>
        <v>4.0999999999999996</v>
      </c>
    </row>
    <row r="13" spans="1:6" ht="26.4" x14ac:dyDescent="0.3">
      <c r="A13" s="531">
        <v>1</v>
      </c>
      <c r="B13" s="532" t="s">
        <v>660</v>
      </c>
      <c r="C13" s="533">
        <v>2</v>
      </c>
      <c r="D13" s="534">
        <v>7.95</v>
      </c>
      <c r="E13" s="228">
        <f>ROUND((D13*C13),2)</f>
        <v>15.9</v>
      </c>
      <c r="F13" s="229">
        <f>ROUND(E13/12,2)</f>
        <v>1.33</v>
      </c>
    </row>
    <row r="14" spans="1:6" ht="15" thickBot="1" x14ac:dyDescent="0.35">
      <c r="A14" s="626" t="s">
        <v>661</v>
      </c>
      <c r="B14" s="626"/>
      <c r="C14" s="626"/>
      <c r="D14" s="626"/>
      <c r="E14" s="626"/>
      <c r="F14" s="231">
        <f>SUM(F12:F13)</f>
        <v>5.43</v>
      </c>
    </row>
  </sheetData>
  <sheetProtection algorithmName="SHA-512" hashValue="471k+BOYsUmHJhJKm2FMEqvSRwYPlXLAaBo9A+J58nwZvRlkkXpkBAdEF8uyMrjUHciqa/TgCy6ZSrjoYcffog==" saltValue="6OdZKmVDx8PAvMWiLK5Wew==" spinCount="100000" sheet="1" objects="1" scenarios="1"/>
  <mergeCells count="6">
    <mergeCell ref="A14:E14"/>
    <mergeCell ref="A4:F4"/>
    <mergeCell ref="A5:F5"/>
    <mergeCell ref="A8:F8"/>
    <mergeCell ref="A10:E10"/>
    <mergeCell ref="A11:F11"/>
  </mergeCells>
  <printOptions horizontalCentered="1" verticalCentered="1"/>
  <pageMargins left="0.51180555555555596" right="0.51180555555555596" top="0.78749999999999998" bottom="0.78749999999999998" header="0.511811023622047" footer="0.511811023622047"/>
  <pageSetup paperSize="9" scale="92" fitToHeight="2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1"/>
  <sheetViews>
    <sheetView showGridLines="0" zoomScaleNormal="100" zoomScaleSheetLayoutView="100" workbookViewId="0">
      <selection activeCell="F22" sqref="F22"/>
    </sheetView>
  </sheetViews>
  <sheetFormatPr defaultColWidth="8.6640625" defaultRowHeight="14.4" x14ac:dyDescent="0.3"/>
  <cols>
    <col min="1" max="1" width="5.5546875" style="55" customWidth="1"/>
    <col min="2" max="2" width="45.109375" style="55" customWidth="1"/>
    <col min="3" max="3" width="7.88671875" style="55" customWidth="1"/>
    <col min="4" max="7" width="13.6640625" style="55" customWidth="1"/>
    <col min="8" max="256" width="9" customWidth="1"/>
    <col min="257" max="257" width="5.5546875" customWidth="1"/>
    <col min="258" max="258" width="45.109375" customWidth="1"/>
    <col min="259" max="259" width="6.33203125" customWidth="1"/>
    <col min="260" max="263" width="13.6640625" customWidth="1"/>
    <col min="264" max="512" width="9" customWidth="1"/>
    <col min="513" max="513" width="5.5546875" customWidth="1"/>
    <col min="514" max="514" width="45.109375" customWidth="1"/>
    <col min="515" max="515" width="6.33203125" customWidth="1"/>
    <col min="516" max="519" width="13.6640625" customWidth="1"/>
    <col min="520" max="768" width="9" customWidth="1"/>
    <col min="769" max="769" width="5.5546875" customWidth="1"/>
    <col min="770" max="770" width="45.109375" customWidth="1"/>
    <col min="771" max="771" width="6.33203125" customWidth="1"/>
    <col min="772" max="775" width="13.6640625" customWidth="1"/>
    <col min="776" max="1025" width="9" customWidth="1"/>
  </cols>
  <sheetData>
    <row r="1" spans="1:7" s="55" customFormat="1" ht="11.25" customHeight="1" x14ac:dyDescent="0.3">
      <c r="A1" s="168"/>
      <c r="B1" s="77" t="str">
        <f>INSTRUÇÕES!B1</f>
        <v>Tribunal Regional Federal da 6ª Região</v>
      </c>
      <c r="C1" s="212"/>
      <c r="D1" s="213"/>
      <c r="E1" s="213"/>
      <c r="F1" s="213"/>
      <c r="G1" s="214"/>
    </row>
    <row r="2" spans="1:7" s="55" customFormat="1" ht="11.25" customHeight="1" x14ac:dyDescent="0.3">
      <c r="A2" s="170"/>
      <c r="B2" s="80" t="str">
        <f>INSTRUÇÕES!B2</f>
        <v>Seção Judiciária de Minas Gerais</v>
      </c>
      <c r="C2" s="215"/>
      <c r="D2" s="216"/>
      <c r="E2" s="216"/>
      <c r="F2" s="216"/>
      <c r="G2" s="217"/>
    </row>
    <row r="3" spans="1:7" s="55" customFormat="1" ht="10.5" customHeight="1" x14ac:dyDescent="0.3">
      <c r="A3" s="172"/>
      <c r="B3" s="80" t="str">
        <f>INSTRUÇÕES!B3</f>
        <v>Subseção Judiciária de Governador Valadares</v>
      </c>
      <c r="C3" s="215"/>
      <c r="D3" s="216"/>
      <c r="E3" s="216"/>
      <c r="F3" s="216"/>
      <c r="G3" s="217"/>
    </row>
    <row r="4" spans="1:7" s="55" customFormat="1" ht="21.75" customHeight="1" x14ac:dyDescent="0.3">
      <c r="A4" s="627" t="s">
        <v>435</v>
      </c>
      <c r="B4" s="627"/>
      <c r="C4" s="627"/>
      <c r="D4" s="627"/>
      <c r="E4" s="627"/>
      <c r="F4" s="627"/>
      <c r="G4" s="627"/>
    </row>
    <row r="5" spans="1:7" s="55" customFormat="1" ht="26.25" customHeight="1" x14ac:dyDescent="0.3">
      <c r="A5" s="628" t="s">
        <v>119</v>
      </c>
      <c r="B5" s="628"/>
      <c r="C5" s="628"/>
      <c r="D5" s="628"/>
      <c r="E5" s="628"/>
      <c r="F5" s="628"/>
      <c r="G5" s="628"/>
    </row>
    <row r="6" spans="1:7" s="55" customFormat="1" ht="15.6" x14ac:dyDescent="0.3">
      <c r="A6" s="218"/>
      <c r="B6" s="219"/>
      <c r="C6" s="219"/>
      <c r="D6" s="219" t="s">
        <v>436</v>
      </c>
      <c r="E6" s="219"/>
      <c r="G6" s="220">
        <v>0.1</v>
      </c>
    </row>
    <row r="7" spans="1:7" s="55" customFormat="1" ht="27.6" x14ac:dyDescent="0.3">
      <c r="A7" s="221" t="s">
        <v>437</v>
      </c>
      <c r="B7" s="509" t="s">
        <v>438</v>
      </c>
      <c r="C7" s="509" t="s">
        <v>439</v>
      </c>
      <c r="D7" s="222" t="s">
        <v>440</v>
      </c>
      <c r="E7" s="222" t="s">
        <v>441</v>
      </c>
      <c r="F7" s="222" t="s">
        <v>442</v>
      </c>
      <c r="G7" s="223" t="s">
        <v>443</v>
      </c>
    </row>
    <row r="8" spans="1:7" s="55" customFormat="1" ht="13.8" x14ac:dyDescent="0.3">
      <c r="A8" s="561" t="s">
        <v>444</v>
      </c>
      <c r="B8" s="561"/>
      <c r="C8" s="561"/>
      <c r="D8" s="561"/>
      <c r="E8" s="561"/>
      <c r="F8" s="561"/>
      <c r="G8" s="561"/>
    </row>
    <row r="9" spans="1:7" s="55" customFormat="1" ht="66" x14ac:dyDescent="0.3">
      <c r="A9" s="224">
        <v>1</v>
      </c>
      <c r="B9" s="225" t="s">
        <v>445</v>
      </c>
      <c r="C9" s="226">
        <v>1</v>
      </c>
      <c r="D9" s="227">
        <v>849.1</v>
      </c>
      <c r="E9" s="228">
        <f>ROUND((D9*C9),2)</f>
        <v>849.1</v>
      </c>
      <c r="F9" s="228">
        <f>ROUND(E9*$G$6,2)</f>
        <v>84.91</v>
      </c>
      <c r="G9" s="229">
        <f>ROUND(F9/12,2)</f>
        <v>7.08</v>
      </c>
    </row>
    <row r="10" spans="1:7" s="55" customFormat="1" ht="39.6" x14ac:dyDescent="0.3">
      <c r="A10" s="224">
        <v>2</v>
      </c>
      <c r="B10" s="230" t="s">
        <v>446</v>
      </c>
      <c r="C10" s="226">
        <v>1</v>
      </c>
      <c r="D10" s="227">
        <v>1290.02</v>
      </c>
      <c r="E10" s="228">
        <f>ROUND((D10*C10),2)</f>
        <v>1290.02</v>
      </c>
      <c r="F10" s="228">
        <f>ROUND(E10*$G$6,2)</f>
        <v>129</v>
      </c>
      <c r="G10" s="229">
        <f>ROUND(F10/12,2)</f>
        <v>10.75</v>
      </c>
    </row>
    <row r="11" spans="1:7" s="55" customFormat="1" ht="15.75" customHeight="1" x14ac:dyDescent="0.3">
      <c r="A11" s="626" t="s">
        <v>447</v>
      </c>
      <c r="B11" s="626"/>
      <c r="C11" s="626"/>
      <c r="D11" s="626"/>
      <c r="E11" s="626"/>
      <c r="F11" s="626"/>
      <c r="G11" s="231">
        <f>SUM(G9:G10)</f>
        <v>17.829999999999998</v>
      </c>
    </row>
  </sheetData>
  <sheetProtection password="C494" sheet="1" objects="1" scenarios="1"/>
  <mergeCells count="4">
    <mergeCell ref="A4:G4"/>
    <mergeCell ref="A5:G5"/>
    <mergeCell ref="A8:G8"/>
    <mergeCell ref="A11:F11"/>
  </mergeCells>
  <printOptions horizontalCentered="1" verticalCentered="1"/>
  <pageMargins left="0.51180555555555596" right="0.51180555555555596" top="0.78749999999999998" bottom="0.78749999999999998" header="0.511811023622047" footer="0.511811023622047"/>
  <pageSetup paperSize="9" scale="83" fitToHeight="2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5"/>
  <sheetViews>
    <sheetView showGridLines="0" zoomScaleNormal="100" zoomScaleSheetLayoutView="100" workbookViewId="0">
      <selection activeCell="D9" sqref="D9"/>
    </sheetView>
  </sheetViews>
  <sheetFormatPr defaultColWidth="8.6640625" defaultRowHeight="14.4" x14ac:dyDescent="0.3"/>
  <cols>
    <col min="1" max="1" width="19.5546875" style="3" customWidth="1"/>
    <col min="2" max="2" width="10" style="2" customWidth="1"/>
    <col min="3" max="3" width="7.88671875" style="232" customWidth="1"/>
    <col min="4" max="4" width="58.44140625" style="1" customWidth="1"/>
    <col min="5" max="5" width="9.33203125" style="1" customWidth="1"/>
    <col min="6" max="6" width="14.88671875" style="232" customWidth="1"/>
    <col min="7" max="7" width="12.44140625" style="233" customWidth="1"/>
    <col min="8" max="8" width="10.88671875" style="234" customWidth="1"/>
    <col min="9" max="9" width="9" customWidth="1"/>
    <col min="10" max="10" width="16.44140625" style="235" hidden="1" customWidth="1"/>
    <col min="11" max="15" width="11.33203125" style="235" hidden="1" customWidth="1"/>
    <col min="16" max="254" width="9" customWidth="1"/>
    <col min="255" max="255" width="13.33203125" customWidth="1"/>
    <col min="256" max="256" width="7.6640625" customWidth="1"/>
    <col min="257" max="257" width="6.109375" customWidth="1"/>
    <col min="258" max="258" width="56.109375" customWidth="1"/>
    <col min="259" max="259" width="9.33203125" customWidth="1"/>
    <col min="260" max="261" width="12.44140625" customWidth="1"/>
    <col min="262" max="262" width="10.88671875" customWidth="1"/>
    <col min="263" max="265" width="9" customWidth="1"/>
    <col min="266" max="266" width="11.44140625" customWidth="1"/>
    <col min="267" max="271" width="11.33203125" customWidth="1"/>
    <col min="272" max="510" width="9" customWidth="1"/>
    <col min="511" max="511" width="13.33203125" customWidth="1"/>
    <col min="512" max="512" width="7.6640625" customWidth="1"/>
    <col min="513" max="513" width="6.109375" customWidth="1"/>
    <col min="514" max="514" width="56.109375" customWidth="1"/>
    <col min="515" max="515" width="9.33203125" customWidth="1"/>
    <col min="516" max="517" width="12.44140625" customWidth="1"/>
    <col min="518" max="518" width="10.88671875" customWidth="1"/>
    <col min="519" max="521" width="9" customWidth="1"/>
    <col min="522" max="522" width="11.44140625" customWidth="1"/>
    <col min="523" max="527" width="11.33203125" customWidth="1"/>
    <col min="528" max="766" width="9" customWidth="1"/>
    <col min="767" max="767" width="13.33203125" customWidth="1"/>
    <col min="768" max="768" width="7.6640625" customWidth="1"/>
    <col min="769" max="769" width="6.109375" customWidth="1"/>
    <col min="770" max="770" width="56.109375" customWidth="1"/>
    <col min="771" max="771" width="9.33203125" customWidth="1"/>
    <col min="772" max="773" width="12.44140625" customWidth="1"/>
    <col min="774" max="774" width="10.88671875" customWidth="1"/>
    <col min="775" max="777" width="9" customWidth="1"/>
    <col min="778" max="778" width="11.44140625" customWidth="1"/>
    <col min="779" max="783" width="11.33203125" customWidth="1"/>
    <col min="784" max="1022" width="9" customWidth="1"/>
    <col min="1023" max="1023" width="13.33203125" customWidth="1"/>
    <col min="1024" max="1025" width="7.6640625" customWidth="1"/>
  </cols>
  <sheetData>
    <row r="1" spans="1:16" s="1" customFormat="1" ht="12.75" customHeight="1" x14ac:dyDescent="0.3">
      <c r="A1" s="236"/>
      <c r="B1" s="237" t="str">
        <f>INSTRUÇÕES!B1</f>
        <v>Tribunal Regional Federal da 6ª Região</v>
      </c>
      <c r="C1" s="238"/>
      <c r="D1" s="239"/>
      <c r="E1" s="240"/>
      <c r="F1" s="241"/>
      <c r="G1" s="242"/>
      <c r="H1" s="243"/>
      <c r="J1" s="630" t="s">
        <v>120</v>
      </c>
      <c r="K1" s="630"/>
      <c r="L1" s="630"/>
      <c r="M1" s="630"/>
      <c r="N1" s="630"/>
      <c r="O1" s="630"/>
    </row>
    <row r="2" spans="1:16" s="1" customFormat="1" ht="12.75" customHeight="1" x14ac:dyDescent="0.3">
      <c r="A2" s="244"/>
      <c r="B2" s="245" t="str">
        <f>INSTRUÇÕES!B2</f>
        <v>Seção Judiciária de Minas Gerais</v>
      </c>
      <c r="C2" s="246"/>
      <c r="D2" s="247"/>
      <c r="F2" s="232"/>
      <c r="G2" s="233"/>
      <c r="H2" s="248"/>
      <c r="J2" s="630"/>
      <c r="K2" s="630"/>
      <c r="L2" s="630"/>
      <c r="M2" s="630"/>
      <c r="N2" s="630"/>
      <c r="O2" s="630"/>
    </row>
    <row r="3" spans="1:16" s="127" customFormat="1" x14ac:dyDescent="0.3">
      <c r="A3" s="244"/>
      <c r="B3" s="249" t="str">
        <f>INSTRUÇÕES!B3</f>
        <v>Subseção Judiciária de Governador Valadares</v>
      </c>
      <c r="C3" s="250"/>
      <c r="D3" s="251"/>
      <c r="F3" s="252"/>
      <c r="G3" s="253"/>
      <c r="H3" s="254"/>
      <c r="J3" s="630"/>
      <c r="K3" s="630"/>
      <c r="L3" s="630"/>
      <c r="M3" s="630"/>
      <c r="N3" s="630"/>
      <c r="O3" s="630"/>
    </row>
    <row r="4" spans="1:16" s="216" customFormat="1" ht="15.6" x14ac:dyDescent="0.3">
      <c r="A4" s="631" t="s">
        <v>448</v>
      </c>
      <c r="B4" s="631"/>
      <c r="C4" s="631"/>
      <c r="D4" s="631"/>
      <c r="E4" s="631"/>
      <c r="F4" s="631"/>
      <c r="G4" s="631"/>
      <c r="H4" s="631"/>
      <c r="J4" s="630"/>
      <c r="K4" s="630"/>
      <c r="L4" s="630"/>
      <c r="M4" s="630"/>
      <c r="N4" s="630"/>
      <c r="O4" s="630"/>
    </row>
    <row r="5" spans="1:16" s="1" customFormat="1" ht="27" customHeight="1" x14ac:dyDescent="0.3">
      <c r="A5" s="632" t="s">
        <v>119</v>
      </c>
      <c r="B5" s="632"/>
      <c r="C5" s="632"/>
      <c r="D5" s="632"/>
      <c r="E5" s="632"/>
      <c r="F5" s="632"/>
      <c r="G5" s="632"/>
      <c r="H5" s="632"/>
      <c r="J5" s="633" t="s">
        <v>127</v>
      </c>
      <c r="K5" s="554" t="s">
        <v>128</v>
      </c>
      <c r="L5" s="554" t="s">
        <v>129</v>
      </c>
      <c r="M5" s="554" t="s">
        <v>130</v>
      </c>
      <c r="N5" s="554" t="s">
        <v>131</v>
      </c>
      <c r="O5" s="554" t="s">
        <v>132</v>
      </c>
    </row>
    <row r="6" spans="1:16" s="1" customFormat="1" ht="15.75" customHeight="1" x14ac:dyDescent="0.3">
      <c r="A6" s="634" t="s">
        <v>449</v>
      </c>
      <c r="B6" s="634"/>
      <c r="C6" s="634"/>
      <c r="D6" s="634"/>
      <c r="E6" s="634"/>
      <c r="F6" s="634"/>
      <c r="G6" s="634"/>
      <c r="H6" s="634"/>
      <c r="J6" s="633"/>
      <c r="K6" s="554"/>
      <c r="L6" s="554"/>
      <c r="M6" s="554"/>
      <c r="N6" s="554"/>
      <c r="O6" s="554"/>
    </row>
    <row r="7" spans="1:16" s="1" customFormat="1" ht="15.75" customHeight="1" x14ac:dyDescent="0.3">
      <c r="A7" s="255"/>
      <c r="B7" s="256"/>
      <c r="C7" s="257"/>
      <c r="D7" s="256"/>
      <c r="E7" s="256"/>
      <c r="F7" s="257"/>
      <c r="G7" s="258"/>
      <c r="H7" s="259"/>
      <c r="J7" s="633"/>
      <c r="K7" s="554"/>
      <c r="L7" s="554"/>
      <c r="M7" s="554"/>
      <c r="N7" s="554"/>
      <c r="O7" s="554"/>
    </row>
    <row r="8" spans="1:16" s="1" customFormat="1" ht="27.6" x14ac:dyDescent="0.3">
      <c r="A8" s="260" t="s">
        <v>450</v>
      </c>
      <c r="B8" s="261" t="s">
        <v>327</v>
      </c>
      <c r="C8" s="537" t="s">
        <v>451</v>
      </c>
      <c r="D8" s="261" t="s">
        <v>452</v>
      </c>
      <c r="E8" s="261" t="s">
        <v>453</v>
      </c>
      <c r="F8" s="538" t="s">
        <v>454</v>
      </c>
      <c r="G8" s="262" t="s">
        <v>168</v>
      </c>
      <c r="H8" s="263" t="s">
        <v>265</v>
      </c>
      <c r="J8" s="633"/>
      <c r="K8" s="554"/>
      <c r="L8" s="554"/>
      <c r="M8" s="554"/>
      <c r="N8" s="554"/>
      <c r="O8" s="554"/>
      <c r="P8" s="162"/>
    </row>
    <row r="9" spans="1:16" s="127" customFormat="1" ht="38.25" customHeight="1" x14ac:dyDescent="0.3">
      <c r="A9" s="635" t="s">
        <v>455</v>
      </c>
      <c r="B9" s="92" t="s">
        <v>456</v>
      </c>
      <c r="C9" s="264">
        <v>2</v>
      </c>
      <c r="D9" s="265" t="s">
        <v>457</v>
      </c>
      <c r="E9" s="58" t="s">
        <v>458</v>
      </c>
      <c r="F9" s="266">
        <f>C9*$A$12</f>
        <v>6</v>
      </c>
      <c r="G9" s="267">
        <v>76.7</v>
      </c>
      <c r="H9" s="268">
        <f>ROUND(F9*G9,2)</f>
        <v>460.2</v>
      </c>
      <c r="J9" s="269">
        <v>25.8</v>
      </c>
      <c r="K9" s="35">
        <f>ROUND(IF(Dados!$I$63="SIM",J9*Dados!$N$63,J9),2)</f>
        <v>25.8</v>
      </c>
      <c r="L9" s="35">
        <f>ROUND(IF(Dados!$I$64="SIM",K9*Dados!$N$64,K9),2)</f>
        <v>25.8</v>
      </c>
      <c r="M9" s="35">
        <f>ROUND(IF(Dados!$I$65="SIM",L9*Dados!$N$65,L9),2)</f>
        <v>25.8</v>
      </c>
      <c r="N9" s="35">
        <f>ROUND(IF(Dados!$I$66="SIM",M9*Dados!$N$66,M9),2)</f>
        <v>25.8</v>
      </c>
      <c r="O9" s="35">
        <f>ROUND(IF(Dados!$I$67="SIM",N9*Dados!$N$67,N9),2)</f>
        <v>25.8</v>
      </c>
    </row>
    <row r="10" spans="1:16" s="127" customFormat="1" ht="41.4" x14ac:dyDescent="0.3">
      <c r="A10" s="635"/>
      <c r="B10" s="92" t="s">
        <v>459</v>
      </c>
      <c r="C10" s="264">
        <v>3</v>
      </c>
      <c r="D10" s="265" t="s">
        <v>460</v>
      </c>
      <c r="E10" s="58" t="s">
        <v>461</v>
      </c>
      <c r="F10" s="266">
        <f>C10*$A$12</f>
        <v>9</v>
      </c>
      <c r="G10" s="267">
        <v>27.94</v>
      </c>
      <c r="H10" s="268">
        <f>ROUND(F10*G10,2)</f>
        <v>251.46</v>
      </c>
      <c r="J10" s="269">
        <v>19.989999999999998</v>
      </c>
      <c r="K10" s="35">
        <f>ROUND(IF(Dados!$I$63="SIM",J10*Dados!$N$63,J10),2)</f>
        <v>19.989999999999998</v>
      </c>
      <c r="L10" s="35">
        <f>ROUND(IF(Dados!$I$64="SIM",K10*Dados!$N$64,K10),2)</f>
        <v>19.989999999999998</v>
      </c>
      <c r="M10" s="35">
        <f>ROUND(IF(Dados!$I$65="SIM",L10*Dados!$N$65,L10),2)</f>
        <v>19.989999999999998</v>
      </c>
      <c r="N10" s="35">
        <f>ROUND(IF(Dados!$I$66="SIM",M10*Dados!$N$66,M10),2)</f>
        <v>19.989999999999998</v>
      </c>
      <c r="O10" s="35">
        <f>ROUND(IF(Dados!$I$67="SIM",N10*Dados!$N$67,N10),2)</f>
        <v>19.989999999999998</v>
      </c>
    </row>
    <row r="11" spans="1:16" s="127" customFormat="1" ht="41.4" x14ac:dyDescent="0.3">
      <c r="A11" s="271" t="s">
        <v>462</v>
      </c>
      <c r="B11" s="272" t="s">
        <v>463</v>
      </c>
      <c r="C11" s="264">
        <v>1</v>
      </c>
      <c r="D11" s="265" t="s">
        <v>464</v>
      </c>
      <c r="E11" s="92" t="s">
        <v>465</v>
      </c>
      <c r="F11" s="266">
        <f>C11*$A$12</f>
        <v>3</v>
      </c>
      <c r="G11" s="267">
        <v>81.38</v>
      </c>
      <c r="H11" s="268">
        <f>ROUND(F11*G11,2)</f>
        <v>244.14</v>
      </c>
      <c r="J11" s="269">
        <v>39.9</v>
      </c>
      <c r="K11" s="35">
        <f>ROUND(IF(Dados!$I$63="SIM",J11*Dados!$N$63,J11),2)</f>
        <v>39.9</v>
      </c>
      <c r="L11" s="35">
        <f>ROUND(IF(Dados!$I$64="SIM",K11*Dados!$N$64,K11),2)</f>
        <v>39.9</v>
      </c>
      <c r="M11" s="35">
        <f>ROUND(IF(Dados!$I$65="SIM",L11*Dados!$N$65,L11),2)</f>
        <v>39.9</v>
      </c>
      <c r="N11" s="35">
        <f>ROUND(IF(Dados!$I$66="SIM",M11*Dados!$N$66,M11),2)</f>
        <v>39.9</v>
      </c>
      <c r="O11" s="35">
        <f>ROUND(IF(Dados!$I$67="SIM",N11*Dados!$N$67,N11),2)</f>
        <v>39.9</v>
      </c>
    </row>
    <row r="12" spans="1:16" s="127" customFormat="1" ht="25.5" customHeight="1" x14ac:dyDescent="0.3">
      <c r="A12" s="273">
        <f>Dados!B7+Dados!B8+Dados!B9</f>
        <v>3</v>
      </c>
      <c r="B12" s="640"/>
      <c r="C12" s="641"/>
      <c r="D12" s="641"/>
      <c r="E12" s="641"/>
      <c r="F12" s="641"/>
      <c r="G12" s="641"/>
      <c r="H12" s="642"/>
      <c r="J12" s="269">
        <v>45</v>
      </c>
      <c r="K12" s="35">
        <f>ROUND(IF(Dados!$I$63="SIM",J12*Dados!$N$63,J12),2)</f>
        <v>45</v>
      </c>
      <c r="L12" s="35">
        <f>ROUND(IF(Dados!$I$64="SIM",K12*Dados!$N$64,K12),2)</f>
        <v>45</v>
      </c>
      <c r="M12" s="35">
        <f>ROUND(IF(Dados!$I$65="SIM",L12*Dados!$N$65,L12),2)</f>
        <v>45</v>
      </c>
      <c r="N12" s="35">
        <f>ROUND(IF(Dados!$I$66="SIM",M12*Dados!$N$66,M12),2)</f>
        <v>45</v>
      </c>
      <c r="O12" s="35">
        <f>ROUND(IF(Dados!$I$67="SIM",N12*Dados!$N$67,N12),2)</f>
        <v>45</v>
      </c>
    </row>
    <row r="13" spans="1:16" s="127" customFormat="1" x14ac:dyDescent="0.3">
      <c r="A13" s="636" t="s">
        <v>467</v>
      </c>
      <c r="B13" s="636"/>
      <c r="C13" s="636"/>
      <c r="D13" s="636"/>
      <c r="E13" s="636"/>
      <c r="F13" s="636"/>
      <c r="G13" s="636"/>
      <c r="H13" s="274">
        <f>SUM(H9:H12)</f>
        <v>955.8</v>
      </c>
      <c r="J13" s="3"/>
      <c r="K13" s="3"/>
      <c r="L13" s="3"/>
      <c r="M13" s="3"/>
      <c r="N13" s="3"/>
      <c r="O13" s="3"/>
    </row>
    <row r="14" spans="1:16" s="127" customFormat="1" ht="15.6" x14ac:dyDescent="0.3">
      <c r="A14" s="637" t="s">
        <v>468</v>
      </c>
      <c r="B14" s="637"/>
      <c r="C14" s="637"/>
      <c r="D14" s="637"/>
      <c r="E14" s="637"/>
      <c r="F14" s="637"/>
      <c r="G14" s="275"/>
      <c r="H14" s="535">
        <f>ROUND(H13/$A$12/12,2)</f>
        <v>26.55</v>
      </c>
      <c r="J14" s="3"/>
      <c r="K14" s="3"/>
      <c r="L14" s="3"/>
      <c r="M14" s="3"/>
      <c r="N14" s="3"/>
      <c r="O14" s="3"/>
    </row>
    <row r="15" spans="1:16" s="127" customFormat="1" ht="25.5" customHeight="1" x14ac:dyDescent="0.3">
      <c r="A15" s="100"/>
      <c r="B15" s="49"/>
      <c r="C15" s="276"/>
      <c r="D15" s="47"/>
      <c r="E15" s="47"/>
      <c r="F15" s="276"/>
      <c r="G15" s="277"/>
      <c r="H15" s="278"/>
      <c r="J15" s="3"/>
      <c r="K15" s="3"/>
      <c r="L15" s="3"/>
      <c r="M15" s="3"/>
      <c r="N15" s="3"/>
      <c r="O15" s="3"/>
    </row>
    <row r="16" spans="1:16" s="127" customFormat="1" ht="27" customHeight="1" x14ac:dyDescent="0.3">
      <c r="A16" s="260" t="s">
        <v>450</v>
      </c>
      <c r="B16" s="261" t="s">
        <v>327</v>
      </c>
      <c r="C16" s="537" t="s">
        <v>451</v>
      </c>
      <c r="D16" s="261" t="s">
        <v>452</v>
      </c>
      <c r="E16" s="261" t="s">
        <v>453</v>
      </c>
      <c r="F16" s="538" t="s">
        <v>454</v>
      </c>
      <c r="G16" s="262" t="s">
        <v>168</v>
      </c>
      <c r="H16" s="263" t="s">
        <v>265</v>
      </c>
      <c r="J16" s="279" t="s">
        <v>127</v>
      </c>
      <c r="K16" s="280" t="s">
        <v>128</v>
      </c>
      <c r="L16" s="280" t="s">
        <v>129</v>
      </c>
      <c r="M16" s="280" t="s">
        <v>130</v>
      </c>
      <c r="N16" s="280" t="s">
        <v>131</v>
      </c>
      <c r="O16" s="280" t="s">
        <v>132</v>
      </c>
    </row>
    <row r="17" spans="1:15" s="127" customFormat="1" ht="39" customHeight="1" x14ac:dyDescent="0.3">
      <c r="A17" s="539" t="s">
        <v>261</v>
      </c>
      <c r="B17" s="92" t="s">
        <v>469</v>
      </c>
      <c r="C17" s="264">
        <v>1</v>
      </c>
      <c r="D17" s="265" t="s">
        <v>470</v>
      </c>
      <c r="E17" s="92" t="s">
        <v>471</v>
      </c>
      <c r="F17" s="266">
        <f>C17*$A$19</f>
        <v>1</v>
      </c>
      <c r="G17" s="267">
        <v>64.37</v>
      </c>
      <c r="H17" s="268">
        <f>ROUND(F17*G17,2)</f>
        <v>64.37</v>
      </c>
      <c r="J17" s="269">
        <v>12.4</v>
      </c>
      <c r="K17" s="35">
        <f>ROUND(IF(Dados!$I$63="SIM",J17*Dados!$N$63,J17),2)</f>
        <v>12.4</v>
      </c>
      <c r="L17" s="35">
        <f>ROUND(IF(Dados!$I$64="SIM",K17*Dados!$N$64,K17),2)</f>
        <v>12.4</v>
      </c>
      <c r="M17" s="35">
        <f>ROUND(IF(Dados!$I$65="SIM",L17*Dados!$N$65,L17),2)</f>
        <v>12.4</v>
      </c>
      <c r="N17" s="35">
        <f>ROUND(IF(Dados!$I$66="SIM",M17*Dados!$N$66,M17),2)</f>
        <v>12.4</v>
      </c>
      <c r="O17" s="35">
        <f>ROUND(IF(Dados!$I$67="SIM",N17*Dados!$N$67,N17),2)</f>
        <v>12.4</v>
      </c>
    </row>
    <row r="18" spans="1:15" s="127" customFormat="1" x14ac:dyDescent="0.3">
      <c r="A18" s="281" t="s">
        <v>462</v>
      </c>
      <c r="B18" s="282" t="s">
        <v>472</v>
      </c>
      <c r="C18" s="283">
        <v>2</v>
      </c>
      <c r="D18" s="284" t="s">
        <v>473</v>
      </c>
      <c r="E18" s="282" t="s">
        <v>471</v>
      </c>
      <c r="F18" s="266">
        <f>C18*$A$19</f>
        <v>2</v>
      </c>
      <c r="G18" s="267">
        <v>17.440000000000001</v>
      </c>
      <c r="H18" s="268">
        <f>ROUND(F18*G18,2)</f>
        <v>34.880000000000003</v>
      </c>
      <c r="J18" s="269">
        <v>5.5</v>
      </c>
      <c r="K18" s="35">
        <f>ROUND(IF(Dados!$I$63="SIM",J18*Dados!$N$63,J18),2)</f>
        <v>5.5</v>
      </c>
      <c r="L18" s="35">
        <f>ROUND(IF(Dados!$I$64="SIM",K18*Dados!$N$64,K18),2)</f>
        <v>5.5</v>
      </c>
      <c r="M18" s="35">
        <f>ROUND(IF(Dados!$I$65="SIM",L18*Dados!$N$65,L18),2)</f>
        <v>5.5</v>
      </c>
      <c r="N18" s="35">
        <f>ROUND(IF(Dados!$I$66="SIM",M18*Dados!$N$66,M18),2)</f>
        <v>5.5</v>
      </c>
      <c r="O18" s="35">
        <f>ROUND(IF(Dados!$I$67="SIM",N18*Dados!$N$67,N18),2)</f>
        <v>5.5</v>
      </c>
    </row>
    <row r="19" spans="1:15" s="127" customFormat="1" ht="19.5" customHeight="1" x14ac:dyDescent="0.3">
      <c r="A19" s="285">
        <f>Dados!B9</f>
        <v>1</v>
      </c>
      <c r="B19" s="638"/>
      <c r="C19" s="638"/>
      <c r="D19" s="638"/>
      <c r="E19" s="638"/>
      <c r="F19" s="638"/>
      <c r="G19" s="638"/>
      <c r="H19" s="638"/>
      <c r="J19" s="269">
        <v>25.8</v>
      </c>
      <c r="K19" s="35">
        <f>ROUND(IF(Dados!$I$63="SIM",J19*Dados!$N$63,J19),2)</f>
        <v>25.8</v>
      </c>
      <c r="L19" s="35">
        <f>ROUND(IF(Dados!$I$64="SIM",K19*Dados!$N$64,K19),2)</f>
        <v>25.8</v>
      </c>
      <c r="M19" s="35">
        <f>ROUND(IF(Dados!$I$65="SIM",L19*Dados!$N$65,L19),2)</f>
        <v>25.8</v>
      </c>
      <c r="N19" s="35">
        <f>ROUND(IF(Dados!$I$66="SIM",M19*Dados!$N$66,M19),2)</f>
        <v>25.8</v>
      </c>
      <c r="O19" s="35">
        <f>ROUND(IF(Dados!$I$67="SIM",N19*Dados!$N$67,N19),2)</f>
        <v>25.8</v>
      </c>
    </row>
    <row r="20" spans="1:15" s="127" customFormat="1" ht="13.5" customHeight="1" x14ac:dyDescent="0.3">
      <c r="A20" s="639" t="s">
        <v>467</v>
      </c>
      <c r="B20" s="639"/>
      <c r="C20" s="639"/>
      <c r="D20" s="639"/>
      <c r="E20" s="639"/>
      <c r="F20" s="639"/>
      <c r="G20" s="639"/>
      <c r="H20" s="286">
        <f>SUM(H17:H19)</f>
        <v>99.25</v>
      </c>
      <c r="J20" s="3"/>
      <c r="K20" s="3"/>
      <c r="L20" s="3"/>
      <c r="M20" s="3"/>
      <c r="N20" s="3"/>
      <c r="O20" s="3"/>
    </row>
    <row r="21" spans="1:15" s="127" customFormat="1" ht="15.6" x14ac:dyDescent="0.3">
      <c r="A21" s="637" t="s">
        <v>474</v>
      </c>
      <c r="B21" s="637"/>
      <c r="C21" s="637"/>
      <c r="D21" s="637"/>
      <c r="E21" s="637"/>
      <c r="F21" s="637"/>
      <c r="G21" s="275"/>
      <c r="H21" s="535">
        <f>ROUND(H20/A19/12,2)</f>
        <v>8.27</v>
      </c>
      <c r="J21" s="3"/>
      <c r="K21" s="3"/>
      <c r="L21" s="3"/>
      <c r="M21" s="3"/>
      <c r="N21" s="3"/>
      <c r="O21" s="3"/>
    </row>
    <row r="22" spans="1:15" s="127" customFormat="1" ht="24" customHeight="1" x14ac:dyDescent="0.3">
      <c r="A22" s="218"/>
      <c r="B22" s="287"/>
      <c r="C22" s="288"/>
      <c r="D22" s="287"/>
      <c r="E22" s="287"/>
      <c r="F22" s="288"/>
      <c r="G22" s="289"/>
      <c r="H22" s="290"/>
      <c r="J22" s="3"/>
      <c r="K22" s="3"/>
      <c r="L22" s="3"/>
      <c r="M22" s="3"/>
      <c r="N22" s="3"/>
      <c r="O22" s="3"/>
    </row>
    <row r="23" spans="1:15" s="127" customFormat="1" ht="26.25" customHeight="1" x14ac:dyDescent="0.3">
      <c r="A23" s="260" t="s">
        <v>450</v>
      </c>
      <c r="B23" s="261" t="s">
        <v>327</v>
      </c>
      <c r="C23" s="537" t="s">
        <v>451</v>
      </c>
      <c r="D23" s="261" t="s">
        <v>452</v>
      </c>
      <c r="E23" s="261" t="s">
        <v>453</v>
      </c>
      <c r="F23" s="538" t="s">
        <v>454</v>
      </c>
      <c r="G23" s="291" t="s">
        <v>168</v>
      </c>
      <c r="H23" s="263" t="s">
        <v>265</v>
      </c>
      <c r="J23" s="279" t="s">
        <v>127</v>
      </c>
      <c r="K23" s="280" t="s">
        <v>128</v>
      </c>
      <c r="L23" s="280" t="s">
        <v>129</v>
      </c>
      <c r="M23" s="280" t="s">
        <v>130</v>
      </c>
      <c r="N23" s="280" t="s">
        <v>131</v>
      </c>
      <c r="O23" s="280" t="s">
        <v>132</v>
      </c>
    </row>
    <row r="24" spans="1:15" s="127" customFormat="1" ht="27.6" x14ac:dyDescent="0.3">
      <c r="A24" s="539" t="s">
        <v>475</v>
      </c>
      <c r="B24" s="92" t="s">
        <v>456</v>
      </c>
      <c r="C24" s="264">
        <v>2</v>
      </c>
      <c r="D24" s="265" t="s">
        <v>476</v>
      </c>
      <c r="E24" s="58" t="s">
        <v>477</v>
      </c>
      <c r="F24" s="266">
        <f>C24*$A$26</f>
        <v>2</v>
      </c>
      <c r="G24" s="267">
        <v>70.849999999999994</v>
      </c>
      <c r="H24" s="268">
        <f>ROUND(F24*G24,2)</f>
        <v>141.69999999999999</v>
      </c>
      <c r="J24" s="269">
        <v>39.9</v>
      </c>
      <c r="K24" s="35">
        <f>ROUND(IF(Dados!$I$63="SIM",J24*Dados!$N$63,J24),2)</f>
        <v>39.9</v>
      </c>
      <c r="L24" s="35">
        <f>ROUND(IF(Dados!$I$64="SIM",K24*Dados!$N$64,K24),2)</f>
        <v>39.9</v>
      </c>
      <c r="M24" s="35">
        <f>ROUND(IF(Dados!$I$65="SIM",L24*Dados!$N$65,L24),2)</f>
        <v>39.9</v>
      </c>
      <c r="N24" s="35">
        <f>ROUND(IF(Dados!$I$66="SIM",M24*Dados!$N$66,M24),2)</f>
        <v>39.9</v>
      </c>
      <c r="O24" s="35">
        <f>ROUND(IF(Dados!$I$67="SIM",N24*Dados!$N$67,N24),2)</f>
        <v>39.9</v>
      </c>
    </row>
    <row r="25" spans="1:15" s="127" customFormat="1" ht="27.6" x14ac:dyDescent="0.3">
      <c r="A25" s="271" t="s">
        <v>462</v>
      </c>
      <c r="B25" s="92" t="s">
        <v>459</v>
      </c>
      <c r="C25" s="264">
        <v>3</v>
      </c>
      <c r="D25" s="265" t="s">
        <v>478</v>
      </c>
      <c r="E25" s="58" t="s">
        <v>461</v>
      </c>
      <c r="F25" s="266">
        <f>C25*$A$26</f>
        <v>3</v>
      </c>
      <c r="G25" s="267">
        <v>55.5</v>
      </c>
      <c r="H25" s="268">
        <f>ROUND(F25*G25,2)</f>
        <v>166.5</v>
      </c>
      <c r="J25" s="269">
        <v>19.989999999999998</v>
      </c>
      <c r="K25" s="35">
        <f>ROUND(IF(Dados!$I$63="SIM",J25*Dados!$N$63,J25),2)</f>
        <v>19.989999999999998</v>
      </c>
      <c r="L25" s="35">
        <f>ROUND(IF(Dados!$I$64="SIM",K25*Dados!$N$64,K25),2)</f>
        <v>19.989999999999998</v>
      </c>
      <c r="M25" s="35">
        <f>ROUND(IF(Dados!$I$65="SIM",L25*Dados!$N$65,L25),2)</f>
        <v>19.989999999999998</v>
      </c>
      <c r="N25" s="35">
        <f>ROUND(IF(Dados!$I$66="SIM",M25*Dados!$N$66,M25),2)</f>
        <v>19.989999999999998</v>
      </c>
      <c r="O25" s="35">
        <f>ROUND(IF(Dados!$I$67="SIM",N25*Dados!$N$67,N25),2)</f>
        <v>19.989999999999998</v>
      </c>
    </row>
    <row r="26" spans="1:15" s="127" customFormat="1" ht="42" customHeight="1" x14ac:dyDescent="0.3">
      <c r="A26" s="285">
        <f>Dados!B10</f>
        <v>1</v>
      </c>
      <c r="B26" s="92" t="s">
        <v>463</v>
      </c>
      <c r="C26" s="264">
        <v>1</v>
      </c>
      <c r="D26" s="265" t="s">
        <v>479</v>
      </c>
      <c r="E26" s="92" t="s">
        <v>465</v>
      </c>
      <c r="F26" s="266">
        <f>C26*$A$26</f>
        <v>1</v>
      </c>
      <c r="G26" s="267">
        <v>89.51</v>
      </c>
      <c r="H26" s="268">
        <f>ROUND(F26*G26,2)</f>
        <v>89.51</v>
      </c>
      <c r="J26" s="269">
        <v>39.9</v>
      </c>
      <c r="K26" s="35">
        <f>ROUND(IF(Dados!$I$63="SIM",J26*Dados!$N$63,J26),2)</f>
        <v>39.9</v>
      </c>
      <c r="L26" s="35">
        <f>ROUND(IF(Dados!$I$64="SIM",K26*Dados!$N$64,K26),2)</f>
        <v>39.9</v>
      </c>
      <c r="M26" s="35">
        <f>ROUND(IF(Dados!$I$65="SIM",L26*Dados!$N$65,L26),2)</f>
        <v>39.9</v>
      </c>
      <c r="N26" s="35">
        <f>ROUND(IF(Dados!$I$66="SIM",M26*Dados!$N$66,M26),2)</f>
        <v>39.9</v>
      </c>
      <c r="O26" s="35">
        <f>ROUND(IF(Dados!$I$67="SIM",N26*Dados!$N$67,N26),2)</f>
        <v>39.9</v>
      </c>
    </row>
    <row r="27" spans="1:15" s="127" customFormat="1" ht="16.5" customHeight="1" x14ac:dyDescent="0.3">
      <c r="A27" s="643" t="s">
        <v>467</v>
      </c>
      <c r="B27" s="643"/>
      <c r="C27" s="643"/>
      <c r="D27" s="643"/>
      <c r="E27" s="643"/>
      <c r="F27" s="643"/>
      <c r="G27" s="643"/>
      <c r="H27" s="292">
        <f>SUM(H24:H26)</f>
        <v>397.71</v>
      </c>
      <c r="J27" s="3"/>
      <c r="K27" s="3"/>
      <c r="L27" s="3"/>
      <c r="M27" s="3"/>
      <c r="N27" s="3"/>
      <c r="O27" s="3"/>
    </row>
    <row r="28" spans="1:15" s="127" customFormat="1" ht="15.6" x14ac:dyDescent="0.3">
      <c r="A28" s="637" t="s">
        <v>480</v>
      </c>
      <c r="B28" s="637"/>
      <c r="C28" s="637"/>
      <c r="D28" s="637"/>
      <c r="E28" s="637"/>
      <c r="F28" s="637"/>
      <c r="G28" s="275"/>
      <c r="H28" s="535">
        <f>ROUND(H27/A26/12,2)</f>
        <v>33.14</v>
      </c>
      <c r="J28" s="3"/>
      <c r="K28" s="3"/>
      <c r="L28" s="3"/>
      <c r="M28" s="3"/>
      <c r="N28" s="3"/>
      <c r="O28" s="3"/>
    </row>
    <row r="29" spans="1:15" s="127" customFormat="1" ht="23.25" customHeight="1" x14ac:dyDescent="0.3">
      <c r="A29" s="644"/>
      <c r="B29" s="644"/>
      <c r="C29" s="644"/>
      <c r="D29" s="644"/>
      <c r="E29" s="644"/>
      <c r="F29" s="644"/>
      <c r="G29" s="644"/>
      <c r="H29" s="644"/>
      <c r="J29" s="3"/>
      <c r="K29" s="3"/>
      <c r="L29" s="3"/>
      <c r="M29" s="3"/>
      <c r="N29" s="3"/>
      <c r="O29" s="3"/>
    </row>
    <row r="30" spans="1:15" ht="26.25" customHeight="1" x14ac:dyDescent="0.3">
      <c r="A30" s="260" t="s">
        <v>450</v>
      </c>
      <c r="B30" s="261" t="s">
        <v>327</v>
      </c>
      <c r="C30" s="537" t="s">
        <v>451</v>
      </c>
      <c r="D30" s="261" t="s">
        <v>452</v>
      </c>
      <c r="E30" s="261" t="s">
        <v>453</v>
      </c>
      <c r="F30" s="538" t="s">
        <v>454</v>
      </c>
      <c r="G30" s="291" t="s">
        <v>168</v>
      </c>
      <c r="H30" s="263" t="s">
        <v>265</v>
      </c>
      <c r="J30" s="279" t="s">
        <v>127</v>
      </c>
      <c r="K30" s="280" t="s">
        <v>128</v>
      </c>
      <c r="L30" s="280" t="s">
        <v>129</v>
      </c>
      <c r="M30" s="280" t="s">
        <v>130</v>
      </c>
      <c r="N30" s="280" t="s">
        <v>131</v>
      </c>
      <c r="O30" s="280" t="s">
        <v>132</v>
      </c>
    </row>
    <row r="31" spans="1:15" ht="42.75" customHeight="1" x14ac:dyDescent="0.3">
      <c r="A31" s="539" t="s">
        <v>262</v>
      </c>
      <c r="B31" s="92" t="s">
        <v>456</v>
      </c>
      <c r="C31" s="264">
        <v>2</v>
      </c>
      <c r="D31" s="265" t="s">
        <v>481</v>
      </c>
      <c r="E31" s="58" t="s">
        <v>461</v>
      </c>
      <c r="F31" s="266">
        <f>C31*$A$33</f>
        <v>10</v>
      </c>
      <c r="G31" s="267">
        <v>93.7</v>
      </c>
      <c r="H31" s="268">
        <f>ROUND(F31*G31,2)</f>
        <v>937</v>
      </c>
      <c r="J31" s="269">
        <v>39.9</v>
      </c>
      <c r="K31" s="35">
        <f>ROUND(IF(Dados!$I$63="SIM",J31*Dados!$N$63,J31),2)</f>
        <v>39.9</v>
      </c>
      <c r="L31" s="35">
        <f>ROUND(IF(Dados!$I$64="SIM",K31*Dados!$N$64,K31),2)</f>
        <v>39.9</v>
      </c>
      <c r="M31" s="35">
        <f>ROUND(IF(Dados!$I$65="SIM",L31*Dados!$N$65,L31),2)</f>
        <v>39.9</v>
      </c>
      <c r="N31" s="35">
        <f>ROUND(IF(Dados!$I$66="SIM",M31*Dados!$N$66,M31),2)</f>
        <v>39.9</v>
      </c>
      <c r="O31" s="35">
        <f>ROUND(IF(Dados!$I$67="SIM",N31*Dados!$N$67,N31),2)</f>
        <v>39.9</v>
      </c>
    </row>
    <row r="32" spans="1:15" ht="27.6" x14ac:dyDescent="0.3">
      <c r="A32" s="271" t="s">
        <v>462</v>
      </c>
      <c r="B32" s="92" t="s">
        <v>459</v>
      </c>
      <c r="C32" s="264">
        <v>3</v>
      </c>
      <c r="D32" s="265" t="s">
        <v>482</v>
      </c>
      <c r="E32" s="58" t="s">
        <v>483</v>
      </c>
      <c r="F32" s="266">
        <f>C32*$A$33</f>
        <v>15</v>
      </c>
      <c r="G32" s="267">
        <v>55.5</v>
      </c>
      <c r="H32" s="268">
        <f>ROUND(F32*G32,2)</f>
        <v>832.5</v>
      </c>
      <c r="J32" s="269">
        <v>19.989999999999998</v>
      </c>
      <c r="K32" s="35">
        <f>ROUND(IF(Dados!$I$63="SIM",J32*Dados!$N$63,J32),2)</f>
        <v>19.989999999999998</v>
      </c>
      <c r="L32" s="35">
        <f>ROUND(IF(Dados!$I$64="SIM",K32*Dados!$N$64,K32),2)</f>
        <v>19.989999999999998</v>
      </c>
      <c r="M32" s="35">
        <f>ROUND(IF(Dados!$I$65="SIM",L32*Dados!$N$65,L32),2)</f>
        <v>19.989999999999998</v>
      </c>
      <c r="N32" s="35">
        <f>ROUND(IF(Dados!$I$66="SIM",M32*Dados!$N$66,M32),2)</f>
        <v>19.989999999999998</v>
      </c>
      <c r="O32" s="35">
        <f>ROUND(IF(Dados!$I$67="SIM",N32*Dados!$N$67,N32),2)</f>
        <v>19.989999999999998</v>
      </c>
    </row>
    <row r="33" spans="1:16" ht="27.6" x14ac:dyDescent="0.3">
      <c r="A33" s="285">
        <f>Dados!B11+Dados!B12+Dados!B13</f>
        <v>5</v>
      </c>
      <c r="B33" s="92" t="s">
        <v>463</v>
      </c>
      <c r="C33" s="264">
        <v>1</v>
      </c>
      <c r="D33" s="265" t="s">
        <v>484</v>
      </c>
      <c r="E33" s="58" t="s">
        <v>485</v>
      </c>
      <c r="F33" s="266">
        <f>C33*$A$33</f>
        <v>5</v>
      </c>
      <c r="G33" s="267">
        <v>153.04</v>
      </c>
      <c r="H33" s="268">
        <f>ROUND(F33*G33,2)</f>
        <v>765.2</v>
      </c>
      <c r="J33" s="269">
        <v>35.5</v>
      </c>
      <c r="K33" s="35">
        <f>ROUND(IF(Dados!$I$63="SIM",J33*Dados!$N$63,J33),2)</f>
        <v>35.5</v>
      </c>
      <c r="L33" s="35">
        <f>ROUND(IF(Dados!$I$64="SIM",K33*Dados!$N$64,K33),2)</f>
        <v>35.5</v>
      </c>
      <c r="M33" s="35">
        <f>ROUND(IF(Dados!$I$65="SIM",L33*Dados!$N$65,L33),2)</f>
        <v>35.5</v>
      </c>
      <c r="N33" s="35">
        <f>ROUND(IF(Dados!$I$66="SIM",M33*Dados!$N$66,M33),2)</f>
        <v>35.5</v>
      </c>
      <c r="O33" s="35">
        <f>ROUND(IF(Dados!$I$67="SIM",N33*Dados!$N$67,N33),2)</f>
        <v>35.5</v>
      </c>
    </row>
    <row r="34" spans="1:16" x14ac:dyDescent="0.3">
      <c r="A34" s="645" t="s">
        <v>467</v>
      </c>
      <c r="B34" s="645"/>
      <c r="C34" s="645"/>
      <c r="D34" s="645"/>
      <c r="E34" s="645"/>
      <c r="F34" s="645"/>
      <c r="G34" s="645"/>
      <c r="H34" s="536">
        <f>SUM(H31:H33)</f>
        <v>2534.6999999999998</v>
      </c>
      <c r="N34" s="3"/>
      <c r="O34" s="3"/>
      <c r="P34" s="127"/>
    </row>
    <row r="35" spans="1:16" ht="15.6" x14ac:dyDescent="0.3">
      <c r="A35" s="637" t="s">
        <v>486</v>
      </c>
      <c r="B35" s="637"/>
      <c r="C35" s="637"/>
      <c r="D35" s="637"/>
      <c r="E35" s="637"/>
      <c r="F35" s="637"/>
      <c r="G35" s="275"/>
      <c r="H35" s="535">
        <f>ROUND(H34/A33/12,2)</f>
        <v>42.25</v>
      </c>
    </row>
  </sheetData>
  <sheetProtection algorithmName="SHA-512" hashValue="1Apik4TMvPwOlhiN5yQ2ygt/meJrvlRNE3hjXXnuICqs00GkmUBODI6wlA+y6Mb/2hrCHuJh8OoW2QXkK2FspA==" saltValue="L5YnYI+p5sjb/VnQA4k3xg==" spinCount="100000" sheet="1" objects="1" scenarios="1"/>
  <mergeCells count="22">
    <mergeCell ref="A35:F35"/>
    <mergeCell ref="A21:F21"/>
    <mergeCell ref="A27:G27"/>
    <mergeCell ref="A28:F28"/>
    <mergeCell ref="A29:H29"/>
    <mergeCell ref="A34:G34"/>
    <mergeCell ref="A9:A10"/>
    <mergeCell ref="A13:G13"/>
    <mergeCell ref="A14:F14"/>
    <mergeCell ref="B19:H19"/>
    <mergeCell ref="A20:G20"/>
    <mergeCell ref="B12:H12"/>
    <mergeCell ref="J1:O4"/>
    <mergeCell ref="A4:H4"/>
    <mergeCell ref="A5:H5"/>
    <mergeCell ref="J5:J8"/>
    <mergeCell ref="K5:K8"/>
    <mergeCell ref="L5:L8"/>
    <mergeCell ref="M5:M8"/>
    <mergeCell ref="N5:N8"/>
    <mergeCell ref="O5:O8"/>
    <mergeCell ref="A6:H6"/>
  </mergeCells>
  <printOptions horizontalCentered="1" verticalCentered="1"/>
  <pageMargins left="0.51180555555555596" right="0.51180555555555596" top="0.78749999999999998" bottom="0.78749999999999998" header="0.511811023622047" footer="0.511811023622047"/>
  <pageSetup paperSize="9" scale="58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K47"/>
  <sheetViews>
    <sheetView showGridLines="0" view="pageBreakPreview" zoomScaleNormal="100" workbookViewId="0">
      <selection activeCell="A8" sqref="A8:D8"/>
    </sheetView>
  </sheetViews>
  <sheetFormatPr defaultColWidth="8.6640625" defaultRowHeight="14.4" x14ac:dyDescent="0.3"/>
  <cols>
    <col min="1" max="1" width="10.5546875" style="55" customWidth="1"/>
    <col min="2" max="2" width="27.6640625" style="55" customWidth="1"/>
    <col min="3" max="3" width="14.44140625" style="55" customWidth="1"/>
    <col min="4" max="5" width="15" style="55" customWidth="1"/>
    <col min="6" max="6" width="16.6640625" style="355" customWidth="1"/>
    <col min="7" max="8" width="13.109375" style="355" customWidth="1"/>
    <col min="9" max="10" width="12.5546875" style="355" customWidth="1"/>
    <col min="11" max="257" width="9.109375" style="55" customWidth="1"/>
    <col min="258" max="258" width="10.5546875" style="55" customWidth="1"/>
    <col min="259" max="259" width="27.6640625" style="55" customWidth="1"/>
    <col min="260" max="260" width="14.44140625" style="55" customWidth="1"/>
    <col min="261" max="262" width="15" style="55" customWidth="1"/>
    <col min="263" max="263" width="16.6640625" style="55" customWidth="1"/>
    <col min="264" max="264" width="13.109375" style="55" customWidth="1"/>
    <col min="265" max="266" width="12.5546875" style="55" customWidth="1"/>
    <col min="267" max="513" width="9.109375" style="55" customWidth="1"/>
    <col min="514" max="514" width="10.5546875" style="55" customWidth="1"/>
    <col min="515" max="515" width="27.6640625" style="55" customWidth="1"/>
    <col min="516" max="516" width="14.44140625" style="55" customWidth="1"/>
    <col min="517" max="518" width="15" style="55" customWidth="1"/>
    <col min="519" max="519" width="16.6640625" style="55" customWidth="1"/>
    <col min="520" max="520" width="13.109375" style="55" customWidth="1"/>
    <col min="521" max="522" width="12.5546875" style="55" customWidth="1"/>
    <col min="523" max="769" width="9.109375" style="55" customWidth="1"/>
    <col min="770" max="770" width="10.5546875" style="55" customWidth="1"/>
    <col min="771" max="771" width="27.6640625" style="55" customWidth="1"/>
    <col min="772" max="772" width="14.44140625" style="55" customWidth="1"/>
    <col min="773" max="774" width="15" style="55" customWidth="1"/>
    <col min="775" max="775" width="16.6640625" style="55" customWidth="1"/>
    <col min="776" max="776" width="13.109375" style="55" customWidth="1"/>
    <col min="777" max="778" width="12.5546875" style="55" customWidth="1"/>
    <col min="779" max="1025" width="9.109375" style="55" customWidth="1"/>
  </cols>
  <sheetData>
    <row r="1" spans="1:10" x14ac:dyDescent="0.3">
      <c r="A1" s="356"/>
      <c r="B1" s="77" t="str">
        <f>INSTRUÇÕES!B1</f>
        <v>Tribunal Regional Federal da 6ª Região</v>
      </c>
      <c r="C1" s="357"/>
      <c r="D1" s="357"/>
      <c r="E1" s="357"/>
      <c r="F1" s="358"/>
      <c r="G1" s="359"/>
      <c r="H1" s="359"/>
      <c r="I1" s="358"/>
      <c r="J1" s="360"/>
    </row>
    <row r="2" spans="1:10" x14ac:dyDescent="0.3">
      <c r="A2" s="361"/>
      <c r="B2" s="80" t="str">
        <f>INSTRUÇÕES!B2</f>
        <v>Seção Judiciária de Minas Gerais</v>
      </c>
      <c r="C2" s="47"/>
      <c r="D2" s="47"/>
      <c r="E2" s="47"/>
      <c r="F2" s="362"/>
      <c r="I2" s="362"/>
      <c r="J2" s="363"/>
    </row>
    <row r="3" spans="1:10" x14ac:dyDescent="0.3">
      <c r="A3" s="172"/>
      <c r="B3" s="294" t="str">
        <f>INSTRUÇÕES!B3</f>
        <v>Subseção Judiciária de Governador Valadares</v>
      </c>
      <c r="C3" s="47"/>
      <c r="D3" s="47"/>
      <c r="E3" s="47"/>
      <c r="F3" s="362"/>
      <c r="I3" s="362"/>
      <c r="J3" s="363"/>
    </row>
    <row r="4" spans="1:10" ht="19.5" customHeight="1" x14ac:dyDescent="0.3">
      <c r="A4" s="646" t="s">
        <v>523</v>
      </c>
      <c r="B4" s="646"/>
      <c r="C4" s="646"/>
      <c r="D4" s="646"/>
      <c r="E4" s="646"/>
      <c r="F4" s="646"/>
      <c r="G4" s="646"/>
      <c r="H4" s="646"/>
      <c r="I4" s="646"/>
      <c r="J4" s="646"/>
    </row>
    <row r="5" spans="1:10" ht="19.5" customHeight="1" x14ac:dyDescent="0.3">
      <c r="A5" s="647" t="s">
        <v>360</v>
      </c>
      <c r="B5" s="647"/>
      <c r="C5" s="647"/>
      <c r="D5" s="647"/>
      <c r="E5" s="647"/>
      <c r="F5" s="647"/>
      <c r="G5" s="647"/>
      <c r="H5" s="647"/>
      <c r="I5" s="647"/>
      <c r="J5" s="647"/>
    </row>
    <row r="6" spans="1:10" s="1" customFormat="1" ht="36" customHeight="1" x14ac:dyDescent="0.3">
      <c r="A6" s="648" t="str">
        <f>Dados!A4</f>
        <v>Sindicato utilizado - SETHAC-GV e SEAC/MG. Vigência: 01/01/2024 à 31/12/2024. Sendo a data base da categoria 1º de Janeiro. Com número de registro no MTE MG000439/2024.</v>
      </c>
      <c r="B6" s="648"/>
      <c r="C6" s="648"/>
      <c r="D6" s="648"/>
      <c r="E6" s="648"/>
      <c r="F6" s="648"/>
      <c r="G6" s="648"/>
      <c r="H6" s="648"/>
      <c r="I6" s="648"/>
      <c r="J6" s="648"/>
    </row>
    <row r="7" spans="1:10" ht="19.5" customHeight="1" x14ac:dyDescent="0.3">
      <c r="A7" s="649" t="str">
        <f>Dados!C12</f>
        <v>Assistente Administrativo</v>
      </c>
      <c r="B7" s="649"/>
      <c r="C7" s="649"/>
      <c r="D7" s="649"/>
      <c r="E7" s="649"/>
      <c r="F7" s="650" t="s">
        <v>524</v>
      </c>
      <c r="G7" s="650" t="s">
        <v>525</v>
      </c>
      <c r="H7" s="650" t="s">
        <v>526</v>
      </c>
      <c r="I7" s="650" t="s">
        <v>527</v>
      </c>
      <c r="J7" s="650" t="s">
        <v>528</v>
      </c>
    </row>
    <row r="8" spans="1:10" ht="19.5" customHeight="1" x14ac:dyDescent="0.3">
      <c r="A8" s="651" t="s">
        <v>637</v>
      </c>
      <c r="B8" s="651"/>
      <c r="C8" s="651"/>
      <c r="D8" s="651"/>
      <c r="E8" s="364" t="s">
        <v>436</v>
      </c>
      <c r="F8" s="650"/>
      <c r="G8" s="650"/>
      <c r="H8" s="650"/>
      <c r="I8" s="650"/>
      <c r="J8" s="650"/>
    </row>
    <row r="9" spans="1:10" ht="19.5" customHeight="1" x14ac:dyDescent="0.3">
      <c r="A9" s="652" t="s">
        <v>530</v>
      </c>
      <c r="B9" s="652"/>
      <c r="C9" s="652"/>
      <c r="D9" s="652"/>
      <c r="E9" s="652"/>
      <c r="F9" s="652"/>
      <c r="G9" s="652"/>
      <c r="H9" s="652"/>
      <c r="I9" s="652"/>
      <c r="J9" s="652"/>
    </row>
    <row r="10" spans="1:10" ht="24" customHeight="1" x14ac:dyDescent="0.3">
      <c r="A10" s="177" t="s">
        <v>437</v>
      </c>
      <c r="B10" s="653" t="s">
        <v>531</v>
      </c>
      <c r="C10" s="653"/>
      <c r="D10" s="365" t="s">
        <v>532</v>
      </c>
      <c r="E10" s="366" t="s">
        <v>533</v>
      </c>
      <c r="F10" s="654" t="s">
        <v>440</v>
      </c>
      <c r="G10" s="654"/>
      <c r="H10" s="654"/>
      <c r="I10" s="654"/>
      <c r="J10" s="654"/>
    </row>
    <row r="11" spans="1:10" ht="19.5" customHeight="1" x14ac:dyDescent="0.3">
      <c r="A11" s="655">
        <v>1</v>
      </c>
      <c r="B11" s="656" t="str">
        <f>A7</f>
        <v>Assistente Administrativo</v>
      </c>
      <c r="C11" s="656"/>
      <c r="D11" s="367">
        <f>Dados!$D$12</f>
        <v>150</v>
      </c>
      <c r="E11" s="368">
        <f>Dados!$E$12</f>
        <v>2267.85</v>
      </c>
      <c r="F11" s="88">
        <f>ROUND(E11/220*D11,2)</f>
        <v>1546.26</v>
      </c>
      <c r="G11" s="88">
        <f>F11</f>
        <v>1546.26</v>
      </c>
      <c r="H11" s="88"/>
      <c r="I11" s="88"/>
      <c r="J11" s="369"/>
    </row>
    <row r="12" spans="1:10" ht="19.5" customHeight="1" x14ac:dyDescent="0.3">
      <c r="A12" s="655"/>
      <c r="B12" s="656" t="s">
        <v>534</v>
      </c>
      <c r="C12" s="656"/>
      <c r="D12" s="370">
        <f>Dados!G8</f>
        <v>0</v>
      </c>
      <c r="E12" s="368">
        <f>Dados!$G$30</f>
        <v>1518</v>
      </c>
      <c r="F12" s="88">
        <f>D12*E12</f>
        <v>0</v>
      </c>
      <c r="G12" s="88">
        <f>F12</f>
        <v>0</v>
      </c>
      <c r="H12" s="88"/>
      <c r="I12" s="88"/>
      <c r="J12" s="369">
        <f>F12</f>
        <v>0</v>
      </c>
    </row>
    <row r="13" spans="1:10" ht="21.75" customHeight="1" x14ac:dyDescent="0.3">
      <c r="A13" s="655"/>
      <c r="B13" s="371" t="s">
        <v>535</v>
      </c>
      <c r="C13" s="372">
        <f>Dados!$I$13</f>
        <v>0</v>
      </c>
      <c r="D13" s="372">
        <f>Dados!$J$13</f>
        <v>0</v>
      </c>
      <c r="E13" s="373">
        <f>Dados!$K$13</f>
        <v>0</v>
      </c>
      <c r="F13" s="374">
        <f>ROUND((E13*D13*C13),2)</f>
        <v>0</v>
      </c>
      <c r="G13" s="374">
        <f>F13</f>
        <v>0</v>
      </c>
      <c r="H13" s="374"/>
      <c r="I13" s="374"/>
      <c r="J13" s="375"/>
    </row>
    <row r="14" spans="1:10" ht="19.5" customHeight="1" x14ac:dyDescent="0.3">
      <c r="A14" s="655"/>
      <c r="B14" s="657" t="s">
        <v>536</v>
      </c>
      <c r="C14" s="657"/>
      <c r="D14" s="657"/>
      <c r="E14" s="657"/>
      <c r="F14" s="376">
        <f>SUM(F11:F13)</f>
        <v>1546.26</v>
      </c>
      <c r="G14" s="376">
        <f>SUM(G11:G13)</f>
        <v>1546.26</v>
      </c>
      <c r="H14" s="376">
        <f>SUM(H11:H13)</f>
        <v>0</v>
      </c>
      <c r="I14" s="376">
        <f>SUM(I11:I13)</f>
        <v>0</v>
      </c>
      <c r="J14" s="377">
        <f>SUM(J11:J13)</f>
        <v>0</v>
      </c>
    </row>
    <row r="15" spans="1:10" ht="19.5" customHeight="1" x14ac:dyDescent="0.3">
      <c r="A15" s="655"/>
      <c r="B15" s="658" t="s">
        <v>537</v>
      </c>
      <c r="C15" s="658"/>
      <c r="D15" s="658"/>
      <c r="E15" s="378">
        <f>Encargos!$C$57</f>
        <v>0.79049999999999998</v>
      </c>
      <c r="F15" s="88">
        <f>ROUND((E15*F14),2)</f>
        <v>1222.32</v>
      </c>
      <c r="G15" s="88">
        <f>F15</f>
        <v>1222.32</v>
      </c>
      <c r="H15" s="88"/>
      <c r="I15" s="88"/>
      <c r="J15" s="369">
        <f>ROUND((E15*J14),2)</f>
        <v>0</v>
      </c>
    </row>
    <row r="16" spans="1:10" ht="19.5" customHeight="1" x14ac:dyDescent="0.3">
      <c r="A16" s="659" t="s">
        <v>538</v>
      </c>
      <c r="B16" s="659"/>
      <c r="C16" s="659"/>
      <c r="D16" s="659"/>
      <c r="E16" s="659"/>
      <c r="F16" s="379">
        <f>SUM(F14:F15)</f>
        <v>2768.58</v>
      </c>
      <c r="G16" s="379">
        <f>SUM(G14:G15)</f>
        <v>2768.58</v>
      </c>
      <c r="H16" s="379">
        <f>SUM(H14:H15)</f>
        <v>0</v>
      </c>
      <c r="I16" s="379">
        <f>SUM(I14:I15)</f>
        <v>0</v>
      </c>
      <c r="J16" s="380">
        <f>SUM(J14:J15)</f>
        <v>0</v>
      </c>
    </row>
    <row r="17" spans="1:12" ht="19.5" customHeight="1" x14ac:dyDescent="0.3">
      <c r="A17" s="660" t="s">
        <v>539</v>
      </c>
      <c r="B17" s="660"/>
      <c r="C17" s="660"/>
      <c r="D17" s="660"/>
      <c r="E17" s="660"/>
      <c r="F17" s="660"/>
      <c r="G17" s="660"/>
      <c r="H17" s="660"/>
      <c r="I17" s="660"/>
      <c r="J17" s="660"/>
    </row>
    <row r="18" spans="1:12" ht="19.5" customHeight="1" x14ac:dyDescent="0.3">
      <c r="A18" s="661" t="s">
        <v>540</v>
      </c>
      <c r="B18" s="661"/>
      <c r="C18" s="92" t="s">
        <v>439</v>
      </c>
      <c r="D18" s="662" t="s">
        <v>541</v>
      </c>
      <c r="E18" s="662"/>
      <c r="F18" s="663" t="s">
        <v>440</v>
      </c>
      <c r="G18" s="663"/>
      <c r="H18" s="663"/>
      <c r="I18" s="663"/>
      <c r="J18" s="663"/>
    </row>
    <row r="19" spans="1:12" ht="19.5" customHeight="1" x14ac:dyDescent="0.3">
      <c r="A19" s="664" t="s">
        <v>542</v>
      </c>
      <c r="B19" s="664"/>
      <c r="C19" s="382"/>
      <c r="D19" s="382"/>
      <c r="E19" s="382"/>
      <c r="F19" s="88">
        <f>Dados!$N$13</f>
        <v>42.25</v>
      </c>
      <c r="G19" s="88">
        <f>F19</f>
        <v>42.25</v>
      </c>
      <c r="H19" s="88"/>
      <c r="I19" s="88"/>
      <c r="J19" s="369"/>
    </row>
    <row r="20" spans="1:12" ht="19.5" customHeight="1" x14ac:dyDescent="0.3">
      <c r="A20" s="664" t="s">
        <v>543</v>
      </c>
      <c r="B20" s="664"/>
      <c r="C20" s="382"/>
      <c r="D20" s="382"/>
      <c r="E20" s="382"/>
      <c r="F20" s="88">
        <f>Dados!$G$33</f>
        <v>2.84</v>
      </c>
      <c r="G20" s="88">
        <f>F20</f>
        <v>2.84</v>
      </c>
      <c r="H20" s="88"/>
      <c r="I20" s="88"/>
      <c r="J20" s="369"/>
    </row>
    <row r="21" spans="1:12" ht="23.25" customHeight="1" x14ac:dyDescent="0.3">
      <c r="A21" s="665" t="s">
        <v>295</v>
      </c>
      <c r="B21" s="665"/>
      <c r="C21" s="382"/>
      <c r="D21" s="382"/>
      <c r="E21" s="382"/>
      <c r="F21" s="88">
        <f>Dados!G34</f>
        <v>47.15</v>
      </c>
      <c r="G21" s="88">
        <f>F21</f>
        <v>47.15</v>
      </c>
      <c r="H21" s="88"/>
      <c r="I21" s="88"/>
      <c r="J21" s="369"/>
    </row>
    <row r="22" spans="1:12" ht="19.5" customHeight="1" x14ac:dyDescent="0.3">
      <c r="A22" s="664" t="s">
        <v>296</v>
      </c>
      <c r="B22" s="664"/>
      <c r="C22" s="383">
        <f>Dados!$G$37</f>
        <v>22</v>
      </c>
      <c r="D22" s="383">
        <f>Dados!$G$36</f>
        <v>2</v>
      </c>
      <c r="E22" s="382">
        <f>Dados!$G$35</f>
        <v>4.25</v>
      </c>
      <c r="F22" s="88">
        <f>IF(ROUND((E22*D22*C22)-(F11*Dados!$G$38),2)&lt;0,0,ROUND((E22*D22*C22)-(F11*Dados!$G$38),2))</f>
        <v>94.22</v>
      </c>
      <c r="G22" s="88">
        <f>F22</f>
        <v>94.22</v>
      </c>
      <c r="H22" s="88"/>
      <c r="I22" s="88">
        <f>F22</f>
        <v>94.22</v>
      </c>
      <c r="J22" s="369"/>
    </row>
    <row r="23" spans="1:12" ht="19.5" customHeight="1" x14ac:dyDescent="0.3">
      <c r="A23" s="664" t="s">
        <v>305</v>
      </c>
      <c r="B23" s="664"/>
      <c r="C23" s="383">
        <f>Dados!G40</f>
        <v>22</v>
      </c>
      <c r="D23" s="384">
        <f>Dados!G41</f>
        <v>0.2</v>
      </c>
      <c r="E23" s="382">
        <f>Dados!$G$39</f>
        <v>27.24</v>
      </c>
      <c r="F23" s="385">
        <f>ROUND((IF(D11&gt;150,((C23*E23)-(C23*(D23*E23))),0)),2)</f>
        <v>0</v>
      </c>
      <c r="G23" s="88">
        <f>F23</f>
        <v>0</v>
      </c>
      <c r="H23" s="88">
        <f>$F$23</f>
        <v>0</v>
      </c>
      <c r="I23" s="385"/>
      <c r="J23" s="369"/>
    </row>
    <row r="24" spans="1:12" ht="19.5" customHeight="1" x14ac:dyDescent="0.3">
      <c r="A24" s="664" t="s">
        <v>308</v>
      </c>
      <c r="B24" s="664"/>
      <c r="C24" s="383"/>
      <c r="D24" s="383"/>
      <c r="E24" s="382"/>
      <c r="F24" s="385">
        <f>Dados!$G$42</f>
        <v>0</v>
      </c>
      <c r="G24" s="88"/>
      <c r="H24" s="88"/>
      <c r="I24" s="385"/>
      <c r="J24" s="369"/>
    </row>
    <row r="25" spans="1:12" ht="19.5" customHeight="1" x14ac:dyDescent="0.3">
      <c r="A25" s="664" t="s">
        <v>308</v>
      </c>
      <c r="B25" s="664"/>
      <c r="C25" s="383"/>
      <c r="D25" s="383"/>
      <c r="E25" s="382"/>
      <c r="F25" s="385">
        <f>Dados!$G$43</f>
        <v>0</v>
      </c>
      <c r="G25" s="88"/>
      <c r="H25" s="88"/>
      <c r="I25" s="385"/>
      <c r="J25" s="369"/>
    </row>
    <row r="26" spans="1:12" ht="19.5" customHeight="1" x14ac:dyDescent="0.3">
      <c r="A26" s="664" t="s">
        <v>544</v>
      </c>
      <c r="B26" s="664"/>
      <c r="C26" s="383"/>
      <c r="D26" s="382"/>
      <c r="E26" s="382"/>
      <c r="F26" s="88"/>
      <c r="G26" s="88"/>
      <c r="H26" s="88"/>
      <c r="I26" s="88"/>
      <c r="J26" s="369"/>
      <c r="L26" s="386"/>
    </row>
    <row r="27" spans="1:12" ht="19.5" customHeight="1" x14ac:dyDescent="0.3">
      <c r="A27" s="381" t="s">
        <v>545</v>
      </c>
      <c r="B27" s="310"/>
      <c r="C27" s="383"/>
      <c r="D27" s="382"/>
      <c r="E27" s="382"/>
      <c r="F27" s="88"/>
      <c r="G27" s="88"/>
      <c r="H27" s="88"/>
      <c r="I27" s="88"/>
      <c r="J27" s="369"/>
    </row>
    <row r="28" spans="1:12" ht="19.5" customHeight="1" x14ac:dyDescent="0.3">
      <c r="A28" s="666" t="s">
        <v>546</v>
      </c>
      <c r="B28" s="666"/>
      <c r="C28" s="387"/>
      <c r="D28" s="388"/>
      <c r="E28" s="388"/>
      <c r="F28" s="374"/>
      <c r="G28" s="374"/>
      <c r="H28" s="374"/>
      <c r="I28" s="374"/>
      <c r="J28" s="375"/>
    </row>
    <row r="29" spans="1:12" ht="19.5" customHeight="1" x14ac:dyDescent="0.3">
      <c r="A29" s="667" t="s">
        <v>547</v>
      </c>
      <c r="B29" s="667"/>
      <c r="C29" s="667"/>
      <c r="D29" s="667"/>
      <c r="E29" s="667"/>
      <c r="F29" s="379">
        <f>SUM(F19:F28)</f>
        <v>186.46</v>
      </c>
      <c r="G29" s="379">
        <f>SUM(G19:G28)</f>
        <v>186.46</v>
      </c>
      <c r="H29" s="379">
        <f>SUM(H19:H28)</f>
        <v>0</v>
      </c>
      <c r="I29" s="379">
        <f>SUM(I19:I28)</f>
        <v>94.22</v>
      </c>
      <c r="J29" s="380">
        <f>SUM(J19:J28)</f>
        <v>0</v>
      </c>
    </row>
    <row r="30" spans="1:12" ht="19.5" customHeight="1" x14ac:dyDescent="0.3">
      <c r="A30" s="667" t="s">
        <v>548</v>
      </c>
      <c r="B30" s="667"/>
      <c r="C30" s="667"/>
      <c r="D30" s="667"/>
      <c r="E30" s="667"/>
      <c r="F30" s="379">
        <f>F16+F29</f>
        <v>2955.04</v>
      </c>
      <c r="G30" s="379">
        <f>G16+G29</f>
        <v>2955.04</v>
      </c>
      <c r="H30" s="379">
        <f>H16+H29</f>
        <v>0</v>
      </c>
      <c r="I30" s="379">
        <f>I16+I29</f>
        <v>94.22</v>
      </c>
      <c r="J30" s="380">
        <f>J16+J29</f>
        <v>0</v>
      </c>
    </row>
    <row r="31" spans="1:12" ht="19.5" customHeight="1" x14ac:dyDescent="0.3">
      <c r="A31" s="652" t="s">
        <v>549</v>
      </c>
      <c r="B31" s="652"/>
      <c r="C31" s="652"/>
      <c r="D31" s="652"/>
      <c r="E31" s="652"/>
      <c r="F31" s="652"/>
      <c r="G31" s="652"/>
      <c r="H31" s="652"/>
      <c r="I31" s="652"/>
      <c r="J31" s="652"/>
    </row>
    <row r="32" spans="1:12" ht="19.5" customHeight="1" x14ac:dyDescent="0.3">
      <c r="A32" s="661" t="s">
        <v>550</v>
      </c>
      <c r="B32" s="661"/>
      <c r="C32" s="661"/>
      <c r="D32" s="91" t="s">
        <v>489</v>
      </c>
      <c r="E32" s="668" t="s">
        <v>440</v>
      </c>
      <c r="F32" s="668"/>
      <c r="G32" s="668"/>
      <c r="H32" s="668"/>
      <c r="I32" s="668"/>
      <c r="J32" s="668"/>
    </row>
    <row r="33" spans="1:12" ht="19.5" customHeight="1" x14ac:dyDescent="0.3">
      <c r="A33" s="389" t="s">
        <v>551</v>
      </c>
      <c r="B33" s="390"/>
      <c r="C33" s="390"/>
      <c r="D33" s="391">
        <f>Dados!$G$46</f>
        <v>0.03</v>
      </c>
      <c r="E33" s="392"/>
      <c r="F33" s="88">
        <f>ROUND((F30*$D$33),2)</f>
        <v>88.65</v>
      </c>
      <c r="G33" s="88">
        <f>ROUND((G30*$D$33),2)</f>
        <v>88.65</v>
      </c>
      <c r="H33" s="88">
        <f>ROUND((H30*$D$33),2)</f>
        <v>0</v>
      </c>
      <c r="I33" s="88">
        <f>ROUND((I30*$D$33),2)</f>
        <v>2.83</v>
      </c>
      <c r="J33" s="369">
        <f>ROUND((J30*$D$33),2)</f>
        <v>0</v>
      </c>
    </row>
    <row r="34" spans="1:12" ht="19.5" customHeight="1" x14ac:dyDescent="0.3">
      <c r="A34" s="669" t="s">
        <v>552</v>
      </c>
      <c r="B34" s="669"/>
      <c r="C34" s="669"/>
      <c r="D34" s="391"/>
      <c r="E34" s="392"/>
      <c r="F34" s="88">
        <f>F30+F33</f>
        <v>3043.69</v>
      </c>
      <c r="G34" s="88">
        <f>G30+G33</f>
        <v>3043.69</v>
      </c>
      <c r="H34" s="88">
        <f>H30+H33</f>
        <v>0</v>
      </c>
      <c r="I34" s="88">
        <f>I30+I33</f>
        <v>97.05</v>
      </c>
      <c r="J34" s="369">
        <f>J30+J33</f>
        <v>0</v>
      </c>
    </row>
    <row r="35" spans="1:12" ht="19.5" customHeight="1" x14ac:dyDescent="0.3">
      <c r="A35" s="393" t="s">
        <v>313</v>
      </c>
      <c r="B35" s="394"/>
      <c r="C35" s="394"/>
      <c r="D35" s="395">
        <f>Dados!$G$47</f>
        <v>6.7900000000000002E-2</v>
      </c>
      <c r="E35" s="396"/>
      <c r="F35" s="374">
        <f>ROUND((F34*$D$35),2)</f>
        <v>206.67</v>
      </c>
      <c r="G35" s="374">
        <f>ROUND((G34*$D$35),2)</f>
        <v>206.67</v>
      </c>
      <c r="H35" s="374">
        <f>ROUND((H34*$D$35),2)</f>
        <v>0</v>
      </c>
      <c r="I35" s="374">
        <f>ROUND((I34*$D$35),2)</f>
        <v>6.59</v>
      </c>
      <c r="J35" s="375">
        <f>ROUND((J34*$D$35),2)</f>
        <v>0</v>
      </c>
    </row>
    <row r="36" spans="1:12" ht="19.5" customHeight="1" x14ac:dyDescent="0.3">
      <c r="A36" s="397" t="s">
        <v>553</v>
      </c>
      <c r="B36" s="398"/>
      <c r="C36" s="398"/>
      <c r="D36" s="399">
        <f>SUM(D33:D35)</f>
        <v>9.7900000000000001E-2</v>
      </c>
      <c r="E36" s="400"/>
      <c r="F36" s="379">
        <f>F33+F35</f>
        <v>295.32</v>
      </c>
      <c r="G36" s="379">
        <f>G33+G35</f>
        <v>295.32</v>
      </c>
      <c r="H36" s="379">
        <f>H33+H35</f>
        <v>0</v>
      </c>
      <c r="I36" s="379">
        <f>I33+I35</f>
        <v>9.42</v>
      </c>
      <c r="J36" s="380">
        <f>J33+J35</f>
        <v>0</v>
      </c>
    </row>
    <row r="37" spans="1:12" ht="19.5" customHeight="1" x14ac:dyDescent="0.3">
      <c r="A37" s="670" t="s">
        <v>554</v>
      </c>
      <c r="B37" s="670"/>
      <c r="C37" s="670"/>
      <c r="D37" s="670"/>
      <c r="E37" s="670"/>
      <c r="F37" s="401">
        <f>F30+F36</f>
        <v>3250.36</v>
      </c>
      <c r="G37" s="401">
        <f>G30+G36</f>
        <v>3250.36</v>
      </c>
      <c r="H37" s="401">
        <f>H30+H36</f>
        <v>0</v>
      </c>
      <c r="I37" s="401">
        <f>I30+I36</f>
        <v>103.64</v>
      </c>
      <c r="J37" s="402">
        <f>J30+J36</f>
        <v>0</v>
      </c>
    </row>
    <row r="38" spans="1:12" ht="19.5" customHeight="1" x14ac:dyDescent="0.3">
      <c r="A38" s="671" t="s">
        <v>555</v>
      </c>
      <c r="B38" s="671"/>
      <c r="C38" s="671"/>
      <c r="D38" s="671"/>
      <c r="E38" s="671"/>
      <c r="F38" s="671"/>
      <c r="G38" s="671"/>
      <c r="H38" s="671"/>
      <c r="I38" s="671"/>
      <c r="J38" s="671"/>
    </row>
    <row r="39" spans="1:12" ht="19.5" customHeight="1" x14ac:dyDescent="0.3">
      <c r="A39" s="664" t="s">
        <v>319</v>
      </c>
      <c r="B39" s="664"/>
      <c r="C39" s="664"/>
      <c r="D39" s="391">
        <f>Dados!G54</f>
        <v>7.5999999999999998E-2</v>
      </c>
      <c r="E39" s="88"/>
      <c r="F39" s="88">
        <f>ROUND(($F$45*D39),2)</f>
        <v>288.08</v>
      </c>
      <c r="G39" s="88">
        <f>ROUND((G45*$D$39),2)</f>
        <v>288.08</v>
      </c>
      <c r="H39" s="88">
        <f>ROUND((H45*$D$39),2)</f>
        <v>0</v>
      </c>
      <c r="I39" s="88">
        <f>ROUND((I45*$D$39),2)</f>
        <v>9.19</v>
      </c>
      <c r="J39" s="369">
        <f>ROUND((J45*$D$39),2)</f>
        <v>0</v>
      </c>
    </row>
    <row r="40" spans="1:12" ht="19.5" customHeight="1" x14ac:dyDescent="0.3">
      <c r="A40" s="664" t="s">
        <v>321</v>
      </c>
      <c r="B40" s="664"/>
      <c r="C40" s="664"/>
      <c r="D40" s="391">
        <f>Dados!G55</f>
        <v>1.6500000000000001E-2</v>
      </c>
      <c r="E40" s="88"/>
      <c r="F40" s="88">
        <f>ROUND((F45*$D$40),2)</f>
        <v>62.54</v>
      </c>
      <c r="G40" s="88">
        <f>ROUND((G45*$D$40),2)</f>
        <v>62.54</v>
      </c>
      <c r="H40" s="88">
        <f>ROUND((H45*$D$40),2)</f>
        <v>0</v>
      </c>
      <c r="I40" s="88">
        <f>ROUND((I45*$D$40),2)</f>
        <v>1.99</v>
      </c>
      <c r="J40" s="369">
        <f>ROUND((J45*$D$40),2)</f>
        <v>0</v>
      </c>
    </row>
    <row r="41" spans="1:12" ht="19.5" customHeight="1" x14ac:dyDescent="0.3">
      <c r="A41" s="664" t="s">
        <v>322</v>
      </c>
      <c r="B41" s="664"/>
      <c r="C41" s="664"/>
      <c r="D41" s="391">
        <f>Dados!G56</f>
        <v>0.05</v>
      </c>
      <c r="E41" s="88"/>
      <c r="F41" s="88">
        <f>ROUND((F45*$D$41),2)</f>
        <v>189.53</v>
      </c>
      <c r="G41" s="88">
        <f>ROUND((G45*$D$41),2)</f>
        <v>189.53</v>
      </c>
      <c r="H41" s="88">
        <f>ROUND((H45*$D$41),2)</f>
        <v>0</v>
      </c>
      <c r="I41" s="88">
        <f>ROUND((I45*$D$41),2)</f>
        <v>6.04</v>
      </c>
      <c r="J41" s="369">
        <f>ROUND((J45*$D$41),2)</f>
        <v>0</v>
      </c>
    </row>
    <row r="42" spans="1:12" ht="19.5" customHeight="1" x14ac:dyDescent="0.3">
      <c r="A42" s="664" t="s">
        <v>308</v>
      </c>
      <c r="B42" s="664"/>
      <c r="C42" s="664"/>
      <c r="D42" s="391">
        <f>Dados!G57</f>
        <v>0</v>
      </c>
      <c r="E42" s="88"/>
      <c r="F42" s="88">
        <f>ROUND((F45*$D$42),2)</f>
        <v>0</v>
      </c>
      <c r="G42" s="88">
        <f>ROUND((G45*$D$42),2)</f>
        <v>0</v>
      </c>
      <c r="H42" s="88">
        <f>ROUND((H45*$D$42),2)</f>
        <v>0</v>
      </c>
      <c r="I42" s="88">
        <f>ROUND((I45*$D$42),2)</f>
        <v>0</v>
      </c>
      <c r="J42" s="369">
        <f>ROUND((J45*$D$42),2)</f>
        <v>0</v>
      </c>
    </row>
    <row r="43" spans="1:12" ht="19.5" customHeight="1" x14ac:dyDescent="0.3">
      <c r="A43" s="673" t="s">
        <v>556</v>
      </c>
      <c r="B43" s="673"/>
      <c r="C43" s="673"/>
      <c r="D43" s="403">
        <f>SUM(D39:D42)</f>
        <v>0.14250000000000002</v>
      </c>
      <c r="E43" s="404"/>
      <c r="F43" s="405">
        <f>SUM(F39:F42)</f>
        <v>540.15</v>
      </c>
      <c r="G43" s="405">
        <f>SUM(G39:G42)</f>
        <v>540.15</v>
      </c>
      <c r="H43" s="405">
        <f>SUM(H39:H42)</f>
        <v>0</v>
      </c>
      <c r="I43" s="405">
        <f>SUM(I39:I42)</f>
        <v>17.22</v>
      </c>
      <c r="J43" s="406">
        <f>SUM(J39:J41)</f>
        <v>0</v>
      </c>
    </row>
    <row r="44" spans="1:12" ht="19.5" customHeight="1" x14ac:dyDescent="0.3">
      <c r="A44" s="674" t="str">
        <f>CONCATENATE("Custo Mensal - ",A7)</f>
        <v>Custo Mensal - Assistente Administrativo</v>
      </c>
      <c r="B44" s="674"/>
      <c r="C44" s="674"/>
      <c r="D44" s="674"/>
      <c r="E44" s="674"/>
      <c r="F44" s="407">
        <f>ROUND(F37/(1-D43),2)</f>
        <v>3790.51</v>
      </c>
      <c r="G44" s="407">
        <f>ROUND(G37/(1-D43),2)</f>
        <v>3790.51</v>
      </c>
      <c r="H44" s="407">
        <f>ROUND(H37/(1-D43),2)</f>
        <v>0</v>
      </c>
      <c r="I44" s="407">
        <f>ROUND(I37/(1-D43),2)</f>
        <v>120.86</v>
      </c>
      <c r="J44" s="408">
        <f>ROUND(J37/(1-D43),2)</f>
        <v>0</v>
      </c>
    </row>
    <row r="45" spans="1:12" ht="19.5" customHeight="1" x14ac:dyDescent="0.3">
      <c r="A45" s="674" t="str">
        <f>CONCATENATE("Valor do Custo Mensal - ",A7)</f>
        <v>Valor do Custo Mensal - Assistente Administrativo</v>
      </c>
      <c r="B45" s="674"/>
      <c r="C45" s="674"/>
      <c r="D45" s="674"/>
      <c r="E45" s="674"/>
      <c r="F45" s="407">
        <f>F44</f>
        <v>3790.51</v>
      </c>
      <c r="G45" s="407">
        <f>G44</f>
        <v>3790.51</v>
      </c>
      <c r="H45" s="407">
        <f>H44</f>
        <v>0</v>
      </c>
      <c r="I45" s="407">
        <f>I44</f>
        <v>120.86</v>
      </c>
      <c r="J45" s="408">
        <f>J44</f>
        <v>0</v>
      </c>
      <c r="K45" s="409"/>
      <c r="L45" s="409"/>
    </row>
    <row r="46" spans="1:12" ht="27.75" customHeight="1" x14ac:dyDescent="0.3">
      <c r="A46" s="675" t="s">
        <v>557</v>
      </c>
      <c r="B46" s="675"/>
      <c r="C46" s="675"/>
      <c r="D46" s="675"/>
      <c r="E46" s="675"/>
      <c r="F46" s="410">
        <f>(F45/F14)</f>
        <v>2.4514053264004763</v>
      </c>
      <c r="G46" s="410">
        <f>(G45/G14)</f>
        <v>2.4514053264004763</v>
      </c>
      <c r="H46" s="672" t="s">
        <v>558</v>
      </c>
      <c r="I46" s="672"/>
      <c r="J46" s="411">
        <v>0</v>
      </c>
    </row>
    <row r="47" spans="1:12" ht="19.5" customHeight="1" x14ac:dyDescent="0.3"/>
  </sheetData>
  <sheetProtection password="C494" sheet="1" objects="1" scenarios="1"/>
  <mergeCells count="49">
    <mergeCell ref="H46:I46"/>
    <mergeCell ref="A42:C42"/>
    <mergeCell ref="A43:C43"/>
    <mergeCell ref="A44:E44"/>
    <mergeCell ref="A45:E45"/>
    <mergeCell ref="A46:E46"/>
    <mergeCell ref="A37:E37"/>
    <mergeCell ref="A38:J38"/>
    <mergeCell ref="A39:C39"/>
    <mergeCell ref="A40:C40"/>
    <mergeCell ref="A41:C41"/>
    <mergeCell ref="A30:E30"/>
    <mergeCell ref="A31:J31"/>
    <mergeCell ref="A32:C32"/>
    <mergeCell ref="E32:J32"/>
    <mergeCell ref="A34:C34"/>
    <mergeCell ref="A24:B24"/>
    <mergeCell ref="A25:B25"/>
    <mergeCell ref="A26:B26"/>
    <mergeCell ref="A28:B28"/>
    <mergeCell ref="A29:E29"/>
    <mergeCell ref="A19:B19"/>
    <mergeCell ref="A20:B20"/>
    <mergeCell ref="A21:B21"/>
    <mergeCell ref="A22:B22"/>
    <mergeCell ref="A23:B23"/>
    <mergeCell ref="A16:E16"/>
    <mergeCell ref="A17:J17"/>
    <mergeCell ref="A18:B18"/>
    <mergeCell ref="D18:E18"/>
    <mergeCell ref="F18:J18"/>
    <mergeCell ref="A9:J9"/>
    <mergeCell ref="B10:C10"/>
    <mergeCell ref="F10:J10"/>
    <mergeCell ref="A11:A15"/>
    <mergeCell ref="B11:C11"/>
    <mergeCell ref="B12:C12"/>
    <mergeCell ref="B14:E14"/>
    <mergeCell ref="B15:D15"/>
    <mergeCell ref="A4:J4"/>
    <mergeCell ref="A5:J5"/>
    <mergeCell ref="A6:J6"/>
    <mergeCell ref="A7:E7"/>
    <mergeCell ref="F7:F8"/>
    <mergeCell ref="G7:G8"/>
    <mergeCell ref="H7:H8"/>
    <mergeCell ref="I7:I8"/>
    <mergeCell ref="J7:J8"/>
    <mergeCell ref="A8:D8"/>
  </mergeCells>
  <printOptions horizontalCentered="1" verticalCentered="1"/>
  <pageMargins left="0.51180555555555596" right="0.51180555555555596" top="0.78749999999999998" bottom="0.78749999999999998" header="0.511811023622047" footer="0.511811023622047"/>
  <pageSetup paperSize="9" scale="61" fitToHeight="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18</vt:i4>
      </vt:variant>
      <vt:variant>
        <vt:lpstr>Intervalos Nomeados</vt:lpstr>
      </vt:variant>
      <vt:variant>
        <vt:i4>11</vt:i4>
      </vt:variant>
    </vt:vector>
  </HeadingPairs>
  <TitlesOfParts>
    <vt:vector size="29" baseType="lpstr">
      <vt:lpstr>Ocorrências Mensais - FAT</vt:lpstr>
      <vt:lpstr>INSTRUÇÕES</vt:lpstr>
      <vt:lpstr>Dados</vt:lpstr>
      <vt:lpstr>Encargos</vt:lpstr>
      <vt:lpstr>Materiais</vt:lpstr>
      <vt:lpstr>EPI</vt:lpstr>
      <vt:lpstr>Equipamentos</vt:lpstr>
      <vt:lpstr>Uniformes</vt:lpstr>
      <vt:lpstr>Ass. Adm 150</vt:lpstr>
      <vt:lpstr>Ass. Adm 200</vt:lpstr>
      <vt:lpstr>Ass. Adm 220</vt:lpstr>
      <vt:lpstr>Servente Insalubre</vt:lpstr>
      <vt:lpstr>Servente 200</vt:lpstr>
      <vt:lpstr>Servente acúmulo Copa</vt:lpstr>
      <vt:lpstr>Zelador acúmulo Lavador</vt:lpstr>
      <vt:lpstr>Resumo</vt:lpstr>
      <vt:lpstr>Custo Estimado Substituto</vt:lpstr>
      <vt:lpstr>IPCA</vt:lpstr>
      <vt:lpstr>'Ass. Adm 150'!Area_de_impressao</vt:lpstr>
      <vt:lpstr>'Ass. Adm 200'!Area_de_impressao</vt:lpstr>
      <vt:lpstr>'Ass. Adm 220'!Area_de_impressao</vt:lpstr>
      <vt:lpstr>Dados!Area_de_impressao</vt:lpstr>
      <vt:lpstr>Encargos!Area_de_impressao</vt:lpstr>
      <vt:lpstr>Materiais!Area_de_impressao</vt:lpstr>
      <vt:lpstr>'Servente 200'!Area_de_impressao</vt:lpstr>
      <vt:lpstr>'Servente acúmulo Copa'!Area_de_impressao</vt:lpstr>
      <vt:lpstr>'Servente Insalubre'!Area_de_impressao</vt:lpstr>
      <vt:lpstr>Uniformes!Area_de_impressao</vt:lpstr>
      <vt:lpstr>'Zelador acúmulo Lavador'!Area_de_impressao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Fábio Lucas Gouveia dos Santos</dc:creator>
  <dc:description/>
  <cp:lastModifiedBy>Raphael Luiz de Oliveira Nolasco</cp:lastModifiedBy>
  <cp:revision>41</cp:revision>
  <cp:lastPrinted>2024-07-11T14:13:49Z</cp:lastPrinted>
  <dcterms:created xsi:type="dcterms:W3CDTF">2015-06-05T18:17:20Z</dcterms:created>
  <dcterms:modified xsi:type="dcterms:W3CDTF">2025-01-16T17:43:47Z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