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3"/>
  <workbookPr defaultThemeVersion="124226"/>
  <mc:AlternateContent xmlns:mc="http://schemas.openxmlformats.org/markup-compatibility/2006">
    <mc:Choice Requires="x15">
      <x15ac:absPath xmlns:x15ac="http://schemas.microsoft.com/office/spreadsheetml/2010/11/ac" url="C:\RODRIGO\Profissional\TELETRABALHO\SESAP HOMEOFFICE\CONTRATOS\PRECISA\Documentos Pagamento DIRETO JAN 25\"/>
    </mc:Choice>
  </mc:AlternateContent>
  <xr:revisionPtr revIDLastSave="0" documentId="8_{A85576B3-3A94-40C5-8E09-BB313A722372}" xr6:coauthVersionLast="47" xr6:coauthVersionMax="47" xr10:uidLastSave="{00000000-0000-0000-0000-000000000000}"/>
  <bookViews>
    <workbookView xWindow="28680" yWindow="3105" windowWidth="20730" windowHeight="11040" tabRatio="781" firstSheet="7" activeTab="7" xr2:uid="{00000000-000D-0000-FFFF-FFFF00000000}"/>
  </bookViews>
  <sheets>
    <sheet name="Ocorrências Mensais - FAT" sheetId="1" state="hidden" r:id="rId1"/>
    <sheet name="INSTRUÇÕES" sheetId="2" r:id="rId2"/>
    <sheet name="Dados" sheetId="3" r:id="rId3"/>
    <sheet name="Encargos" sheetId="4" r:id="rId4"/>
    <sheet name="Materiais" sheetId="5" r:id="rId5"/>
    <sheet name="Equipamentos" sheetId="6" r:id="rId6"/>
    <sheet name="Uniformes" sheetId="7" r:id="rId7"/>
    <sheet name="Resumo" sheetId="11" r:id="rId8"/>
    <sheet name="Servente Insalubre" sheetId="8" r:id="rId9"/>
    <sheet name="Servente acúmulo função Copeira" sheetId="9" r:id="rId10"/>
    <sheet name="Auxiliar Administrativo" sheetId="10" r:id="rId11"/>
    <sheet name="Custo Substituto" sheetId="12" r:id="rId12"/>
    <sheet name="IPCA" sheetId="13" state="hidden" r:id="rId13"/>
  </sheets>
  <definedNames>
    <definedName name="_xlnm.Print_Area" localSheetId="10">'Auxiliar Administrativo'!$A$1:$J$46</definedName>
    <definedName name="_xlnm.Print_Area" localSheetId="2">Dados!$A$1:$R$54</definedName>
    <definedName name="_xlnm.Print_Area" localSheetId="3">Encargos!$A$1:$C$59</definedName>
    <definedName name="_xlnm.Print_Area" localSheetId="4">Materiais!$A$1:$K$55</definedName>
    <definedName name="_xlnm.Print_Area" localSheetId="7">Resumo!$A$1:$W$20</definedName>
    <definedName name="_xlnm.Print_Area" localSheetId="9">'Servente acúmulo função Copeira'!$A$1:$J$46</definedName>
    <definedName name="_xlnm.Print_Area" localSheetId="8">'Servente Insalubre'!$A$1:$J$46</definedName>
    <definedName name="_xlnm.Print_Area" localSheetId="6">Uniformes!$A$1:$H$15</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26" i="1" l="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E12" i="6"/>
  <c r="F12" i="6" s="1"/>
  <c r="G12" i="6" s="1"/>
  <c r="A25" i="7"/>
  <c r="F23" i="7" s="1"/>
  <c r="H23" i="7" s="1"/>
  <c r="A18" i="7"/>
  <c r="F18" i="7" s="1"/>
  <c r="F17" i="7" l="1"/>
  <c r="F24" i="7"/>
  <c r="H24" i="7" s="1"/>
  <c r="F25" i="7"/>
  <c r="H25" i="7" s="1"/>
  <c r="H26" i="7" l="1"/>
  <c r="H27" i="7" s="1"/>
  <c r="N9" i="3" s="1"/>
  <c r="N67" i="1"/>
  <c r="N68" i="1"/>
  <c r="N69" i="1"/>
  <c r="N70" i="1"/>
  <c r="N71" i="1"/>
  <c r="N66" i="1"/>
  <c r="M67" i="1"/>
  <c r="M68" i="1"/>
  <c r="M69" i="1"/>
  <c r="M70" i="1"/>
  <c r="M71" i="1"/>
  <c r="M66" i="1"/>
  <c r="N25" i="1"/>
  <c r="M25" i="1"/>
  <c r="C34" i="4" l="1"/>
  <c r="L49" i="1"/>
  <c r="J33" i="5" s="1"/>
  <c r="AG22" i="13"/>
  <c r="AH22" i="13" s="1"/>
  <c r="AE22" i="13"/>
  <c r="Z22" i="13"/>
  <c r="AA22" i="13" s="1"/>
  <c r="X22" i="13"/>
  <c r="S22" i="13"/>
  <c r="T22" i="13" s="1"/>
  <c r="Q22" i="13"/>
  <c r="L22" i="13"/>
  <c r="M22"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I11" i="13" s="1"/>
  <c r="AI12" i="13" s="1"/>
  <c r="AE10" i="13"/>
  <c r="Z10" i="13"/>
  <c r="AA10" i="13" s="1"/>
  <c r="AB10" i="13" s="1"/>
  <c r="X10" i="13"/>
  <c r="S10" i="13"/>
  <c r="T10" i="13" s="1"/>
  <c r="U10" i="13" s="1"/>
  <c r="Q10" i="13"/>
  <c r="L10" i="13"/>
  <c r="M10" i="13" s="1"/>
  <c r="N10" i="13" s="1"/>
  <c r="J10" i="13"/>
  <c r="I10" i="13"/>
  <c r="P10" i="13" s="1"/>
  <c r="W10" i="13" s="1"/>
  <c r="AD10" i="13" s="1"/>
  <c r="F10" i="13"/>
  <c r="G10" i="13" s="1"/>
  <c r="B3" i="13"/>
  <c r="E24" i="12"/>
  <c r="B24" i="12"/>
  <c r="E23" i="12"/>
  <c r="E21" i="12"/>
  <c r="E19" i="12"/>
  <c r="E18" i="12"/>
  <c r="H5" i="12"/>
  <c r="G5" i="12"/>
  <c r="F5" i="12"/>
  <c r="B3" i="12"/>
  <c r="B2" i="12"/>
  <c r="B1" i="12"/>
  <c r="Q14" i="11"/>
  <c r="N14" i="11"/>
  <c r="D14" i="11"/>
  <c r="C14" i="11"/>
  <c r="B14" i="11"/>
  <c r="A7" i="10" s="1"/>
  <c r="U13" i="11"/>
  <c r="U15" i="11" s="1"/>
  <c r="Q13" i="11"/>
  <c r="N13" i="11"/>
  <c r="D13" i="11"/>
  <c r="C13" i="11"/>
  <c r="B13" i="11"/>
  <c r="Q12" i="11"/>
  <c r="N12" i="11"/>
  <c r="D12" i="11"/>
  <c r="C12" i="11"/>
  <c r="B12" i="11"/>
  <c r="B3" i="11"/>
  <c r="A5" i="11" s="1"/>
  <c r="B2" i="11"/>
  <c r="B1" i="11"/>
  <c r="D42" i="10"/>
  <c r="D41" i="10"/>
  <c r="D40" i="10"/>
  <c r="D39" i="10"/>
  <c r="D35" i="10"/>
  <c r="D33" i="10"/>
  <c r="J29" i="10"/>
  <c r="F28" i="10"/>
  <c r="G28" i="10" s="1"/>
  <c r="F27" i="10"/>
  <c r="F25" i="10"/>
  <c r="F24" i="10"/>
  <c r="E23" i="10"/>
  <c r="D23" i="10"/>
  <c r="E22" i="10"/>
  <c r="D22" i="10"/>
  <c r="C22" i="10"/>
  <c r="F21" i="10"/>
  <c r="G21" i="10" s="1"/>
  <c r="F20" i="10"/>
  <c r="G20" i="10" s="1"/>
  <c r="I14" i="10"/>
  <c r="I16" i="10" s="1"/>
  <c r="H14" i="10"/>
  <c r="H16" i="10" s="1"/>
  <c r="E13" i="10"/>
  <c r="D13" i="10"/>
  <c r="C13" i="10"/>
  <c r="E12" i="10"/>
  <c r="D12" i="10"/>
  <c r="E11" i="10"/>
  <c r="D11" i="10"/>
  <c r="B3" i="10"/>
  <c r="B2" i="10"/>
  <c r="B1" i="10"/>
  <c r="D42" i="9"/>
  <c r="D41" i="9"/>
  <c r="D40" i="9"/>
  <c r="D39" i="9"/>
  <c r="D35" i="9"/>
  <c r="D33" i="9"/>
  <c r="J29" i="9"/>
  <c r="F25" i="9"/>
  <c r="F24" i="9"/>
  <c r="E23" i="9"/>
  <c r="D23" i="9"/>
  <c r="E22" i="9"/>
  <c r="D22" i="9"/>
  <c r="C22" i="9"/>
  <c r="F21" i="9"/>
  <c r="G21" i="9" s="1"/>
  <c r="F20" i="9"/>
  <c r="G20" i="9" s="1"/>
  <c r="I14" i="9"/>
  <c r="I16" i="9" s="1"/>
  <c r="H14" i="9"/>
  <c r="H16" i="9" s="1"/>
  <c r="D13" i="9"/>
  <c r="C13" i="9"/>
  <c r="E12" i="9"/>
  <c r="D12" i="9"/>
  <c r="E11" i="9"/>
  <c r="D11" i="9"/>
  <c r="A7" i="9"/>
  <c r="A45" i="9" s="1"/>
  <c r="B3" i="9"/>
  <c r="B2" i="9"/>
  <c r="B1" i="9"/>
  <c r="D42" i="8"/>
  <c r="D41" i="8"/>
  <c r="D40" i="8"/>
  <c r="D39" i="8"/>
  <c r="D35" i="8"/>
  <c r="D33" i="8"/>
  <c r="J29" i="8"/>
  <c r="F25" i="8"/>
  <c r="F24" i="8"/>
  <c r="E23" i="8"/>
  <c r="D23" i="8"/>
  <c r="E22" i="8"/>
  <c r="D22" i="8"/>
  <c r="C22" i="8"/>
  <c r="F21" i="8"/>
  <c r="G21" i="8" s="1"/>
  <c r="F20" i="8"/>
  <c r="G20" i="8" s="1"/>
  <c r="I14" i="8"/>
  <c r="I16" i="8" s="1"/>
  <c r="H14" i="8"/>
  <c r="H16" i="8" s="1"/>
  <c r="E13" i="8"/>
  <c r="D13" i="8"/>
  <c r="C13" i="8"/>
  <c r="E12" i="8"/>
  <c r="D12" i="8"/>
  <c r="E11" i="8"/>
  <c r="D11" i="8"/>
  <c r="A7" i="8"/>
  <c r="A45" i="8" s="1"/>
  <c r="B3" i="8"/>
  <c r="B2" i="8"/>
  <c r="B1" i="8"/>
  <c r="R12" i="7"/>
  <c r="M12" i="7"/>
  <c r="N12" i="7" s="1"/>
  <c r="O12" i="7" s="1"/>
  <c r="P12" i="7" s="1"/>
  <c r="Q12" i="7" s="1"/>
  <c r="A12" i="7"/>
  <c r="R11" i="7"/>
  <c r="M11" i="7"/>
  <c r="N11" i="7" s="1"/>
  <c r="O11" i="7" s="1"/>
  <c r="P11" i="7" s="1"/>
  <c r="Q11" i="7" s="1"/>
  <c r="R9" i="7"/>
  <c r="M9" i="7"/>
  <c r="N9" i="7" s="1"/>
  <c r="O9" i="7" s="1"/>
  <c r="P9" i="7" s="1"/>
  <c r="Q9" i="7" s="1"/>
  <c r="B3" i="7"/>
  <c r="B2" i="7"/>
  <c r="B1" i="7"/>
  <c r="E11" i="6"/>
  <c r="F11" i="6" s="1"/>
  <c r="G11" i="6" s="1"/>
  <c r="E10" i="6"/>
  <c r="F10" i="6" s="1"/>
  <c r="G10" i="6" s="1"/>
  <c r="E9" i="6"/>
  <c r="F9" i="6" s="1"/>
  <c r="G9" i="6" s="1"/>
  <c r="B3" i="6"/>
  <c r="B2" i="6"/>
  <c r="B1" i="6"/>
  <c r="N53" i="5"/>
  <c r="O53" i="5" s="1"/>
  <c r="P53" i="5" s="1"/>
  <c r="Q53" i="5" s="1"/>
  <c r="R53" i="5" s="1"/>
  <c r="N52" i="5"/>
  <c r="O52" i="5" s="1"/>
  <c r="P52" i="5" s="1"/>
  <c r="Q52" i="5" s="1"/>
  <c r="R52" i="5" s="1"/>
  <c r="N51" i="5"/>
  <c r="O51" i="5" s="1"/>
  <c r="P51" i="5" s="1"/>
  <c r="Q51" i="5" s="1"/>
  <c r="R51" i="5" s="1"/>
  <c r="N50" i="5"/>
  <c r="O50" i="5" s="1"/>
  <c r="P50" i="5" s="1"/>
  <c r="Q50" i="5" s="1"/>
  <c r="R50" i="5" s="1"/>
  <c r="N49" i="5"/>
  <c r="O49" i="5" s="1"/>
  <c r="P49" i="5" s="1"/>
  <c r="Q49" i="5" s="1"/>
  <c r="R49" i="5" s="1"/>
  <c r="N48" i="5"/>
  <c r="O48" i="5" s="1"/>
  <c r="P48" i="5" s="1"/>
  <c r="Q48" i="5" s="1"/>
  <c r="R48" i="5" s="1"/>
  <c r="N41" i="5"/>
  <c r="O41" i="5" s="1"/>
  <c r="P41" i="5" s="1"/>
  <c r="Q41" i="5" s="1"/>
  <c r="R41" i="5" s="1"/>
  <c r="N39" i="5"/>
  <c r="O39" i="5" s="1"/>
  <c r="P39" i="5" s="1"/>
  <c r="Q39" i="5" s="1"/>
  <c r="R39" i="5" s="1"/>
  <c r="N38" i="5"/>
  <c r="O38" i="5" s="1"/>
  <c r="P38" i="5" s="1"/>
  <c r="Q38" i="5" s="1"/>
  <c r="R38" i="5" s="1"/>
  <c r="N37" i="5"/>
  <c r="O37" i="5" s="1"/>
  <c r="P37" i="5" s="1"/>
  <c r="Q37" i="5" s="1"/>
  <c r="R37" i="5" s="1"/>
  <c r="N36" i="5"/>
  <c r="O36" i="5" s="1"/>
  <c r="P36" i="5" s="1"/>
  <c r="Q36" i="5" s="1"/>
  <c r="R36" i="5" s="1"/>
  <c r="N35" i="5"/>
  <c r="O35" i="5" s="1"/>
  <c r="P35" i="5" s="1"/>
  <c r="Q35" i="5" s="1"/>
  <c r="R35" i="5" s="1"/>
  <c r="N34" i="5"/>
  <c r="O34" i="5" s="1"/>
  <c r="P34" i="5" s="1"/>
  <c r="Q34" i="5" s="1"/>
  <c r="R34" i="5" s="1"/>
  <c r="N33" i="5"/>
  <c r="O33" i="5" s="1"/>
  <c r="P33" i="5" s="1"/>
  <c r="Q33" i="5" s="1"/>
  <c r="R33" i="5" s="1"/>
  <c r="N31" i="5"/>
  <c r="O31" i="5" s="1"/>
  <c r="P31" i="5" s="1"/>
  <c r="Q31" i="5" s="1"/>
  <c r="R31" i="5" s="1"/>
  <c r="N30" i="5"/>
  <c r="O30" i="5" s="1"/>
  <c r="P30" i="5" s="1"/>
  <c r="Q30" i="5" s="1"/>
  <c r="R30" i="5" s="1"/>
  <c r="N29" i="5"/>
  <c r="O29" i="5" s="1"/>
  <c r="P29" i="5" s="1"/>
  <c r="Q29" i="5" s="1"/>
  <c r="R29" i="5" s="1"/>
  <c r="N27" i="5"/>
  <c r="O27" i="5" s="1"/>
  <c r="P27" i="5" s="1"/>
  <c r="Q27" i="5" s="1"/>
  <c r="R27" i="5" s="1"/>
  <c r="N26" i="5"/>
  <c r="O26" i="5" s="1"/>
  <c r="P26" i="5" s="1"/>
  <c r="Q26" i="5" s="1"/>
  <c r="R26" i="5" s="1"/>
  <c r="N25" i="5"/>
  <c r="O25" i="5" s="1"/>
  <c r="P25" i="5" s="1"/>
  <c r="Q25" i="5" s="1"/>
  <c r="R25" i="5" s="1"/>
  <c r="N24" i="5"/>
  <c r="O24" i="5" s="1"/>
  <c r="P24" i="5" s="1"/>
  <c r="Q24" i="5" s="1"/>
  <c r="R24" i="5" s="1"/>
  <c r="N23" i="5"/>
  <c r="O23" i="5" s="1"/>
  <c r="P23" i="5" s="1"/>
  <c r="Q23" i="5" s="1"/>
  <c r="R23" i="5" s="1"/>
  <c r="N22" i="5"/>
  <c r="O22" i="5" s="1"/>
  <c r="P22" i="5" s="1"/>
  <c r="Q22" i="5" s="1"/>
  <c r="R22" i="5" s="1"/>
  <c r="N21" i="5"/>
  <c r="O21" i="5" s="1"/>
  <c r="P21" i="5" s="1"/>
  <c r="Q21" i="5" s="1"/>
  <c r="R21" i="5" s="1"/>
  <c r="N20" i="5"/>
  <c r="O20" i="5" s="1"/>
  <c r="P20" i="5" s="1"/>
  <c r="Q20" i="5" s="1"/>
  <c r="R20" i="5" s="1"/>
  <c r="N19" i="5"/>
  <c r="O19" i="5" s="1"/>
  <c r="P19" i="5" s="1"/>
  <c r="Q19" i="5" s="1"/>
  <c r="R19" i="5" s="1"/>
  <c r="N18" i="5"/>
  <c r="O18" i="5" s="1"/>
  <c r="P18" i="5" s="1"/>
  <c r="Q18" i="5" s="1"/>
  <c r="R18" i="5" s="1"/>
  <c r="N17" i="5"/>
  <c r="O17" i="5" s="1"/>
  <c r="P17" i="5" s="1"/>
  <c r="Q17" i="5" s="1"/>
  <c r="R17" i="5" s="1"/>
  <c r="N16" i="5"/>
  <c r="O16" i="5" s="1"/>
  <c r="P16" i="5" s="1"/>
  <c r="Q16" i="5" s="1"/>
  <c r="R16" i="5" s="1"/>
  <c r="N15" i="5"/>
  <c r="O15" i="5" s="1"/>
  <c r="P15" i="5" s="1"/>
  <c r="Q15" i="5" s="1"/>
  <c r="R15" i="5" s="1"/>
  <c r="N14" i="5"/>
  <c r="O14" i="5" s="1"/>
  <c r="P14" i="5" s="1"/>
  <c r="Q14" i="5" s="1"/>
  <c r="R14" i="5" s="1"/>
  <c r="N13" i="5"/>
  <c r="O13" i="5" s="1"/>
  <c r="P13" i="5" s="1"/>
  <c r="Q13" i="5" s="1"/>
  <c r="R13" i="5" s="1"/>
  <c r="N12" i="5"/>
  <c r="O12" i="5" s="1"/>
  <c r="P12" i="5" s="1"/>
  <c r="Q12" i="5" s="1"/>
  <c r="R12" i="5" s="1"/>
  <c r="N11" i="5"/>
  <c r="O11" i="5" s="1"/>
  <c r="P11" i="5" s="1"/>
  <c r="Q11" i="5" s="1"/>
  <c r="R11" i="5" s="1"/>
  <c r="N10" i="5"/>
  <c r="O10" i="5" s="1"/>
  <c r="P10" i="5" s="1"/>
  <c r="Q10" i="5" s="1"/>
  <c r="R10" i="5" s="1"/>
  <c r="N9" i="5"/>
  <c r="O9" i="5" s="1"/>
  <c r="P9" i="5" s="1"/>
  <c r="Q9" i="5" s="1"/>
  <c r="R9" i="5" s="1"/>
  <c r="B3" i="5"/>
  <c r="B2" i="5"/>
  <c r="B1" i="5"/>
  <c r="C48" i="4"/>
  <c r="C49" i="4" s="1"/>
  <c r="C56" i="4" s="1"/>
  <c r="C43" i="4"/>
  <c r="C42" i="4"/>
  <c r="C41" i="4"/>
  <c r="C40" i="4"/>
  <c r="C39" i="4"/>
  <c r="E8" i="12" s="1"/>
  <c r="C36" i="4"/>
  <c r="C33" i="4"/>
  <c r="C31" i="4"/>
  <c r="C32" i="4" s="1"/>
  <c r="C27" i="4"/>
  <c r="C21" i="4"/>
  <c r="C22" i="4" s="1"/>
  <c r="B3" i="4"/>
  <c r="B2" i="4"/>
  <c r="B1" i="4"/>
  <c r="E72" i="3"/>
  <c r="K72" i="3" s="1"/>
  <c r="G54" i="3"/>
  <c r="G61" i="1" s="1"/>
  <c r="B46" i="3"/>
  <c r="G36" i="3"/>
  <c r="C23" i="10" s="1"/>
  <c r="F23" i="10" s="1"/>
  <c r="G21" i="3"/>
  <c r="C16" i="4" s="1"/>
  <c r="L9" i="3"/>
  <c r="F9" i="3"/>
  <c r="F8" i="3"/>
  <c r="K8" i="3" s="1"/>
  <c r="E13" i="9" s="1"/>
  <c r="H7" i="3"/>
  <c r="F7" i="3"/>
  <c r="P6" i="3"/>
  <c r="O6" i="3"/>
  <c r="A4" i="3"/>
  <c r="A6" i="11" s="1"/>
  <c r="B3" i="3"/>
  <c r="B2" i="3"/>
  <c r="B1" i="3"/>
  <c r="G74" i="1"/>
  <c r="G73" i="1"/>
  <c r="O71" i="1"/>
  <c r="F71" i="1"/>
  <c r="E71" i="1"/>
  <c r="B71" i="1"/>
  <c r="O70" i="1"/>
  <c r="F70" i="1"/>
  <c r="E70" i="1"/>
  <c r="B70" i="1"/>
  <c r="O69" i="1"/>
  <c r="F69" i="1"/>
  <c r="E69" i="1"/>
  <c r="B69" i="1"/>
  <c r="O68" i="1"/>
  <c r="F68" i="1"/>
  <c r="E68" i="1"/>
  <c r="B68" i="1"/>
  <c r="O67" i="1"/>
  <c r="F67" i="1"/>
  <c r="E67" i="1"/>
  <c r="B67" i="1"/>
  <c r="O66" i="1"/>
  <c r="F66" i="1"/>
  <c r="E66" i="1"/>
  <c r="B66" i="1"/>
  <c r="G60" i="1"/>
  <c r="G59" i="1"/>
  <c r="L57" i="1"/>
  <c r="J41" i="5" s="1"/>
  <c r="L56" i="1"/>
  <c r="J40" i="5" s="1"/>
  <c r="L55" i="1"/>
  <c r="J39" i="5" s="1"/>
  <c r="L54" i="1"/>
  <c r="J38" i="5" s="1"/>
  <c r="L53" i="1"/>
  <c r="J37" i="5" s="1"/>
  <c r="L52" i="1"/>
  <c r="J36" i="5" s="1"/>
  <c r="L51" i="1"/>
  <c r="J35" i="5" s="1"/>
  <c r="L50" i="1"/>
  <c r="J34" i="5" s="1"/>
  <c r="L48" i="1"/>
  <c r="J32" i="5" s="1"/>
  <c r="L47" i="1"/>
  <c r="J31" i="5" s="1"/>
  <c r="L46" i="1"/>
  <c r="J30" i="5" s="1"/>
  <c r="L45" i="1"/>
  <c r="J29" i="5" s="1"/>
  <c r="L44" i="1"/>
  <c r="J28" i="5" s="1"/>
  <c r="L43" i="1"/>
  <c r="J27" i="5" s="1"/>
  <c r="L42" i="1"/>
  <c r="J26" i="5" s="1"/>
  <c r="L41" i="1"/>
  <c r="J25" i="5" s="1"/>
  <c r="L40" i="1"/>
  <c r="J24" i="5" s="1"/>
  <c r="L39" i="1"/>
  <c r="J23" i="5" s="1"/>
  <c r="L38" i="1"/>
  <c r="J22" i="5" s="1"/>
  <c r="L37" i="1"/>
  <c r="J21" i="5" s="1"/>
  <c r="L36" i="1"/>
  <c r="J20" i="5" s="1"/>
  <c r="L35" i="1"/>
  <c r="J19" i="5" s="1"/>
  <c r="L34" i="1"/>
  <c r="J18" i="5" s="1"/>
  <c r="L33" i="1"/>
  <c r="J17" i="5" s="1"/>
  <c r="L32" i="1"/>
  <c r="J16" i="5" s="1"/>
  <c r="L31" i="1"/>
  <c r="J15" i="5" s="1"/>
  <c r="L30" i="1"/>
  <c r="J14" i="5" s="1"/>
  <c r="L29" i="1"/>
  <c r="J13" i="5" s="1"/>
  <c r="L28" i="1"/>
  <c r="J12" i="5" s="1"/>
  <c r="L27" i="1"/>
  <c r="J11" i="5" s="1"/>
  <c r="L26" i="1"/>
  <c r="J10" i="5" s="1"/>
  <c r="O25" i="1"/>
  <c r="F25" i="1"/>
  <c r="E25" i="1"/>
  <c r="B25" i="1"/>
  <c r="F18" i="1"/>
  <c r="S13" i="1"/>
  <c r="R13" i="1"/>
  <c r="P13" i="1"/>
  <c r="K13" i="1"/>
  <c r="K14" i="11" s="1"/>
  <c r="F13" i="1"/>
  <c r="H14" i="11" s="1"/>
  <c r="C13" i="1"/>
  <c r="B13" i="1"/>
  <c r="A13" i="1"/>
  <c r="S12" i="1"/>
  <c r="K12" i="1"/>
  <c r="K13" i="11" s="1"/>
  <c r="F12" i="1"/>
  <c r="H13" i="11" s="1"/>
  <c r="C12" i="1"/>
  <c r="B12" i="1"/>
  <c r="A12" i="1"/>
  <c r="S11" i="1"/>
  <c r="P11" i="1"/>
  <c r="K11" i="1"/>
  <c r="K12" i="11" s="1"/>
  <c r="F11" i="1"/>
  <c r="H12" i="11" s="1"/>
  <c r="C11" i="1"/>
  <c r="B11" i="1"/>
  <c r="A11" i="1"/>
  <c r="F5" i="1"/>
  <c r="E5" i="1"/>
  <c r="B3" i="1"/>
  <c r="B2" i="1"/>
  <c r="B1" i="1"/>
  <c r="G13" i="6" l="1"/>
  <c r="D36" i="10"/>
  <c r="AI13" i="13"/>
  <c r="AI14" i="13" s="1"/>
  <c r="AI15" i="13" s="1"/>
  <c r="AI16" i="13" s="1"/>
  <c r="K21" i="5"/>
  <c r="G37" i="1"/>
  <c r="G54" i="1"/>
  <c r="K38" i="5"/>
  <c r="G38" i="1"/>
  <c r="K22" i="5"/>
  <c r="G55" i="1"/>
  <c r="K39" i="5"/>
  <c r="G42" i="1"/>
  <c r="K26" i="5"/>
  <c r="G39" i="1"/>
  <c r="K23" i="5"/>
  <c r="K27" i="5"/>
  <c r="G43" i="1"/>
  <c r="K40" i="5"/>
  <c r="G56" i="1"/>
  <c r="K41" i="5"/>
  <c r="G57" i="1"/>
  <c r="K10" i="5"/>
  <c r="G26" i="1"/>
  <c r="K12" i="5"/>
  <c r="G28" i="1"/>
  <c r="G44" i="1"/>
  <c r="K28" i="5"/>
  <c r="K25" i="5"/>
  <c r="G41" i="1"/>
  <c r="K13" i="5"/>
  <c r="G29" i="1"/>
  <c r="G45" i="1"/>
  <c r="K29" i="5"/>
  <c r="K11" i="5"/>
  <c r="G27" i="1"/>
  <c r="K14" i="5"/>
  <c r="G30" i="1"/>
  <c r="G46" i="1"/>
  <c r="K30" i="5"/>
  <c r="K15" i="5"/>
  <c r="G31" i="1"/>
  <c r="K31" i="5"/>
  <c r="G47" i="1"/>
  <c r="K16" i="5"/>
  <c r="G32" i="1"/>
  <c r="G48" i="1"/>
  <c r="K32" i="5"/>
  <c r="G33" i="1"/>
  <c r="K17" i="5"/>
  <c r="K34" i="5"/>
  <c r="G50" i="1"/>
  <c r="K18" i="5"/>
  <c r="G34" i="1"/>
  <c r="K35" i="5"/>
  <c r="G51" i="1"/>
  <c r="K24" i="5"/>
  <c r="G40" i="1"/>
  <c r="G35" i="1"/>
  <c r="K19" i="5"/>
  <c r="K36" i="5"/>
  <c r="G52" i="1"/>
  <c r="K33" i="5"/>
  <c r="G49" i="1"/>
  <c r="G36" i="1"/>
  <c r="K20" i="5"/>
  <c r="G53" i="1"/>
  <c r="K37" i="5"/>
  <c r="H18" i="7"/>
  <c r="H17" i="7"/>
  <c r="F12" i="7"/>
  <c r="H12" i="7" s="1"/>
  <c r="F10" i="7"/>
  <c r="H10" i="7" s="1"/>
  <c r="F11" i="8"/>
  <c r="G11" i="8" s="1"/>
  <c r="F11" i="10"/>
  <c r="G11" i="10" s="1"/>
  <c r="L69" i="1"/>
  <c r="G75" i="1"/>
  <c r="F12" i="8"/>
  <c r="G12" i="8" s="1"/>
  <c r="F13" i="9"/>
  <c r="G13" i="9" s="1"/>
  <c r="G11" i="13"/>
  <c r="G12" i="13" s="1"/>
  <c r="G13" i="13" s="1"/>
  <c r="G14" i="13" s="1"/>
  <c r="G15" i="13" s="1"/>
  <c r="G16" i="13" s="1"/>
  <c r="G17" i="13" s="1"/>
  <c r="G18" i="13" s="1"/>
  <c r="G19" i="13" s="1"/>
  <c r="G20" i="13" s="1"/>
  <c r="G21" i="13" s="1"/>
  <c r="G22" i="13" s="1"/>
  <c r="G23" i="13" s="1"/>
  <c r="D59" i="3" s="1"/>
  <c r="M59" i="3" s="1"/>
  <c r="F72" i="3" s="1"/>
  <c r="D36" i="9"/>
  <c r="C44" i="4"/>
  <c r="U11" i="13"/>
  <c r="U12" i="13" s="1"/>
  <c r="U13" i="13" s="1"/>
  <c r="U14" i="13" s="1"/>
  <c r="U15" i="13" s="1"/>
  <c r="U16" i="13" s="1"/>
  <c r="U17" i="13" s="1"/>
  <c r="U18" i="13" s="1"/>
  <c r="U19" i="13" s="1"/>
  <c r="U20" i="13" s="1"/>
  <c r="U21" i="13" s="1"/>
  <c r="U22" i="13" s="1"/>
  <c r="U23" i="13" s="1"/>
  <c r="D61" i="3" s="1"/>
  <c r="M61" i="3" s="1"/>
  <c r="M9" i="3"/>
  <c r="H7" i="12" s="1"/>
  <c r="H8" i="12" s="1"/>
  <c r="B11" i="8"/>
  <c r="F12" i="9"/>
  <c r="G12" i="9" s="1"/>
  <c r="M7" i="3"/>
  <c r="F7" i="12" s="1"/>
  <c r="Q15" i="11"/>
  <c r="C23" i="4"/>
  <c r="F53" i="4"/>
  <c r="G53" i="4" s="1"/>
  <c r="F51" i="4"/>
  <c r="G51" i="4" s="1"/>
  <c r="F13" i="8"/>
  <c r="G13" i="8" s="1"/>
  <c r="F11" i="7"/>
  <c r="H11" i="7" s="1"/>
  <c r="D36" i="8"/>
  <c r="A44" i="9"/>
  <c r="F12" i="10"/>
  <c r="AB11" i="13"/>
  <c r="AB12" i="13" s="1"/>
  <c r="AB13" i="13" s="1"/>
  <c r="AB14" i="13" s="1"/>
  <c r="AB15" i="13" s="1"/>
  <c r="AB16" i="13" s="1"/>
  <c r="AB17" i="13" s="1"/>
  <c r="AB18" i="13" s="1"/>
  <c r="AB19" i="13" s="1"/>
  <c r="AB20" i="13" s="1"/>
  <c r="AB21" i="13" s="1"/>
  <c r="AB22" i="13" s="1"/>
  <c r="AB23" i="13" s="1"/>
  <c r="D62" i="3" s="1"/>
  <c r="M62" i="3" s="1"/>
  <c r="L8" i="3"/>
  <c r="M8" i="3" s="1"/>
  <c r="G7" i="12" s="1"/>
  <c r="G8" i="12" s="1"/>
  <c r="D43" i="8"/>
  <c r="B11" i="9"/>
  <c r="D43" i="10"/>
  <c r="L25" i="1"/>
  <c r="L66" i="1"/>
  <c r="H15" i="11"/>
  <c r="L68" i="1"/>
  <c r="L71" i="1"/>
  <c r="D15" i="11"/>
  <c r="K15" i="11"/>
  <c r="F11" i="9"/>
  <c r="F22" i="9" s="1"/>
  <c r="D43" i="9"/>
  <c r="F13" i="10"/>
  <c r="G13" i="10" s="1"/>
  <c r="N15" i="11"/>
  <c r="N11" i="13"/>
  <c r="N12" i="13" s="1"/>
  <c r="N13" i="13" s="1"/>
  <c r="N14" i="13" s="1"/>
  <c r="N15" i="13" s="1"/>
  <c r="N16" i="13" s="1"/>
  <c r="N17" i="13" s="1"/>
  <c r="N18" i="13" s="1"/>
  <c r="N19" i="13" s="1"/>
  <c r="N20" i="13" s="1"/>
  <c r="N21" i="13" s="1"/>
  <c r="N22" i="13" s="1"/>
  <c r="N23" i="13" s="1"/>
  <c r="D60" i="3" s="1"/>
  <c r="M60" i="3" s="1"/>
  <c r="AI17" i="13"/>
  <c r="AI18" i="13" s="1"/>
  <c r="AI19" i="13" s="1"/>
  <c r="AI20" i="13" s="1"/>
  <c r="AI21" i="13" s="1"/>
  <c r="AI22" i="13" s="1"/>
  <c r="AI23" i="13" s="1"/>
  <c r="D63" i="3" s="1"/>
  <c r="M63" i="3" s="1"/>
  <c r="F9" i="7"/>
  <c r="H9" i="7" s="1"/>
  <c r="L67" i="1"/>
  <c r="L70" i="1"/>
  <c r="H13" i="12"/>
  <c r="G23" i="10"/>
  <c r="H23" i="10"/>
  <c r="H29" i="10" s="1"/>
  <c r="H30" i="10" s="1"/>
  <c r="H50" i="4"/>
  <c r="C18" i="4"/>
  <c r="E9" i="12" s="1"/>
  <c r="A45" i="10"/>
  <c r="A44" i="10"/>
  <c r="B11" i="10"/>
  <c r="J12" i="8"/>
  <c r="J14" i="8" s="1"/>
  <c r="A44" i="8"/>
  <c r="F52" i="4"/>
  <c r="A6" i="8"/>
  <c r="A6" i="10"/>
  <c r="C23" i="9"/>
  <c r="F23" i="9" s="1"/>
  <c r="E20" i="12"/>
  <c r="A6" i="9"/>
  <c r="C23" i="8"/>
  <c r="F23" i="8" s="1"/>
  <c r="G11" i="9" l="1"/>
  <c r="H51" i="4"/>
  <c r="I53" i="1"/>
  <c r="H53" i="1"/>
  <c r="I43" i="1"/>
  <c r="H43" i="1"/>
  <c r="I49" i="1"/>
  <c r="H49" i="1"/>
  <c r="H27" i="1"/>
  <c r="I27" i="1"/>
  <c r="I36" i="1"/>
  <c r="H36" i="1"/>
  <c r="I39" i="1"/>
  <c r="H39" i="1"/>
  <c r="I41" i="1"/>
  <c r="H41" i="1"/>
  <c r="I42" i="1"/>
  <c r="H42" i="1"/>
  <c r="I56" i="1"/>
  <c r="H56" i="1"/>
  <c r="I45" i="1"/>
  <c r="H45" i="1"/>
  <c r="H32" i="1"/>
  <c r="I32" i="1"/>
  <c r="I47" i="1"/>
  <c r="H47" i="1"/>
  <c r="I50" i="1"/>
  <c r="H50" i="1"/>
  <c r="I33" i="1"/>
  <c r="H33" i="1"/>
  <c r="I29" i="1"/>
  <c r="H29" i="1"/>
  <c r="I48" i="1"/>
  <c r="H48" i="1"/>
  <c r="I52" i="1"/>
  <c r="H52" i="1"/>
  <c r="I35" i="1"/>
  <c r="H35" i="1"/>
  <c r="I44" i="1"/>
  <c r="H44" i="1"/>
  <c r="I55" i="1"/>
  <c r="H55" i="1"/>
  <c r="H40" i="1"/>
  <c r="I40" i="1"/>
  <c r="I31" i="1"/>
  <c r="H31" i="1"/>
  <c r="I28" i="1"/>
  <c r="H28" i="1"/>
  <c r="H38" i="1"/>
  <c r="I38" i="1"/>
  <c r="I26" i="1"/>
  <c r="H26" i="1"/>
  <c r="I46" i="1"/>
  <c r="H46" i="1"/>
  <c r="I54" i="1"/>
  <c r="H54" i="1"/>
  <c r="I34" i="1"/>
  <c r="H34" i="1"/>
  <c r="I30" i="1"/>
  <c r="H30" i="1"/>
  <c r="H57" i="1"/>
  <c r="I57" i="1"/>
  <c r="I37" i="1"/>
  <c r="H37" i="1"/>
  <c r="H51" i="1"/>
  <c r="I51" i="1"/>
  <c r="H19" i="7"/>
  <c r="H20" i="7" s="1"/>
  <c r="F14" i="9"/>
  <c r="F22" i="10"/>
  <c r="H14" i="12" s="1"/>
  <c r="H16" i="12" s="1"/>
  <c r="H30" i="12" s="1"/>
  <c r="F22" i="8"/>
  <c r="G22" i="8" s="1"/>
  <c r="H13" i="7"/>
  <c r="H14" i="7" s="1"/>
  <c r="G25" i="1"/>
  <c r="H25" i="1" s="1"/>
  <c r="H58" i="1" s="1"/>
  <c r="J9" i="5"/>
  <c r="K9" i="5" s="1"/>
  <c r="G71" i="1"/>
  <c r="H71" i="1" s="1"/>
  <c r="J53" i="5"/>
  <c r="K53" i="5" s="1"/>
  <c r="G66" i="1"/>
  <c r="I66" i="1" s="1"/>
  <c r="J48" i="5"/>
  <c r="K48" i="5" s="1"/>
  <c r="G70" i="1"/>
  <c r="H70" i="1" s="1"/>
  <c r="J52" i="5"/>
  <c r="K52" i="5" s="1"/>
  <c r="G67" i="1"/>
  <c r="H67" i="1" s="1"/>
  <c r="J49" i="5"/>
  <c r="K49" i="5" s="1"/>
  <c r="G68" i="1"/>
  <c r="H68" i="1" s="1"/>
  <c r="J50" i="5"/>
  <c r="K50" i="5" s="1"/>
  <c r="G69" i="1"/>
  <c r="J51" i="5"/>
  <c r="K51" i="5" s="1"/>
  <c r="J12" i="9"/>
  <c r="J14" i="9" s="1"/>
  <c r="F14" i="10"/>
  <c r="G72" i="3"/>
  <c r="H72" i="3" s="1"/>
  <c r="I72" i="3" s="1"/>
  <c r="J72" i="3" s="1"/>
  <c r="F14" i="8"/>
  <c r="G14" i="8"/>
  <c r="G14" i="9"/>
  <c r="F19" i="10"/>
  <c r="H53" i="4"/>
  <c r="G9" i="12"/>
  <c r="G10" i="12" s="1"/>
  <c r="G11" i="12" s="1"/>
  <c r="G29" i="12" s="1"/>
  <c r="E10" i="12"/>
  <c r="H9" i="12"/>
  <c r="H10" i="12" s="1"/>
  <c r="H11" i="12" s="1"/>
  <c r="H29" i="12" s="1"/>
  <c r="G12" i="10"/>
  <c r="G14" i="10" s="1"/>
  <c r="M10" i="3"/>
  <c r="J12" i="10"/>
  <c r="J14" i="10" s="1"/>
  <c r="G23" i="9"/>
  <c r="H23" i="9"/>
  <c r="H29" i="9" s="1"/>
  <c r="H30" i="9" s="1"/>
  <c r="G13" i="12"/>
  <c r="F13" i="12"/>
  <c r="G23" i="8"/>
  <c r="H23" i="8"/>
  <c r="H29" i="8" s="1"/>
  <c r="H30" i="8" s="1"/>
  <c r="H52" i="4"/>
  <c r="G52" i="4"/>
  <c r="G54" i="4" s="1"/>
  <c r="G55" i="4" s="1"/>
  <c r="Q8" i="3"/>
  <c r="F28" i="9" s="1"/>
  <c r="G28" i="9" s="1"/>
  <c r="Q7" i="3"/>
  <c r="F28" i="8" s="1"/>
  <c r="G28" i="8" s="1"/>
  <c r="F8" i="12"/>
  <c r="F9" i="12"/>
  <c r="C51" i="4"/>
  <c r="C24" i="4"/>
  <c r="C25" i="4" s="1"/>
  <c r="C52" i="4" s="1"/>
  <c r="C35" i="4"/>
  <c r="C37" i="4" s="1"/>
  <c r="C54" i="4" s="1"/>
  <c r="C45" i="4"/>
  <c r="C46" i="4" s="1"/>
  <c r="C55" i="4" s="1"/>
  <c r="C28" i="4"/>
  <c r="C29" i="4" s="1"/>
  <c r="C53" i="4" s="1"/>
  <c r="H49" i="4"/>
  <c r="H33" i="10"/>
  <c r="F54" i="4"/>
  <c r="F55" i="4" s="1"/>
  <c r="G22" i="9"/>
  <c r="I22" i="9"/>
  <c r="I29" i="9" s="1"/>
  <c r="I30" i="9" s="1"/>
  <c r="G14" i="12"/>
  <c r="I22" i="10" l="1"/>
  <c r="I29" i="10" s="1"/>
  <c r="I30" i="10" s="1"/>
  <c r="I33" i="10" s="1"/>
  <c r="H59" i="1"/>
  <c r="H60" i="1" s="1"/>
  <c r="N8" i="3"/>
  <c r="F19" i="9" s="1"/>
  <c r="G19" i="9" s="1"/>
  <c r="G29" i="9" s="1"/>
  <c r="G22" i="10"/>
  <c r="F14" i="12"/>
  <c r="I22" i="8"/>
  <c r="I29" i="8" s="1"/>
  <c r="I30" i="8" s="1"/>
  <c r="I33" i="8" s="1"/>
  <c r="I34" i="8" s="1"/>
  <c r="I35" i="8" s="1"/>
  <c r="I36" i="8" s="1"/>
  <c r="I37" i="8" s="1"/>
  <c r="I44" i="8" s="1"/>
  <c r="I45" i="8" s="1"/>
  <c r="H66" i="1"/>
  <c r="F16" i="12"/>
  <c r="F30" i="12" s="1"/>
  <c r="N7" i="3"/>
  <c r="F19" i="8" s="1"/>
  <c r="G19" i="8" s="1"/>
  <c r="G29" i="8" s="1"/>
  <c r="I68" i="1"/>
  <c r="I67" i="1"/>
  <c r="H69" i="1"/>
  <c r="H72" i="1" s="1"/>
  <c r="H73" i="1" s="1"/>
  <c r="H74" i="1" s="1"/>
  <c r="I69" i="1"/>
  <c r="I70" i="1"/>
  <c r="K54" i="5"/>
  <c r="P8" i="3" s="1"/>
  <c r="F27" i="9" s="1"/>
  <c r="I71" i="1"/>
  <c r="I25" i="1"/>
  <c r="K42" i="5"/>
  <c r="H31" i="12"/>
  <c r="H18" i="12" s="1"/>
  <c r="I34" i="10"/>
  <c r="I35" i="10" s="1"/>
  <c r="I36" i="10" s="1"/>
  <c r="I37" i="10" s="1"/>
  <c r="I44" i="10" s="1"/>
  <c r="I45" i="10" s="1"/>
  <c r="H54" i="4"/>
  <c r="H55" i="4" s="1"/>
  <c r="H57" i="4" s="1"/>
  <c r="H59" i="4" s="1"/>
  <c r="G19" i="10"/>
  <c r="G29" i="10" s="1"/>
  <c r="F29" i="10"/>
  <c r="G16" i="12"/>
  <c r="G30" i="12" s="1"/>
  <c r="G31" i="12" s="1"/>
  <c r="G18" i="12" s="1"/>
  <c r="F10" i="12"/>
  <c r="F11" i="12" s="1"/>
  <c r="F29" i="12" s="1"/>
  <c r="H33" i="8"/>
  <c r="H34" i="8" s="1"/>
  <c r="H35" i="8" s="1"/>
  <c r="I33" i="9"/>
  <c r="I34" i="9" s="1"/>
  <c r="I35" i="9" s="1"/>
  <c r="H33" i="9"/>
  <c r="H34" i="9" s="1"/>
  <c r="H35" i="9" s="1"/>
  <c r="H34" i="10"/>
  <c r="H35" i="10" s="1"/>
  <c r="H36" i="10" s="1"/>
  <c r="H37" i="10" s="1"/>
  <c r="H44" i="10" s="1"/>
  <c r="H45" i="10" s="1"/>
  <c r="C57" i="4"/>
  <c r="O8" i="3" l="1"/>
  <c r="R12" i="1" s="1"/>
  <c r="W16" i="11"/>
  <c r="F31" i="12"/>
  <c r="F18" i="12" s="1"/>
  <c r="O7" i="3"/>
  <c r="R11" i="1" s="1"/>
  <c r="T12" i="1"/>
  <c r="T13" i="1"/>
  <c r="W13" i="1" s="1"/>
  <c r="T11" i="1"/>
  <c r="F19" i="12"/>
  <c r="G14" i="11"/>
  <c r="I14" i="11" s="1"/>
  <c r="I41" i="10"/>
  <c r="I40" i="10"/>
  <c r="I39" i="10"/>
  <c r="I42" i="10"/>
  <c r="G19" i="12"/>
  <c r="G20" i="12" s="1"/>
  <c r="H36" i="9"/>
  <c r="H37" i="9" s="1"/>
  <c r="H44" i="9" s="1"/>
  <c r="H45" i="9" s="1"/>
  <c r="H76" i="1"/>
  <c r="H75" i="1" s="1"/>
  <c r="E15" i="10"/>
  <c r="E15" i="8"/>
  <c r="G19" i="3"/>
  <c r="E15" i="9"/>
  <c r="I41" i="8"/>
  <c r="I40" i="8"/>
  <c r="I39" i="8"/>
  <c r="G12" i="11"/>
  <c r="I12" i="11" s="1"/>
  <c r="I42" i="8"/>
  <c r="H41" i="10"/>
  <c r="P14" i="11"/>
  <c r="R14" i="11" s="1"/>
  <c r="H40" i="10"/>
  <c r="H39" i="10"/>
  <c r="H42" i="10"/>
  <c r="H19" i="12"/>
  <c r="H20" i="12" s="1"/>
  <c r="I36" i="9"/>
  <c r="I37" i="9" s="1"/>
  <c r="I44" i="9" s="1"/>
  <c r="I45" i="9" s="1"/>
  <c r="H36" i="8"/>
  <c r="H37" i="8" s="1"/>
  <c r="H44" i="8" s="1"/>
  <c r="H45" i="8" s="1"/>
  <c r="P12" i="11" s="1"/>
  <c r="H62" i="1" l="1"/>
  <c r="H61" i="1" s="1"/>
  <c r="F26" i="8"/>
  <c r="F29" i="8" s="1"/>
  <c r="F26" i="9"/>
  <c r="F29" i="9" s="1"/>
  <c r="H43" i="10"/>
  <c r="F20" i="12"/>
  <c r="F25" i="12" s="1"/>
  <c r="F32" i="12" s="1"/>
  <c r="F33" i="12" s="1"/>
  <c r="H25" i="12"/>
  <c r="H32" i="12" s="1"/>
  <c r="H33" i="12" s="1"/>
  <c r="H21" i="12" s="1"/>
  <c r="R14" i="1"/>
  <c r="H39" i="9"/>
  <c r="P13" i="11"/>
  <c r="R13" i="11" s="1"/>
  <c r="H42" i="9"/>
  <c r="H41" i="9"/>
  <c r="H40" i="9"/>
  <c r="W11" i="1"/>
  <c r="W14" i="1" s="1"/>
  <c r="T14" i="1"/>
  <c r="I43" i="10"/>
  <c r="I43" i="8"/>
  <c r="F15" i="10"/>
  <c r="J15" i="10"/>
  <c r="J16" i="10" s="1"/>
  <c r="J30" i="10" s="1"/>
  <c r="F15" i="8"/>
  <c r="J15" i="8"/>
  <c r="J16" i="8" s="1"/>
  <c r="J30" i="8" s="1"/>
  <c r="R12" i="11"/>
  <c r="H41" i="8"/>
  <c r="H40" i="8"/>
  <c r="H39" i="8"/>
  <c r="H42" i="8"/>
  <c r="G25" i="12"/>
  <c r="G32" i="12" s="1"/>
  <c r="G33" i="12" s="1"/>
  <c r="I40" i="9"/>
  <c r="G13" i="11"/>
  <c r="I13" i="11" s="1"/>
  <c r="I15" i="11" s="1"/>
  <c r="H14" i="1" s="1"/>
  <c r="I39" i="9"/>
  <c r="I42" i="9"/>
  <c r="I41" i="9"/>
  <c r="F15" i="9"/>
  <c r="J15" i="9"/>
  <c r="J16" i="9" s="1"/>
  <c r="J30" i="9" s="1"/>
  <c r="H23" i="12" l="1"/>
  <c r="H24" i="12"/>
  <c r="F22" i="12"/>
  <c r="F21" i="12"/>
  <c r="F23" i="12"/>
  <c r="F24" i="12"/>
  <c r="M12" i="11"/>
  <c r="H22" i="12"/>
  <c r="M14" i="11"/>
  <c r="O14" i="11" s="1"/>
  <c r="R15" i="11"/>
  <c r="M14" i="1" s="1"/>
  <c r="G15" i="10"/>
  <c r="G16" i="10" s="1"/>
  <c r="G30" i="10" s="1"/>
  <c r="F16" i="10"/>
  <c r="F30" i="10" s="1"/>
  <c r="H43" i="8"/>
  <c r="H43" i="9"/>
  <c r="G15" i="8"/>
  <c r="G16" i="8" s="1"/>
  <c r="G30" i="8" s="1"/>
  <c r="F16" i="8"/>
  <c r="F30" i="8" s="1"/>
  <c r="J33" i="8"/>
  <c r="G15" i="9"/>
  <c r="G16" i="9" s="1"/>
  <c r="G30" i="9" s="1"/>
  <c r="F16" i="9"/>
  <c r="F30" i="9" s="1"/>
  <c r="J33" i="9"/>
  <c r="G21" i="12"/>
  <c r="M13" i="11"/>
  <c r="O13" i="11" s="1"/>
  <c r="G22" i="12"/>
  <c r="G23" i="12"/>
  <c r="G24" i="12"/>
  <c r="J33" i="10"/>
  <c r="J34" i="10" s="1"/>
  <c r="J35" i="10" s="1"/>
  <c r="I43" i="9"/>
  <c r="M15" i="11" l="1"/>
  <c r="O12" i="11"/>
  <c r="O15" i="11" s="1"/>
  <c r="L14" i="1" s="1"/>
  <c r="F33" i="8"/>
  <c r="F34" i="8" s="1"/>
  <c r="F35" i="8" s="1"/>
  <c r="G33" i="10"/>
  <c r="G34" i="10" s="1"/>
  <c r="G35" i="10" s="1"/>
  <c r="G33" i="9"/>
  <c r="F33" i="10"/>
  <c r="F34" i="10" s="1"/>
  <c r="F35" i="10" s="1"/>
  <c r="F33" i="9"/>
  <c r="F34" i="9" s="1"/>
  <c r="F35" i="9" s="1"/>
  <c r="J34" i="8"/>
  <c r="J35" i="8" s="1"/>
  <c r="J36" i="8" s="1"/>
  <c r="J37" i="8" s="1"/>
  <c r="J44" i="8" s="1"/>
  <c r="J45" i="8" s="1"/>
  <c r="G33" i="8"/>
  <c r="G34" i="8" s="1"/>
  <c r="G35" i="8" s="1"/>
  <c r="J34" i="9"/>
  <c r="J35" i="9" s="1"/>
  <c r="J36" i="9" s="1"/>
  <c r="J37" i="9" s="1"/>
  <c r="J44" i="9" s="1"/>
  <c r="J45" i="9" s="1"/>
  <c r="J36" i="10"/>
  <c r="J37" i="10" s="1"/>
  <c r="J44" i="10" s="1"/>
  <c r="J45" i="10" s="1"/>
  <c r="J42" i="10" l="1"/>
  <c r="J41" i="10"/>
  <c r="J40" i="10"/>
  <c r="J39" i="10"/>
  <c r="J42" i="8"/>
  <c r="J41" i="8"/>
  <c r="J40" i="8"/>
  <c r="J46" i="8"/>
  <c r="T13" i="11" s="1"/>
  <c r="J39" i="8"/>
  <c r="J40" i="9"/>
  <c r="J39" i="9"/>
  <c r="J42" i="9"/>
  <c r="J41" i="9"/>
  <c r="F36" i="8"/>
  <c r="F37" i="8" s="1"/>
  <c r="F44" i="8" s="1"/>
  <c r="F45" i="8" s="1"/>
  <c r="G36" i="8"/>
  <c r="G37" i="8" s="1"/>
  <c r="G44" i="8" s="1"/>
  <c r="G45" i="8" s="1"/>
  <c r="F36" i="10"/>
  <c r="F37" i="10" s="1"/>
  <c r="F44" i="10" s="1"/>
  <c r="F45" i="10" s="1"/>
  <c r="G36" i="10"/>
  <c r="G37" i="10" s="1"/>
  <c r="G44" i="10" s="1"/>
  <c r="G45" i="10" s="1"/>
  <c r="F36" i="9"/>
  <c r="F37" i="9" s="1"/>
  <c r="F44" i="9" s="1"/>
  <c r="F45" i="9" s="1"/>
  <c r="G34" i="9"/>
  <c r="G35" i="9" s="1"/>
  <c r="G36" i="9" s="1"/>
  <c r="G37" i="9" s="1"/>
  <c r="G44" i="9" s="1"/>
  <c r="G45" i="9" s="1"/>
  <c r="J43" i="8" l="1"/>
  <c r="G39" i="9"/>
  <c r="G46" i="9"/>
  <c r="G42" i="9"/>
  <c r="G41" i="9"/>
  <c r="J13" i="11"/>
  <c r="L13" i="11" s="1"/>
  <c r="S13" i="11" s="1"/>
  <c r="O12" i="1" s="1"/>
  <c r="G40" i="9"/>
  <c r="F40" i="10"/>
  <c r="F39" i="10"/>
  <c r="F46" i="10"/>
  <c r="F42" i="10"/>
  <c r="E14" i="11"/>
  <c r="F14" i="11" s="1"/>
  <c r="F41" i="10"/>
  <c r="G40" i="10"/>
  <c r="J14" i="11"/>
  <c r="L14" i="11" s="1"/>
  <c r="S14" i="11" s="1"/>
  <c r="O13" i="1" s="1"/>
  <c r="G39" i="10"/>
  <c r="G46" i="10"/>
  <c r="G42" i="10"/>
  <c r="G41" i="10"/>
  <c r="E13" i="11"/>
  <c r="F13" i="11" s="1"/>
  <c r="F46" i="9"/>
  <c r="F42" i="9"/>
  <c r="F41" i="9"/>
  <c r="F40" i="9"/>
  <c r="F39" i="9"/>
  <c r="F40" i="8"/>
  <c r="F39" i="8"/>
  <c r="F46" i="8"/>
  <c r="F42" i="8"/>
  <c r="E12" i="11"/>
  <c r="F12" i="11" s="1"/>
  <c r="F41" i="8"/>
  <c r="G40" i="8"/>
  <c r="J12" i="11"/>
  <c r="G39" i="8"/>
  <c r="G46" i="8"/>
  <c r="G42" i="8"/>
  <c r="G41" i="8"/>
  <c r="A19" i="11"/>
  <c r="V13" i="11"/>
  <c r="J43" i="9"/>
  <c r="J43" i="10"/>
  <c r="W13" i="11" l="1"/>
  <c r="Q12" i="1" s="1"/>
  <c r="W14" i="11"/>
  <c r="Q13" i="1" s="1"/>
  <c r="V13" i="1" s="1"/>
  <c r="G43" i="8"/>
  <c r="G43" i="9"/>
  <c r="F15" i="11"/>
  <c r="P12" i="1"/>
  <c r="V15" i="11"/>
  <c r="J15" i="11"/>
  <c r="L12" i="11"/>
  <c r="F43" i="8"/>
  <c r="G43" i="10"/>
  <c r="F43" i="9"/>
  <c r="F43" i="10"/>
  <c r="N14" i="1" l="1"/>
  <c r="P14" i="1"/>
  <c r="L15" i="11"/>
  <c r="K14" i="1" s="1"/>
  <c r="O14" i="1" s="1"/>
  <c r="S12" i="11"/>
  <c r="O11" i="1" l="1"/>
  <c r="S15" i="11"/>
  <c r="W12" i="11"/>
  <c r="Q11" i="1" l="1"/>
  <c r="W15" i="11"/>
  <c r="W17" i="11" s="1"/>
  <c r="Q14" i="1" l="1"/>
  <c r="V11" i="1"/>
  <c r="V14" i="1" s="1"/>
</calcChain>
</file>

<file path=xl/sharedStrings.xml><?xml version="1.0" encoding="utf-8"?>
<sst xmlns="http://schemas.openxmlformats.org/spreadsheetml/2006/main" count="1075" uniqueCount="641">
  <si>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</si>
  <si>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</si>
  <si>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</si>
  <si>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</si>
  <si>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</si>
  <si>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</si>
  <si>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</si>
  <si>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</si>
  <si>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</si>
  <si>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</si>
  <si>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</si>
  <si>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</si>
  <si>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</si>
  <si>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</si>
  <si>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</si>
  <si>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</si>
  <si>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</si>
  <si>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</si>
  <si>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</si>
  <si>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</si>
  <si>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</si>
  <si>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</si>
  <si>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</si>
  <si>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</si>
  <si>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</si>
  <si>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</si>
  <si>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</si>
  <si>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</si>
  <si>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</si>
  <si>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</si>
  <si>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</si>
  <si>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</si>
  <si>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</si>
  <si>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</si>
  <si>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</si>
  <si>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</si>
  <si>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</si>
  <si>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</si>
  <si>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</si>
  <si>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</si>
  <si>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</si>
  <si>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</si>
  <si>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</si>
  <si>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</si>
  <si>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</si>
  <si>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</si>
  <si>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</si>
  <si>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</si>
  <si>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</si>
  <si>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</si>
  <si>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</si>
  <si>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</si>
  <si>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</si>
  <si>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</si>
  <si>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</si>
  <si>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</si>
  <si>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</si>
  <si>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</si>
  <si>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</si>
  <si>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</si>
  <si>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</si>
  <si>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</si>
  <si>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</si>
  <si>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</si>
  <si>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</si>
  <si>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</si>
  <si>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</si>
  <si>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</si>
  <si>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</si>
  <si>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</si>
  <si>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</si>
  <si>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</si>
  <si>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</si>
  <si>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</si>
  <si>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</si>
  <si>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</si>
  <si>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</si>
  <si>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</si>
  <si>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</si>
  <si>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</si>
  <si>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</si>
  <si>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</si>
  <si>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</si>
  <si>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</si>
  <si>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</si>
  <si>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</si>
  <si>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</si>
  <si>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</si>
  <si>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</si>
  <si>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</si>
  <si>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</si>
  <si>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</si>
  <si>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Viçosa</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</si>
  <si>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</si>
  <si>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</si>
  <si>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</si>
  <si>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</si>
  <si>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</si>
  <si>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</si>
  <si>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</si>
  <si>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e copa);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</si>
  <si>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</si>
  <si>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</si>
  <si>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</si>
  <si>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</si>
  <si>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</si>
  <si>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</si>
  <si>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</si>
  <si>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"I8":"I9").</t>
  </si>
  <si>
    <t xml:space="preserve"> - Informar o salário base para cálculo da atividade acumulada. (Célula "K8":"K9").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</si>
  <si>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</si>
  <si>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</si>
  <si>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</si>
  <si>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</si>
  <si>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</si>
  <si>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</si>
  <si>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</si>
  <si>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</si>
  <si>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</si>
  <si>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</si>
  <si>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</si>
  <si>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</si>
  <si>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</si>
  <si>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</si>
  <si>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</si>
  <si>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</si>
  <si>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</si>
  <si>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</si>
  <si>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</si>
  <si>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"G54").</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</si>
  <si>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</si>
  <si>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</si>
  <si>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</si>
  <si>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</si>
  <si>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</si>
  <si>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</si>
  <si>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</si>
  <si>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</si>
  <si>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</si>
  <si>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Materiais de Limpeza (Células "F9:F42")</t>
  </si>
  <si>
    <t xml:space="preserve"> - Materiais de Copa (Células "F49:F55")</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</si>
  <si>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</si>
  <si>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</si>
  <si>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</si>
  <si>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</si>
  <si>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</si>
  <si>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</si>
  <si>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</si>
  <si>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</si>
  <si>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</si>
  <si>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</si>
  <si>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</si>
  <si>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</si>
  <si>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</si>
  <si>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</si>
  <si>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</si>
  <si>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</si>
  <si>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</si>
  <si>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</si>
  <si>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</si>
  <si>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</si>
  <si>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</si>
  <si>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</si>
  <si>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</si>
  <si>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</si>
  <si>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</si>
  <si>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</si>
  <si>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</si>
  <si>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</si>
  <si>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</si>
  <si>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</si>
  <si>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</si>
  <si>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</si>
  <si>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</si>
  <si>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</si>
  <si>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</si>
  <si>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</si>
  <si>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</si>
  <si>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</si>
  <si>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</si>
  <si>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</si>
  <si>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</si>
  <si>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Depreciação Rateada
(R$)</t>
  </si>
  <si>
    <t>CÓDIGO DE ELEMENTO DE DESPESA
(CONTROLE DA CONTRATANTE)</t>
  </si>
  <si>
    <t>RATEIO
INSUMOS</t>
  </si>
  <si>
    <t>333903702</t>
  </si>
  <si>
    <t>Servente de Limpeza 40% Insalubridade</t>
  </si>
  <si>
    <t>333903701</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</si>
  <si>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</si>
  <si>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</si>
  <si>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</si>
  <si>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</si>
  <si>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</si>
  <si>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</si>
  <si>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</si>
  <si>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SINSERTH x SINTAPPI</t>
  </si>
  <si>
    <t>Informar o sindicato utilizado pela Licitante.</t>
  </si>
  <si>
    <t>Número de registro da CCT - Código MTE</t>
  </si>
  <si>
    <t>MG002103/2024</t>
  </si>
  <si>
    <t>Vigência da CCT utilizada</t>
  </si>
  <si>
    <t>2024/2025</t>
  </si>
  <si>
    <t>Data base da categoria</t>
  </si>
  <si>
    <t>01° de Abril</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</si>
  <si>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</si>
  <si>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</si>
  <si>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</si>
  <si>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</si>
  <si>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</si>
  <si>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</si>
  <si>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</si>
  <si>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</si>
  <si>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</si>
  <si>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</si>
  <si>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</si>
  <si>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</si>
  <si>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</si>
  <si>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</si>
  <si>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</si>
  <si>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</si>
  <si>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</si>
  <si>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</si>
  <si>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</si>
  <si>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</si>
  <si>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</si>
  <si>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</si>
  <si>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</si>
  <si>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</si>
  <si>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</si>
  <si>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</si>
  <si>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</si>
  <si>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</si>
  <si>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</si>
  <si>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</si>
  <si>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</si>
  <si>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</si>
  <si>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</si>
  <si>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</si>
  <si>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</si>
  <si>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</si>
  <si>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</si>
  <si>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</si>
  <si>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</si>
  <si>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</si>
  <si>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</si>
  <si>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</si>
  <si>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</si>
  <si>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</si>
  <si>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</si>
  <si>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</si>
  <si>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</si>
  <si>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</si>
  <si>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</si>
  <si>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</si>
  <si>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</si>
  <si>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</si>
  <si>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</si>
  <si>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</si>
  <si>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</si>
  <si>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</si>
  <si>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</si>
  <si>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</si>
  <si>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</si>
  <si>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</si>
  <si>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</si>
  <si>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</si>
  <si>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</si>
  <si>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</si>
  <si>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</si>
  <si>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</si>
  <si>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</si>
  <si>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</si>
  <si>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</si>
  <si>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</si>
  <si>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</si>
  <si>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</si>
  <si>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</si>
  <si>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</si>
  <si>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</si>
  <si>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</si>
  <si>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</si>
  <si>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</si>
  <si>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</si>
  <si>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</si>
  <si>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</si>
  <si>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</si>
  <si>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</si>
  <si>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</si>
  <si>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</si>
  <si>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</si>
  <si>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</si>
  <si>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</si>
  <si>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</si>
  <si>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</si>
  <si>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</si>
  <si>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</si>
  <si>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</si>
  <si>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</si>
  <si>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</si>
  <si>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</si>
  <si>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</si>
  <si>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</si>
  <si>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</si>
  <si>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</si>
  <si>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</si>
  <si>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</si>
  <si>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</si>
  <si>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</si>
  <si>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</si>
  <si>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</si>
  <si>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</si>
  <si>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</si>
  <si>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</si>
  <si>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</si>
  <si>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</si>
  <si>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</si>
  <si>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</si>
  <si>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</si>
  <si>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</si>
  <si>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</si>
  <si>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</si>
  <si>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</si>
  <si>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</si>
  <si>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</si>
  <si>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</si>
  <si>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</si>
  <si>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</si>
  <si>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</si>
  <si>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</si>
  <si>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</si>
  <si>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</si>
  <si>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</si>
  <si>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</si>
  <si>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</si>
  <si>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</si>
  <si>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</si>
  <si>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</si>
  <si>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</si>
  <si>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</si>
  <si>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</si>
  <si>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</si>
  <si>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</si>
  <si>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</si>
  <si>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</si>
  <si>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</si>
  <si>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</si>
  <si>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</si>
  <si>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</si>
  <si>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</si>
  <si>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</si>
  <si>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</si>
  <si>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</si>
  <si>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</si>
  <si>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</si>
  <si>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</si>
  <si>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</si>
  <si>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</si>
  <si>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</si>
  <si>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</si>
  <si>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</si>
  <si>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</si>
  <si>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</si>
  <si>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</si>
  <si>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</si>
  <si>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</si>
  <si>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</si>
  <si>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</si>
  <si>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</si>
  <si>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</si>
  <si>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</si>
  <si>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</si>
  <si>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</si>
  <si>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</si>
  <si>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</si>
  <si>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</si>
  <si>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</si>
  <si>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</si>
  <si>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</si>
  <si>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</si>
  <si>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</si>
  <si>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</si>
  <si>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</si>
  <si>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</si>
  <si>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</si>
  <si>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</si>
  <si>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</si>
  <si>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</si>
  <si>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</si>
  <si>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</si>
  <si>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</si>
  <si>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</si>
  <si>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</si>
  <si>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</si>
  <si>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</si>
  <si>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</si>
  <si>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</si>
  <si>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339037-02</t>
  </si>
  <si>
    <t>339037-01</t>
  </si>
  <si>
    <t xml:space="preserve">TOTAL DO FATURAMENTO MENSAL </t>
  </si>
  <si>
    <t>Valor para Lance - Registro de oferta</t>
  </si>
  <si>
    <t>VALOR DO MATERIAL</t>
  </si>
  <si>
    <t>TOTAL DO FATURAMENTO ANUAL</t>
  </si>
  <si>
    <t>PLANILHA CUSTO ESTIMATIVO DE MATERIAIS DE LIMPEZA</t>
  </si>
  <si>
    <t>INSTRUÇÕES DE PREENCHIMENTO - Informar/Alterar somente as células destacadas na Cor Amarela, de acordo com o valor unitário da Licitante.</t>
  </si>
  <si>
    <t>DESCRIÇÃO DO MATERIAL</t>
  </si>
  <si>
    <t>Quantidade</t>
  </si>
  <si>
    <t xml:space="preserve"> Preço Unitário</t>
  </si>
  <si>
    <t>OBSERVAÇÕES</t>
  </si>
  <si>
    <t>REFERÊNCIA</t>
  </si>
  <si>
    <t>VALORES UNITÁRIOS DO CONTRATO, CORRIGIDOS PELO REAJUSTE DE IPCA.
(SUBSTITUIR/IGUALAR MANUALMENTE OS PREÇOS UNITÁRIOS DA COLUNA "R" NA PLANILHA DE MATERIAIS - QUANDO HOUVER PLANIHA INICIAL DO CONTRATO)</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</si>
  <si>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</si>
  <si>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</si>
  <si>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</si>
  <si>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</si>
  <si>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</si>
  <si>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Etílico Limpeza De Ambientes - Álcool Etílico Limpeza De Ambientes Tipo: Hidratado , Aplicação: Produto Limpeza Doméstica , Características Adicionais: Incolor , Concentração: 46% - Litro</t>
  </si>
  <si>
    <t>Facilita</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</si>
  <si>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</si>
  <si>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</si>
  <si>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unid.</t>
  </si>
  <si>
    <t>Anual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</si>
  <si>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</si>
  <si>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</si>
  <si>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</si>
  <si>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</si>
  <si>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</si>
  <si>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</si>
  <si>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Detergente clorado - detergente clorado para limpeza e desinfeção de pisos, paredes e superfies fixas em geral. composi: hidrido de sio, surfactant e n iico, alcalinizante e veulo. 05 Litros</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</si>
  <si>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</si>
  <si>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</si>
  <si>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</si>
  <si>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</si>
  <si>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</si>
  <si>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</si>
  <si>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</si>
  <si>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</si>
  <si>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</si>
  <si>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Esponja de LÃ DE AÇO, composição básica: aço carbono abrasivo, p/ limpeza em geral, acondicionada em embalagem plástica original do fabricante, peso líquido aproximado de 60g, pacote c/ 08 unidades</t>
  </si>
  <si>
    <t>Bombril</t>
  </si>
  <si>
    <t>Limpa vidro 500ml (Veja ou similar)</t>
  </si>
  <si>
    <t>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</si>
  <si>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</si>
  <si>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</si>
  <si>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</si>
  <si>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</si>
  <si>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Pá p/ lixo em plástico resistente c/ cabo de madeira de 60cm de altura na vertical.</t>
  </si>
  <si>
    <t>Pano de copa aberto 100% dimensões mínimas 40x60cm</t>
  </si>
  <si>
    <t>Karsten</t>
  </si>
  <si>
    <t>Papel higiênico branco, folha dupla, de alta qualidade, com dimensões 10cm X 30m, com a marca do fabricante e indicação na embalagem, absorvente e resistente, fardo com 12 rolos de 30 metros. Tipo Neve ou de melhor qualidade.</t>
  </si>
  <si>
    <t>Fardo com 12 rolos</t>
  </si>
  <si>
    <t>Neve</t>
  </si>
  <si>
    <t>Papel Toalha Interfolhado, 2 dobras, 100% fibras celulósicas, branco extra luxo, sem pintas ou outros tipos de sujidades, boa qualidade , medindo aproximadamente 23cm x 23 cm , acondicionado em caixa c/1000 folhas.</t>
  </si>
  <si>
    <t>Economy (Jofel) ou similar</t>
  </si>
  <si>
    <t>Pedra sanitária c/ 25g - com suporte para fixar no vaso sanitário. Desinfetante sanitário em pedra 25 g</t>
  </si>
  <si>
    <t>Harpic, Pato</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</si>
  <si>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</si>
  <si>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</si>
  <si>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</si>
  <si>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</si>
  <si>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Bimestral</t>
  </si>
  <si>
    <t>Sabão em pó azul granulado, com ação amaciante e alto poder de dissolução, composição química tenso ativo aniônico, coadjuvantes, sinergistas, branqueadores ópticos, enzimas, corante, fragrância e água. Princípio ativo: linear alquil benzeno sulfonato de sódio. embalagem de 1kg</t>
  </si>
  <si>
    <t>cx.</t>
  </si>
  <si>
    <t>Omo ou similar</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</si>
  <si>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</si>
  <si>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</si>
  <si>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</si>
  <si>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</si>
  <si>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 xml:space="preserve">Saco de lixo 20 litros, reforçado, capacidade nominal de 20 litros, cor preta, medindo no minimo 50cm x60cm, com espessura minima de 7,0micras, embalagem contendo 100 unidades. </t>
  </si>
  <si>
    <t>Pacote</t>
  </si>
  <si>
    <t>Polisac</t>
  </si>
  <si>
    <t>Saco plástico reforçado para lixo em polietileno, com capacidade de 100 litros, com estanqueidade suficiente para que não haja vazamento de lixo líquido. com espessura mínima de 10 micra, na cor preta. Pacote com 100 unidades.</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</si>
  <si>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</si>
  <si>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</si>
  <si>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Noviça</t>
  </si>
  <si>
    <t>Escova Sanitária Redonda em plástico Branco contendo 01 escova para vaso sanitário e 01 suporte redondo: Branco Tamanho: 14 x 42 cm</t>
  </si>
  <si>
    <t>Limpamania</t>
  </si>
  <si>
    <t>Rodo limpa vidros com cabo extensor</t>
  </si>
  <si>
    <t>Mangueira para jardim, com 50 metros de extensão, antitorção, com engate de torneira e esguicho</t>
  </si>
  <si>
    <t>Tramontina</t>
  </si>
  <si>
    <t>PLANILHA CUSTO ESTIMATIVO DE MATERIAIS DE COPA</t>
  </si>
  <si>
    <t>Preço Unitário</t>
  </si>
  <si>
    <t>Marca de Referência</t>
  </si>
  <si>
    <t>unidade</t>
  </si>
  <si>
    <t>Scotch-brite</t>
  </si>
  <si>
    <t>Guadarnapo de papel branco, folha simples - 33x30 cm/pct 50 folhas</t>
  </si>
  <si>
    <t>PLANILHA CUSTO ESTIMATIVO DE PREÇOS DE EQUIPAMENTOS</t>
  </si>
  <si>
    <t>Valores em R$</t>
  </si>
  <si>
    <t>Item</t>
  </si>
  <si>
    <t>Especificação</t>
  </si>
  <si>
    <t>Quant.</t>
  </si>
  <si>
    <t>Valor Unitário</t>
  </si>
  <si>
    <t>Valor Total</t>
  </si>
  <si>
    <t>Depreciação 10% ao Ano</t>
  </si>
  <si>
    <t>Repasse Mensal</t>
  </si>
  <si>
    <t xml:space="preserve">RELAÇÃO DE MÁQUINAS E EQUIPAMENTOS SERVENTE </t>
  </si>
  <si>
    <t>Carretel tipo: enrolador mangueira de jardim, Modelo: Móvel Acoplado ao Carrinho , Material Estrutural: Alumínio , Capacidade: 50 Metros De Mangueira ,Componentes Básicos: Engate Rápido E Mangotinho.</t>
  </si>
  <si>
    <t>Lavadora de alta pressão. Pressão mínima 1800 Psi, vazão mínima 400 L/H, monofásica, potência mínima 1900W, mangueira com no mínimo 10 metros</t>
  </si>
  <si>
    <t>Escada extensível de alumínio: 10 degraus, altura fechada: 3,30 M, altura aberta: 5,70. Características adicionais: sapata borracha, capacidade 120 Kg e degrau plano</t>
  </si>
  <si>
    <t>Soma</t>
  </si>
  <si>
    <t>PLANILHA CUSTO ESTIMATIVO DE PREÇOS DOS UNIFORMES</t>
  </si>
  <si>
    <t>Serviços de Limpeza e Conservação</t>
  </si>
  <si>
    <t>CATEGORIA</t>
  </si>
  <si>
    <t>QUANT.</t>
  </si>
  <si>
    <t>DESCRIÇÃO DE UNIFORME</t>
  </si>
  <si>
    <t>CORES</t>
  </si>
  <si>
    <t>TOTAL DO QUANTITATIVO</t>
  </si>
  <si>
    <t>PREÇO UNITÁRIO</t>
  </si>
  <si>
    <t>Fórmula SE, para inclusão após o término do processo licitatório. (INSERIR NA CÉLULA "G9" em diante)</t>
  </si>
  <si>
    <t xml:space="preserve">Servente </t>
  </si>
  <si>
    <t>Calça</t>
  </si>
  <si>
    <t>Cinza ou Azul Marinho</t>
  </si>
  <si>
    <t>Camisa</t>
  </si>
  <si>
    <t>Bege ou Azul</t>
  </si>
  <si>
    <t>TOTAL DE POSTOS</t>
  </si>
  <si>
    <t>Calçado</t>
  </si>
  <si>
    <t>Preto</t>
  </si>
  <si>
    <t>Bota</t>
  </si>
  <si>
    <t xml:space="preserve">CÁLCULO VALOR DO REPASSE MENSAL SERVENTE DE LIMPEZA </t>
  </si>
  <si>
    <t>Acúmulo de Copeira</t>
  </si>
  <si>
    <t>Touca</t>
  </si>
  <si>
    <t>Touca Copeira em tecido tule com lycra com aba
COR: Branco com detalhe azul marinho</t>
  </si>
  <si>
    <t>Branco com Azul</t>
  </si>
  <si>
    <t>Avental</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</si>
  <si>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 COR: Branco</t>
  </si>
  <si>
    <t>Branco</t>
  </si>
  <si>
    <t>CÁLCULO VALOR DO REPASSE MENSAL ACÚMULO COPEIRA</t>
  </si>
  <si>
    <t>Preto ou Azul Marinho</t>
  </si>
  <si>
    <t>Bege, Cinza ou Azul-Marinho</t>
  </si>
  <si>
    <t>Sapato</t>
  </si>
  <si>
    <t>Sapato Social - Sapato preto para uso profissional, modelo social, salto baixo, super confortável, solado antiderrapante. Cor: Preto</t>
  </si>
  <si>
    <t>CÁLCULO VALOR DO REPASSE MENSAL AUXILIAR ADMINISTRATIVO</t>
  </si>
  <si>
    <t>Planilha de Custo e Formação de Preço Mensal Por Categoria Profissional</t>
  </si>
  <si>
    <t>ANEXO X</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</si>
  <si>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</si>
  <si>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</si>
  <si>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</si>
  <si>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</si>
  <si>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</si>
  <si>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</si>
  <si>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</si>
  <si>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</si>
  <si>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</si>
  <si>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</si>
  <si>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</si>
  <si>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</si>
  <si>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</si>
  <si>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</si>
  <si>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</si>
  <si>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</si>
  <si>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</si>
  <si>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</si>
  <si>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</si>
  <si>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</si>
  <si>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</si>
  <si>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</si>
  <si>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</si>
  <si>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</si>
  <si>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</si>
  <si>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</si>
  <si>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</si>
  <si>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</si>
  <si>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</si>
  <si>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</si>
  <si>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</si>
  <si>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</si>
  <si>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</si>
  <si>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</si>
  <si>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</si>
  <si>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</si>
  <si>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33390.37.01 - Serviços Administrativos</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</si>
  <si>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</si>
  <si>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</si>
  <si>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</si>
  <si>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</si>
  <si>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</si>
  <si>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</si>
  <si>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</si>
  <si>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</si>
  <si>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</si>
  <si>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</si>
  <si>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</si>
  <si>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</si>
  <si>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</si>
  <si>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</si>
  <si>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</si>
  <si>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</si>
  <si>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</si>
  <si>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</si>
  <si>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</si>
  <si>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</si>
  <si>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</si>
  <si>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</si>
  <si>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</si>
  <si>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</si>
  <si>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</si>
  <si>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</si>
  <si>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</si>
  <si>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</si>
  <si>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</si>
  <si>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</si>
  <si>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</si>
  <si>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</si>
  <si>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</si>
  <si>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</si>
  <si>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</si>
  <si>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</si>
  <si>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</si>
  <si>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</si>
  <si>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</si>
  <si>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</si>
  <si>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</si>
  <si>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</si>
  <si>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</si>
  <si>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</si>
  <si>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</si>
  <si>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</si>
  <si>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</si>
  <si>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</si>
  <si>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</si>
  <si>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</si>
  <si>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</si>
  <si>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</si>
  <si>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</si>
  <si>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</si>
  <si>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</si>
  <si>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</si>
  <si>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</si>
  <si>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</si>
  <si>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Servente de Limpeza acúmulo de função Copeira</t>
  </si>
  <si>
    <t>Balde plástico, reforçado, com alça, em polipropileno, alta resistência, com capacidade para 20 litros. o produto deverá conter todos os dados de identificação e procedência do produto, o registro nos órgãos competentes, com prazo de validade.</t>
  </si>
  <si>
    <t>Carro Multifuncional Para Limpeza Para Transporte kit: carro funcional, balde doblô 30 litros 2 águas, cabo alumínio 1,40 m, garra euro plástica, refil loop com cinta 320g, placa sinalizadora piso molhado, pá pop e conjunto mop pó 60 cm. Transporte De Produtos Descartáveis, Bolsa Para Coleta De No Mínimo 90 Litros, Com Tampa. Conjunto Balde Duplo De 25 Litros (Aproximadamente) Cada (Removível) 4 Organizadores Para Acessórios Rodízios Fixos E Giratórios</t>
  </si>
  <si>
    <t>Camisa social de escritório malha piquet, gola tipo polo, 100% algodão, abertura com 2 botões, 1 bolso do lado esquerdo, escritório malha piquet, gola tipo polo, 100% algodão, abertura com 2 botões, 1 bolso do lado esquerdo, tamanhos diversos</t>
  </si>
  <si>
    <t>Calça social em tecido Oxford, 33% poliéster - Calça social em tecido Oxford, 67% 67% algodão, 33% poliéster, fechamento a zíper, com 4 bolsos, 2 laterais e 2 traseiros, tamanhos diversos</t>
  </si>
  <si>
    <t>Sapato de Segurança -Botina segurança - Material: Couro, Material Sola: Borracha, Modelo: Com Elástico nas Laterais, Características Adicionais: Biqueira Em Polipropileno, Tamanho: Sob Medida</t>
  </si>
  <si>
    <t>EPI Bota Segurança Material: Pvc - Cloreto De Polivinila , Material Sola: Antiderrapante , Cor: Preta , Tipo Cano: Longo Características Adicionais: Com Forro, Palmilha e Biqueira De Aço.</t>
  </si>
  <si>
    <t>Camiseta Malha reta, gola careca ou redonda para uniforme, tamanhos diversos - Camisa para uniformes.de servente de limpeza: mangas curtas, gola careca ou redonda, tamanhos diversos. Material: malha PA:67% algodão e 33% poliéster, gramatura mínima 180g/m².</t>
  </si>
  <si>
    <t>Calça - material: brim leve misto, 67% poliéster E 33% algodão, modelo: tradicional, aplicação: uniforme, quantidade bolsos: 4, tamanhos diversos. Características adicionais: com elástico na cintura e cordão quantidade bolsos: 4, tamanhos diversos. Características adicionais: com elástico na cintura e cordão
Cor: Preto ou Azul Marinho. </t>
  </si>
  <si>
    <t>DATA DA PROPOSTA</t>
  </si>
  <si>
    <t>Informar data da proposta</t>
  </si>
  <si>
    <t>Informar o número de registro da Convenção Coletiva de Tralbalho vinculante à empresa, junto ao Ministério do Trabalho e Emprego.</t>
  </si>
  <si>
    <t>Informar a vigência da Convenção Coletiva de Trabalho vinculante à empresa</t>
  </si>
  <si>
    <t>Informar a data base da Convenção Coletiva de Trabalho vinculante à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</si>
</sst>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57"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b/>
      <sz val="7"/>
      <name val="Calibri"/>
      <family val="2"/>
      <charset val="1"/>
    </font>
    <font>
      <sz val="10"/>
      <color rgb="FFC00000"/>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2"/>
      <name val="Calibri"/>
      <family val="2"/>
    </font>
    <font>
      <sz val="10"/>
      <color rgb="FF333333"/>
      <name val="Calibri"/>
      <family val="2"/>
    </font>
    <font>
      <sz val="10"/>
      <name val="Calibri"/>
      <family val="2"/>
    </font>
    <font>
      <sz val="10"/>
      <name val="Calibri"/>
      <family val="2"/>
      <scheme val="minor"/>
    </font>
    <font>
      <b/>
      <sz val="10"/>
      <name val="Calibri"/>
      <family val="2"/>
      <scheme val="minor"/>
    </font>
    <font>
      <b/>
      <sz val="12"/>
      <name val="Calibri"/>
      <family val="2"/>
      <scheme val="minor"/>
    </font>
    <font>
      <b/>
      <sz val="11"/>
      <name val="Calibri"/>
      <family val="2"/>
    </font>
    <font>
      <b/>
      <sz val="10"/>
      <color rgb="FF000000"/>
      <name val="Calibri"/>
      <family val="2"/>
    </font>
    <font>
      <b/>
      <sz val="14"/>
      <name val="Calibri"/>
      <family val="2"/>
    </font>
    <font>
      <sz val="11"/>
      <name val="Calibri"/>
      <family val="2"/>
      <scheme val="minor"/>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999999"/>
        <bgColor rgb="FF808080"/>
      </patternFill>
    </fill>
    <fill>
      <patternFill patternType="solid">
        <fgColor rgb="FF00B0F0"/>
        <bgColor rgb="FF33CCCC"/>
      </patternFill>
    </fill>
    <fill>
      <patternFill patternType="solid">
        <fgColor rgb="FF808080"/>
        <bgColor rgb="FF999999"/>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7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s>
  <cellStyleXfs count="31">
    <xf numFmtId="0" fontId="0" fillId="0" borderId="0"/>
    <xf numFmtId="166" fontId="45" fillId="0" borderId="0" applyBorder="0" applyProtection="0"/>
    <xf numFmtId="164" fontId="45" fillId="0" borderId="0" applyBorder="0" applyProtection="0"/>
    <xf numFmtId="9" fontId="45"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5"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165" fontId="1" fillId="0" borderId="0" applyBorder="0" applyProtection="0"/>
    <xf numFmtId="0" fontId="19" fillId="0" borderId="0" applyBorder="0" applyProtection="0"/>
    <xf numFmtId="170" fontId="2" fillId="0" borderId="0" applyBorder="0" applyProtection="0"/>
  </cellStyleXfs>
  <cellXfs count="738">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horizontal="center"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164" fontId="12" fillId="0" borderId="19" xfId="4" applyFont="1" applyBorder="1" applyAlignment="1" applyProtection="1">
      <alignment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4" fontId="12" fillId="0" borderId="19" xfId="2" applyFont="1" applyBorder="1" applyAlignment="1" applyProtection="1">
      <alignment horizontal="center" vertical="center"/>
    </xf>
    <xf numFmtId="164" fontId="10" fillId="5" borderId="23" xfId="4" applyFont="1" applyFill="1" applyBorder="1" applyAlignment="1" applyProtection="1">
      <alignment horizontal="center" vertical="center" wrapText="1"/>
    </xf>
    <xf numFmtId="164" fontId="10" fillId="5" borderId="25"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27" xfId="4"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0" fontId="10" fillId="0" borderId="0" xfId="15" applyFont="1" applyAlignment="1">
      <alignment horizontal="center" vertical="center" wrapText="1"/>
    </xf>
    <xf numFmtId="0" fontId="12" fillId="0" borderId="0" xfId="15" applyFont="1"/>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0" fillId="5" borderId="17"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2" fillId="0" borderId="4" xfId="12" applyFont="1" applyBorder="1" applyAlignment="1">
      <alignment horizontal="center" vertical="center" wrapText="1"/>
    </xf>
    <xf numFmtId="0" fontId="12" fillId="0" borderId="4" xfId="28" applyNumberFormat="1" applyFont="1" applyBorder="1" applyAlignment="1" applyProtection="1">
      <alignment horizontal="center"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9"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9" applyNumberFormat="1" applyFont="1" applyBorder="1" applyAlignment="1" applyProtection="1">
      <alignment horizontal="center" vertical="center" wrapText="1"/>
    </xf>
    <xf numFmtId="0" fontId="12" fillId="0" borderId="4" xfId="29" applyFont="1" applyBorder="1" applyAlignment="1" applyProtection="1">
      <alignment horizontal="center" vertical="center" wrapText="1"/>
    </xf>
    <xf numFmtId="1" fontId="12" fillId="0" borderId="4" xfId="14" applyNumberFormat="1" applyFont="1" applyBorder="1" applyAlignment="1">
      <alignment horizontal="center" vertical="center" wrapText="1"/>
    </xf>
    <xf numFmtId="164" fontId="10" fillId="5" borderId="33"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0" fillId="0" borderId="1" xfId="13" applyFont="1" applyBorder="1"/>
    <xf numFmtId="0" fontId="5" fillId="0" borderId="2" xfId="9" applyFont="1" applyBorder="1" applyAlignment="1">
      <alignment vertical="center"/>
    </xf>
    <xf numFmtId="0" fontId="20"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2" fillId="10" borderId="0" xfId="0" applyFont="1" applyFill="1"/>
    <xf numFmtId="0" fontId="12" fillId="9" borderId="0" xfId="0" applyFont="1" applyFill="1" applyAlignment="1">
      <alignment vertical="center"/>
    </xf>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3"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6" applyNumberFormat="1" applyFont="1" applyFill="1" applyBorder="1" applyAlignment="1" applyProtection="1">
      <alignment horizontal="center" vertical="center"/>
      <protection locked="0"/>
    </xf>
    <xf numFmtId="166" fontId="4" fillId="2" borderId="4" xfId="6" applyNumberFormat="1" applyFont="1" applyFill="1" applyBorder="1" applyAlignment="1" applyProtection="1">
      <alignment horizontal="left" vertical="center"/>
      <protection locked="0"/>
    </xf>
    <xf numFmtId="166" fontId="4" fillId="8" borderId="4" xfId="6" applyNumberFormat="1" applyFont="1" applyFill="1" applyBorder="1" applyAlignment="1">
      <alignment horizontal="center" vertical="center"/>
    </xf>
    <xf numFmtId="10" fontId="4" fillId="12" borderId="4" xfId="6" applyNumberFormat="1" applyFont="1" applyFill="1" applyBorder="1" applyAlignment="1">
      <alignment horizontal="center" vertical="center"/>
    </xf>
    <xf numFmtId="166" fontId="4" fillId="12" borderId="4" xfId="6" applyNumberFormat="1" applyFont="1" applyFill="1" applyBorder="1" applyAlignment="1">
      <alignment horizontal="lef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center" vertical="center"/>
    </xf>
    <xf numFmtId="0" fontId="4" fillId="0" borderId="38" xfId="6" applyFont="1" applyBorder="1" applyAlignment="1">
      <alignment vertical="center"/>
    </xf>
    <xf numFmtId="10" fontId="8" fillId="0" borderId="4" xfId="3" applyNumberFormat="1" applyFont="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39" xfId="6" applyFont="1" applyBorder="1" applyAlignment="1">
      <alignment vertical="center"/>
    </xf>
    <xf numFmtId="166" fontId="4" fillId="0" borderId="21" xfId="1" applyFont="1" applyBorder="1" applyAlignment="1" applyProtection="1">
      <alignment vertical="center"/>
    </xf>
    <xf numFmtId="0" fontId="4" fillId="0" borderId="38"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4"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166" fontId="4" fillId="0" borderId="0" xfId="1" applyFont="1" applyBorder="1" applyProtection="1"/>
    <xf numFmtId="0" fontId="8" fillId="11" borderId="21" xfId="6" applyFont="1" applyFill="1" applyBorder="1" applyAlignment="1">
      <alignment horizontal="center" vertical="center"/>
    </xf>
    <xf numFmtId="0" fontId="8" fillId="11" borderId="18" xfId="6" applyFont="1" applyFill="1" applyBorder="1" applyAlignment="1">
      <alignment vertical="center" wrapText="1"/>
    </xf>
    <xf numFmtId="0" fontId="8" fillId="0" borderId="0" xfId="6" applyFont="1" applyAlignment="1">
      <alignment horizontal="center" vertical="center" wrapText="1"/>
    </xf>
    <xf numFmtId="10" fontId="17" fillId="0" borderId="4" xfId="6" applyNumberFormat="1" applyFont="1" applyBorder="1" applyAlignment="1">
      <alignment horizontal="center" vertical="center"/>
    </xf>
    <xf numFmtId="0" fontId="17" fillId="0" borderId="21" xfId="6" applyFont="1" applyBorder="1" applyAlignment="1">
      <alignment horizontal="center" vertical="center"/>
    </xf>
    <xf numFmtId="0" fontId="17" fillId="0" borderId="4" xfId="6" applyFont="1" applyBorder="1" applyAlignment="1">
      <alignment horizontal="center" vertical="center"/>
    </xf>
    <xf numFmtId="2" fontId="4" fillId="9" borderId="18" xfId="6" applyNumberFormat="1" applyFont="1" applyFill="1" applyBorder="1" applyAlignment="1">
      <alignment vertical="center"/>
    </xf>
    <xf numFmtId="168" fontId="4" fillId="0" borderId="4" xfId="6" applyNumberFormat="1" applyFont="1" applyBorder="1" applyAlignment="1">
      <alignment horizontal="center" vertical="center"/>
    </xf>
    <xf numFmtId="2" fontId="4" fillId="0" borderId="4" xfId="6" applyNumberFormat="1" applyFont="1" applyBorder="1" applyAlignment="1">
      <alignment horizontal="center" vertical="center"/>
    </xf>
    <xf numFmtId="168" fontId="4" fillId="0" borderId="0" xfId="6" applyNumberFormat="1" applyFont="1" applyAlignment="1">
      <alignment horizontal="center" vertical="center"/>
    </xf>
    <xf numFmtId="2" fontId="4" fillId="0" borderId="0" xfId="6" applyNumberFormat="1" applyFont="1" applyAlignment="1">
      <alignment horizontal="center" vertical="center"/>
    </xf>
    <xf numFmtId="0" fontId="4" fillId="0" borderId="0" xfId="6" applyFont="1" applyAlignment="1">
      <alignment horizontal="left"/>
    </xf>
    <xf numFmtId="0" fontId="8" fillId="11" borderId="4" xfId="25" applyNumberFormat="1" applyFont="1" applyFill="1" applyBorder="1" applyAlignment="1" applyProtection="1">
      <alignment horizontal="center" vertical="center" wrapText="1"/>
    </xf>
    <xf numFmtId="0" fontId="25" fillId="11" borderId="4" xfId="25" applyNumberFormat="1" applyFont="1" applyFill="1" applyBorder="1" applyAlignment="1" applyProtection="1">
      <alignment horizontal="center" vertical="center" wrapText="1"/>
    </xf>
    <xf numFmtId="0" fontId="8" fillId="11" borderId="18" xfId="25" applyNumberFormat="1" applyFont="1" applyFill="1" applyBorder="1" applyAlignment="1" applyProtection="1">
      <alignment horizontal="center" vertical="center" wrapText="1"/>
    </xf>
    <xf numFmtId="0" fontId="8" fillId="11" borderId="21" xfId="25" applyNumberFormat="1" applyFont="1" applyFill="1" applyBorder="1" applyAlignment="1" applyProtection="1">
      <alignment horizontal="center" vertical="center" wrapText="1"/>
    </xf>
    <xf numFmtId="164" fontId="17" fillId="0" borderId="4" xfId="4" applyFont="1" applyBorder="1" applyAlignment="1" applyProtection="1">
      <alignment horizontal="center" vertical="center"/>
    </xf>
    <xf numFmtId="164" fontId="4" fillId="0" borderId="4" xfId="4" applyFont="1" applyBorder="1" applyAlignment="1" applyProtection="1">
      <alignment horizontal="center" vertical="center"/>
    </xf>
    <xf numFmtId="164" fontId="4" fillId="0" borderId="18" xfId="4" applyFont="1" applyBorder="1" applyAlignment="1" applyProtection="1">
      <alignment horizontal="center" vertical="center"/>
    </xf>
    <xf numFmtId="164" fontId="4" fillId="0" borderId="21" xfId="4" applyFont="1" applyBorder="1" applyAlignment="1" applyProtection="1">
      <alignment horizontal="center" vertical="center"/>
    </xf>
    <xf numFmtId="0" fontId="4" fillId="0" borderId="41" xfId="6" applyFont="1" applyBorder="1"/>
    <xf numFmtId="0" fontId="4" fillId="0" borderId="13" xfId="6" applyFont="1" applyBorder="1"/>
    <xf numFmtId="0" fontId="4" fillId="0" borderId="38" xfId="6" applyFont="1" applyBorder="1"/>
    <xf numFmtId="0" fontId="5" fillId="0" borderId="1" xfId="0" applyFont="1" applyBorder="1"/>
    <xf numFmtId="0" fontId="5" fillId="0" borderId="2" xfId="0" applyFont="1" applyBorder="1" applyAlignment="1">
      <alignment vertical="center"/>
    </xf>
    <xf numFmtId="0" fontId="5" fillId="0" borderId="43" xfId="0" applyFont="1" applyBorder="1" applyAlignment="1">
      <alignment vertical="center"/>
    </xf>
    <xf numFmtId="0" fontId="5" fillId="0" borderId="3" xfId="0" applyFont="1" applyBorder="1"/>
    <xf numFmtId="0" fontId="5" fillId="0" borderId="44"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2" fillId="14" borderId="19" xfId="3" applyNumberFormat="1" applyFont="1" applyFill="1" applyBorder="1" applyAlignment="1" applyProtection="1">
      <alignment horizontal="center"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5" borderId="17" xfId="5" applyFont="1" applyFill="1" applyBorder="1" applyAlignment="1">
      <alignment horizontal="center" vertical="center" wrapText="1"/>
    </xf>
    <xf numFmtId="0" fontId="12" fillId="15" borderId="4" xfId="5" applyFont="1" applyFill="1" applyBorder="1" applyAlignment="1">
      <alignment horizontal="center" vertical="center" wrapText="1"/>
    </xf>
    <xf numFmtId="0" fontId="11" fillId="15" borderId="19" xfId="5" applyFont="1" applyFill="1" applyBorder="1" applyAlignment="1">
      <alignment horizontal="center" vertical="center" wrapText="1"/>
    </xf>
    <xf numFmtId="10" fontId="12" fillId="15" borderId="4" xfId="5" applyNumberFormat="1" applyFont="1" applyFill="1" applyBorder="1" applyAlignment="1">
      <alignment horizontal="center" vertical="center" wrapText="1"/>
    </xf>
    <xf numFmtId="10" fontId="14" fillId="15"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5" borderId="17" xfId="5" applyFont="1" applyFill="1" applyBorder="1" applyAlignment="1">
      <alignment horizontal="center" vertical="center" wrapText="1"/>
    </xf>
    <xf numFmtId="10" fontId="29" fillId="15" borderId="4" xfId="5" applyNumberFormat="1" applyFont="1" applyFill="1" applyBorder="1" applyAlignment="1">
      <alignment horizontal="center" vertical="center" wrapText="1"/>
    </xf>
    <xf numFmtId="10" fontId="29" fillId="15" borderId="19" xfId="5" applyNumberFormat="1" applyFont="1" applyFill="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19" xfId="5" applyNumberFormat="1" applyFont="1" applyBorder="1" applyAlignment="1">
      <alignment horizontal="center" vertical="center" wrapText="1"/>
    </xf>
    <xf numFmtId="0" fontId="22" fillId="14" borderId="3" xfId="0" applyFont="1" applyFill="1" applyBorder="1" applyAlignment="1">
      <alignment horizontal="left" vertical="center"/>
    </xf>
    <xf numFmtId="0" fontId="22" fillId="14" borderId="0" xfId="0" applyFont="1" applyFill="1"/>
    <xf numFmtId="0" fontId="22" fillId="14" borderId="44" xfId="0" applyFont="1" applyFill="1" applyBorder="1"/>
    <xf numFmtId="0" fontId="29" fillId="15" borderId="22" xfId="5" applyFont="1" applyFill="1" applyBorder="1" applyAlignment="1">
      <alignment horizontal="center" vertical="center" wrapText="1"/>
    </xf>
    <xf numFmtId="10" fontId="29" fillId="15" borderId="28" xfId="5" applyNumberFormat="1" applyFont="1" applyFill="1" applyBorder="1" applyAlignment="1">
      <alignment horizontal="center" vertical="center" wrapText="1"/>
    </xf>
    <xf numFmtId="10" fontId="33" fillId="15" borderId="29" xfId="5" applyNumberFormat="1" applyFont="1" applyFill="1" applyBorder="1" applyAlignment="1">
      <alignment horizontal="center" vertical="center" wrapText="1"/>
    </xf>
    <xf numFmtId="0" fontId="12" fillId="0" borderId="1" xfId="9" applyFont="1" applyBorder="1"/>
    <xf numFmtId="0" fontId="12" fillId="0" borderId="2" xfId="15" applyFont="1" applyBorder="1"/>
    <xf numFmtId="0" fontId="12" fillId="0" borderId="43" xfId="15" applyFont="1" applyBorder="1"/>
    <xf numFmtId="0" fontId="12" fillId="0" borderId="3" xfId="9" applyFont="1" applyBorder="1"/>
    <xf numFmtId="0" fontId="12" fillId="0" borderId="44" xfId="15" applyFont="1" applyBorder="1"/>
    <xf numFmtId="0" fontId="23" fillId="0" borderId="0" xfId="9" applyFont="1" applyAlignment="1">
      <alignment horizontal="center" vertical="center"/>
    </xf>
    <xf numFmtId="0" fontId="4" fillId="0" borderId="0" xfId="15" applyFont="1"/>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29" fillId="11" borderId="4" xfId="15" applyFont="1" applyFill="1" applyBorder="1" applyAlignment="1">
      <alignment horizontal="center" vertical="center" wrapText="1"/>
    </xf>
    <xf numFmtId="0" fontId="10" fillId="16" borderId="12" xfId="15" applyFont="1" applyFill="1" applyBorder="1" applyAlignment="1">
      <alignment horizontal="center" vertical="center" wrapText="1"/>
    </xf>
    <xf numFmtId="0" fontId="10" fillId="16" borderId="13" xfId="15" applyFont="1" applyFill="1" applyBorder="1" applyAlignment="1">
      <alignment horizontal="center" vertical="center" wrapText="1"/>
    </xf>
    <xf numFmtId="0" fontId="11" fillId="5" borderId="17" xfId="25" applyNumberFormat="1" applyFont="1" applyFill="1" applyBorder="1" applyAlignment="1" applyProtection="1">
      <alignment horizontal="center" vertical="center" wrapText="1"/>
    </xf>
    <xf numFmtId="2" fontId="12" fillId="2" borderId="4" xfId="11" applyNumberFormat="1" applyFont="1" applyFill="1" applyBorder="1" applyAlignment="1" applyProtection="1">
      <alignment horizontal="center" vertical="center"/>
      <protection locked="0"/>
    </xf>
    <xf numFmtId="0" fontId="12" fillId="2" borderId="19" xfId="15" applyFont="1" applyFill="1" applyBorder="1" applyAlignment="1" applyProtection="1">
      <alignment vertical="center" wrapText="1"/>
      <protection locked="0"/>
    </xf>
    <xf numFmtId="164" fontId="14" fillId="0" borderId="4" xfId="2" applyFont="1" applyBorder="1" applyAlignment="1" applyProtection="1">
      <alignment horizontal="center" vertical="center"/>
      <protection locked="0"/>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protection locked="0"/>
    </xf>
    <xf numFmtId="165" fontId="10" fillId="11" borderId="29" xfId="15" applyNumberFormat="1" applyFont="1" applyFill="1" applyBorder="1" applyAlignment="1">
      <alignment vertical="center"/>
    </xf>
    <xf numFmtId="0" fontId="12" fillId="0" borderId="3" xfId="15" applyFont="1" applyBorder="1" applyAlignment="1">
      <alignment horizontal="center" vertical="center"/>
    </xf>
    <xf numFmtId="0" fontId="0" fillId="0" borderId="44" xfId="0" applyBorder="1"/>
    <xf numFmtId="0" fontId="10" fillId="0" borderId="3" xfId="15" applyFont="1" applyBorder="1" applyAlignment="1">
      <alignment horizontal="center" vertical="center"/>
    </xf>
    <xf numFmtId="0" fontId="10" fillId="0" borderId="0" xfId="15" applyFont="1" applyAlignment="1">
      <alignment horizontal="center" vertical="center"/>
    </xf>
    <xf numFmtId="0" fontId="10" fillId="0" borderId="44" xfId="15" applyFont="1" applyBorder="1" applyAlignment="1">
      <alignment horizontal="center" vertical="center"/>
    </xf>
    <xf numFmtId="0" fontId="9" fillId="0" borderId="2" xfId="9" applyFont="1" applyBorder="1" applyAlignment="1">
      <alignment horizontal="center"/>
    </xf>
    <xf numFmtId="0" fontId="9" fillId="0" borderId="2" xfId="9" applyFont="1" applyBorder="1"/>
    <xf numFmtId="0" fontId="9" fillId="0" borderId="43" xfId="9" applyFont="1" applyBorder="1"/>
    <xf numFmtId="0" fontId="9" fillId="0" borderId="0" xfId="9" applyFont="1" applyAlignment="1">
      <alignment horizontal="center"/>
    </xf>
    <xf numFmtId="0" fontId="9" fillId="0" borderId="0" xfId="9" applyFont="1"/>
    <xf numFmtId="0" fontId="9" fillId="0" borderId="44" xfId="9" applyFont="1" applyBorder="1"/>
    <xf numFmtId="0" fontId="21" fillId="0" borderId="3" xfId="9" applyFont="1" applyBorder="1" applyAlignment="1">
      <alignment horizontal="center" vertical="center"/>
    </xf>
    <xf numFmtId="0" fontId="21" fillId="0" borderId="0" xfId="9" applyFont="1" applyAlignment="1">
      <alignment horizontal="center" vertical="center"/>
    </xf>
    <xf numFmtId="9" fontId="35" fillId="0" borderId="44"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4" fontId="12" fillId="0" borderId="19" xfId="1" applyNumberFormat="1" applyFont="1" applyBorder="1" applyAlignment="1" applyProtection="1">
      <alignment horizontal="center"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4" fillId="0" borderId="0" xfId="9" applyNumberFormat="1" applyFont="1" applyAlignment="1">
      <alignment horizontal="center"/>
    </xf>
    <xf numFmtId="4" fontId="4" fillId="0" borderId="0" xfId="9" applyNumberFormat="1" applyFont="1" applyAlignment="1">
      <alignment horizontal="center"/>
    </xf>
    <xf numFmtId="0" fontId="0" fillId="0" borderId="0" xfId="0" applyAlignment="1">
      <alignment horizontal="center"/>
    </xf>
    <xf numFmtId="0" fontId="20" fillId="0" borderId="48" xfId="9" applyFont="1" applyBorder="1" applyAlignment="1">
      <alignment horizontal="left" vertical="center"/>
    </xf>
    <xf numFmtId="0" fontId="20" fillId="0" borderId="30" xfId="9" applyFont="1" applyBorder="1" applyAlignment="1">
      <alignment horizontal="left"/>
    </xf>
    <xf numFmtId="1" fontId="20" fillId="0" borderId="30" xfId="9" applyNumberFormat="1" applyFont="1" applyBorder="1" applyAlignment="1">
      <alignment horizontal="center"/>
    </xf>
    <xf numFmtId="0" fontId="20" fillId="0" borderId="30" xfId="9" applyFont="1" applyBorder="1"/>
    <xf numFmtId="0" fontId="4" fillId="0" borderId="30" xfId="9" applyFont="1" applyBorder="1"/>
    <xf numFmtId="1" fontId="4" fillId="0" borderId="30" xfId="9" applyNumberFormat="1" applyFont="1" applyBorder="1" applyAlignment="1">
      <alignment horizontal="center"/>
    </xf>
    <xf numFmtId="2" fontId="4" fillId="0" borderId="30" xfId="9" applyNumberFormat="1" applyFont="1" applyBorder="1" applyAlignment="1">
      <alignment horizontal="center"/>
    </xf>
    <xf numFmtId="0" fontId="20" fillId="0" borderId="3" xfId="9" applyFont="1" applyBorder="1" applyAlignment="1">
      <alignment horizontal="left" vertical="center"/>
    </xf>
    <xf numFmtId="0" fontId="20" fillId="0" borderId="0" xfId="9" applyFont="1" applyAlignment="1">
      <alignment horizontal="left"/>
    </xf>
    <xf numFmtId="1" fontId="20" fillId="0" borderId="0" xfId="9" applyNumberFormat="1" applyFont="1" applyAlignment="1">
      <alignment horizontal="center"/>
    </xf>
    <xf numFmtId="0" fontId="20" fillId="0" borderId="0" xfId="9" applyFont="1"/>
    <xf numFmtId="0" fontId="20" fillId="0" borderId="0" xfId="9" applyFont="1" applyAlignment="1">
      <alignment horizontal="left" vertical="center"/>
    </xf>
    <xf numFmtId="1" fontId="20" fillId="0" borderId="0" xfId="9" applyNumberFormat="1" applyFont="1" applyAlignment="1">
      <alignment horizontal="center" vertical="center"/>
    </xf>
    <xf numFmtId="0" fontId="20" fillId="0" borderId="0" xfId="9" applyFont="1" applyAlignment="1">
      <alignment vertical="center"/>
    </xf>
    <xf numFmtId="0" fontId="4" fillId="0" borderId="0" xfId="9" applyFont="1" applyAlignment="1">
      <alignment vertical="center"/>
    </xf>
    <xf numFmtId="1" fontId="4" fillId="0" borderId="0" xfId="9" applyNumberFormat="1" applyFont="1" applyAlignment="1">
      <alignment horizontal="center" vertical="center"/>
    </xf>
    <xf numFmtId="2" fontId="4" fillId="0" borderId="0" xfId="9" applyNumberFormat="1" applyFont="1" applyAlignment="1">
      <alignment horizontal="center" vertical="center"/>
    </xf>
    <xf numFmtId="0" fontId="4" fillId="0" borderId="35" xfId="9" applyFont="1" applyBorder="1" applyAlignment="1">
      <alignment horizontal="center" vertical="center"/>
    </xf>
    <xf numFmtId="0" fontId="4" fillId="0" borderId="49" xfId="9" applyFont="1" applyBorder="1" applyAlignment="1">
      <alignment horizontal="left" vertical="center"/>
    </xf>
    <xf numFmtId="1" fontId="4" fillId="0" borderId="49" xfId="9" applyNumberFormat="1" applyFont="1" applyBorder="1" applyAlignment="1">
      <alignment horizontal="center" vertical="center"/>
    </xf>
    <xf numFmtId="2" fontId="4" fillId="0" borderId="49" xfId="9" applyNumberFormat="1" applyFont="1" applyBorder="1" applyAlignment="1">
      <alignment horizontal="center" vertical="center"/>
    </xf>
    <xf numFmtId="4" fontId="4" fillId="0" borderId="50" xfId="9" applyNumberFormat="1" applyFont="1" applyBorder="1" applyAlignment="1">
      <alignment horizontal="center" vertical="center"/>
    </xf>
    <xf numFmtId="0" fontId="10" fillId="0" borderId="17" xfId="9" applyFont="1" applyBorder="1" applyAlignment="1">
      <alignment horizontal="center" vertical="center"/>
    </xf>
    <xf numFmtId="0" fontId="34" fillId="0" borderId="4" xfId="9" applyFont="1" applyBorder="1" applyAlignment="1">
      <alignment horizontal="center" vertical="center"/>
    </xf>
    <xf numFmtId="1" fontId="34" fillId="0" borderId="4" xfId="9" applyNumberFormat="1" applyFont="1" applyBorder="1" applyAlignment="1">
      <alignment horizontal="center" vertical="center"/>
    </xf>
    <xf numFmtId="0" fontId="10" fillId="0" borderId="4" xfId="9" applyFont="1" applyBorder="1" applyAlignment="1">
      <alignment horizontal="center" vertical="center"/>
    </xf>
    <xf numFmtId="1" fontId="37" fillId="0" borderId="4" xfId="9" applyNumberFormat="1" applyFont="1" applyBorder="1" applyAlignment="1">
      <alignment horizontal="center" vertical="center" wrapText="1"/>
    </xf>
    <xf numFmtId="2" fontId="10" fillId="0" borderId="4" xfId="9" applyNumberFormat="1" applyFont="1" applyBorder="1" applyAlignment="1">
      <alignment horizontal="center" vertical="center" wrapText="1"/>
    </xf>
    <xf numFmtId="4" fontId="10" fillId="0" borderId="19" xfId="9" applyNumberFormat="1" applyFont="1" applyBorder="1" applyAlignment="1">
      <alignment horizontal="center" vertical="center"/>
    </xf>
    <xf numFmtId="0" fontId="12" fillId="0" borderId="4" xfId="9" applyFont="1" applyBorder="1" applyAlignment="1">
      <alignment horizontal="center" vertical="center"/>
    </xf>
    <xf numFmtId="1" fontId="12" fillId="0" borderId="4" xfId="1" applyNumberFormat="1" applyFont="1" applyBorder="1" applyAlignment="1" applyProtection="1">
      <alignment horizontal="center" vertical="center"/>
    </xf>
    <xf numFmtId="0" fontId="30" fillId="0" borderId="0" xfId="0" applyFont="1" applyAlignment="1">
      <alignment horizontal="left" vertical="center" wrapText="1"/>
    </xf>
    <xf numFmtId="2" fontId="12" fillId="2" borderId="4" xfId="1" applyNumberFormat="1" applyFont="1" applyFill="1" applyBorder="1" applyAlignment="1" applyProtection="1">
      <alignment horizontal="center" vertical="center"/>
      <protection locked="0"/>
    </xf>
    <xf numFmtId="164" fontId="38" fillId="0" borderId="4" xfId="4" applyFont="1" applyBorder="1" applyAlignment="1" applyProtection="1">
      <alignment horizontal="center" vertical="center"/>
    </xf>
    <xf numFmtId="0" fontId="12" fillId="0" borderId="17" xfId="9" applyFont="1" applyBorder="1" applyAlignment="1">
      <alignment horizontal="center" vertical="center" wrapText="1"/>
    </xf>
    <xf numFmtId="0" fontId="12" fillId="0" borderId="21" xfId="9" applyFont="1" applyBorder="1" applyAlignment="1">
      <alignment horizontal="center" vertical="center"/>
    </xf>
    <xf numFmtId="0" fontId="12" fillId="8" borderId="4" xfId="29" applyFont="1" applyFill="1" applyBorder="1" applyAlignment="1" applyProtection="1">
      <alignment horizontal="left" vertical="center" wrapText="1"/>
    </xf>
    <xf numFmtId="2" fontId="21" fillId="11" borderId="52" xfId="9" applyNumberFormat="1" applyFont="1" applyFill="1" applyBorder="1" applyAlignment="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2" fontId="12" fillId="0" borderId="0" xfId="1" applyNumberFormat="1" applyFont="1" applyBorder="1" applyAlignment="1" applyProtection="1">
      <alignment horizontal="center" vertical="center"/>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3" xfId="9" applyNumberFormat="1" applyFont="1" applyBorder="1" applyAlignment="1">
      <alignment horizontal="center"/>
    </xf>
    <xf numFmtId="0" fontId="5" fillId="0" borderId="3" xfId="9" applyFont="1" applyBorder="1" applyAlignment="1">
      <alignment vertical="center"/>
    </xf>
    <xf numFmtId="0" fontId="12" fillId="0" borderId="0" xfId="9" applyFont="1" applyAlignment="1">
      <alignment vertical="center"/>
    </xf>
    <xf numFmtId="4" fontId="12" fillId="0" borderId="0" xfId="9" applyNumberFormat="1" applyFont="1" applyAlignment="1">
      <alignment horizontal="center" vertical="center"/>
    </xf>
    <xf numFmtId="4" fontId="12" fillId="0" borderId="44" xfId="9" applyNumberFormat="1" applyFont="1" applyBorder="1" applyAlignment="1">
      <alignment horizontal="center"/>
    </xf>
    <xf numFmtId="0" fontId="13" fillId="0" borderId="3" xfId="9" applyFont="1" applyBorder="1"/>
    <xf numFmtId="0" fontId="13" fillId="0" borderId="0" xfId="9" applyFont="1"/>
    <xf numFmtId="0" fontId="12" fillId="11" borderId="52"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5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2" xfId="9" applyFont="1" applyBorder="1" applyAlignment="1" applyProtection="1">
      <alignment vertical="center" wrapText="1"/>
      <protection locked="0"/>
    </xf>
    <xf numFmtId="10" fontId="12" fillId="0" borderId="42" xfId="9" applyNumberFormat="1" applyFont="1" applyBorder="1" applyAlignment="1" applyProtection="1">
      <alignment horizontal="center" vertical="center" wrapText="1"/>
      <protection locked="0"/>
    </xf>
    <xf numFmtId="4" fontId="12" fillId="11" borderId="42" xfId="22" applyNumberFormat="1" applyFont="1" applyFill="1" applyBorder="1" applyAlignment="1" applyProtection="1">
      <alignment horizontal="center" vertical="center"/>
    </xf>
    <xf numFmtId="4" fontId="12" fillId="0" borderId="42" xfId="22" applyNumberFormat="1" applyFont="1" applyBorder="1" applyAlignment="1" applyProtection="1">
      <alignment horizontal="center" vertical="center"/>
    </xf>
    <xf numFmtId="4" fontId="12" fillId="0" borderId="55"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2" xfId="1" applyNumberFormat="1" applyFont="1" applyBorder="1" applyAlignment="1" applyProtection="1">
      <alignment horizontal="center" vertical="center"/>
    </xf>
    <xf numFmtId="2" fontId="12" fillId="0" borderId="42"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5" xfId="9" applyFont="1" applyBorder="1" applyAlignment="1">
      <alignment vertical="center"/>
    </xf>
    <xf numFmtId="0" fontId="12" fillId="0" borderId="49" xfId="9" applyFont="1" applyBorder="1" applyAlignment="1">
      <alignment vertical="center"/>
    </xf>
    <xf numFmtId="10" fontId="12" fillId="0" borderId="4" xfId="9" applyNumberFormat="1" applyFont="1" applyBorder="1" applyAlignment="1">
      <alignment horizontal="center" vertical="center"/>
    </xf>
    <xf numFmtId="4" fontId="12" fillId="0" borderId="49" xfId="9" applyNumberFormat="1" applyFont="1" applyBorder="1" applyAlignment="1">
      <alignment vertical="center"/>
    </xf>
    <xf numFmtId="0" fontId="12" fillId="0" borderId="48" xfId="9" applyFont="1" applyBorder="1" applyAlignment="1">
      <alignment vertical="center"/>
    </xf>
    <xf numFmtId="0" fontId="12" fillId="0" borderId="30" xfId="9" applyFont="1" applyBorder="1" applyAlignment="1">
      <alignment vertical="center"/>
    </xf>
    <xf numFmtId="10" fontId="12" fillId="0" borderId="42" xfId="9" applyNumberFormat="1" applyFont="1" applyBorder="1" applyAlignment="1">
      <alignment horizontal="center" vertical="center"/>
    </xf>
    <xf numFmtId="4" fontId="12" fillId="0" borderId="30" xfId="9" applyNumberFormat="1" applyFont="1" applyBorder="1" applyAlignment="1">
      <alignment vertical="center"/>
    </xf>
    <xf numFmtId="0" fontId="10" fillId="11" borderId="57" xfId="9" applyFont="1" applyFill="1" applyBorder="1" applyAlignment="1">
      <alignment vertical="center"/>
    </xf>
    <xf numFmtId="0" fontId="10" fillId="11" borderId="58"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59" xfId="22" applyNumberFormat="1" applyFont="1" applyFill="1" applyBorder="1" applyAlignment="1" applyProtection="1">
      <alignment horizontal="center" vertical="center"/>
    </xf>
    <xf numFmtId="4" fontId="10" fillId="11" borderId="25"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2" xfId="9" applyNumberFormat="1" applyFont="1" applyFill="1" applyBorder="1" applyAlignment="1">
      <alignment horizontal="center" vertical="center"/>
    </xf>
    <xf numFmtId="4" fontId="10" fillId="11" borderId="42"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61" xfId="22" applyNumberFormat="1" applyFont="1" applyFill="1" applyBorder="1" applyAlignment="1" applyProtection="1">
      <alignment horizontal="center" vertical="center"/>
    </xf>
    <xf numFmtId="4" fontId="21" fillId="11" borderId="4" xfId="22" applyNumberFormat="1" applyFont="1" applyFill="1" applyBorder="1" applyAlignment="1" applyProtection="1">
      <alignment horizontal="center" vertical="center"/>
    </xf>
    <xf numFmtId="4" fontId="21" fillId="11" borderId="19" xfId="22" applyNumberFormat="1" applyFont="1" applyFill="1" applyBorder="1" applyAlignment="1" applyProtection="1">
      <alignment horizontal="center" vertical="center"/>
    </xf>
    <xf numFmtId="166" fontId="12" fillId="0" borderId="0" xfId="9" applyNumberFormat="1" applyFont="1"/>
    <xf numFmtId="2" fontId="21" fillId="11" borderId="28" xfId="17" applyNumberFormat="1" applyFont="1" applyFill="1" applyBorder="1" applyAlignment="1" applyProtection="1">
      <alignment horizontal="center" vertical="center"/>
    </xf>
    <xf numFmtId="164" fontId="10" fillId="13" borderId="29"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5" fillId="0" borderId="2" xfId="0" applyFont="1" applyBorder="1"/>
    <xf numFmtId="0" fontId="12" fillId="0" borderId="2" xfId="0" applyFont="1" applyBorder="1"/>
    <xf numFmtId="0" fontId="4" fillId="0" borderId="2" xfId="6" applyFont="1" applyBorder="1"/>
    <xf numFmtId="0" fontId="4" fillId="0" borderId="43" xfId="6" applyFont="1" applyBorder="1"/>
    <xf numFmtId="0" fontId="4" fillId="0" borderId="3" xfId="6" applyFont="1" applyBorder="1"/>
    <xf numFmtId="0" fontId="4" fillId="0" borderId="44" xfId="6" applyFont="1" applyBorder="1"/>
    <xf numFmtId="0" fontId="39" fillId="0" borderId="0" xfId="6" applyFont="1" applyAlignment="1">
      <alignment vertical="center"/>
    </xf>
    <xf numFmtId="0" fontId="9" fillId="11" borderId="57" xfId="6" applyFont="1" applyFill="1" applyBorder="1" applyAlignment="1">
      <alignment vertical="center"/>
    </xf>
    <xf numFmtId="0" fontId="40" fillId="11" borderId="58" xfId="6" applyFont="1" applyFill="1" applyBorder="1" applyAlignment="1">
      <alignment vertical="center" wrapText="1"/>
    </xf>
    <xf numFmtId="0" fontId="23" fillId="11" borderId="58" xfId="6" applyFont="1" applyFill="1" applyBorder="1" applyAlignment="1">
      <alignment vertical="center"/>
    </xf>
    <xf numFmtId="0" fontId="21" fillId="11" borderId="58" xfId="6" applyFont="1" applyFill="1" applyBorder="1" applyAlignment="1">
      <alignment vertical="center"/>
    </xf>
    <xf numFmtId="0" fontId="9" fillId="11" borderId="58"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9" xfId="6" applyFont="1" applyFill="1" applyBorder="1" applyAlignment="1">
      <alignment horizontal="center" vertical="center" wrapText="1"/>
    </xf>
    <xf numFmtId="0" fontId="13" fillId="11" borderId="66"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1" xfId="6" applyNumberFormat="1" applyFont="1" applyBorder="1" applyAlignment="1">
      <alignment horizontal="center" vertical="center"/>
    </xf>
    <xf numFmtId="166" fontId="8" fillId="0" borderId="32" xfId="1" applyFont="1" applyBorder="1" applyAlignment="1" applyProtection="1">
      <alignment horizontal="center" vertical="center"/>
    </xf>
    <xf numFmtId="166" fontId="8" fillId="0" borderId="33" xfId="1" applyFont="1" applyBorder="1" applyAlignment="1" applyProtection="1">
      <alignment horizontal="center" vertical="center"/>
    </xf>
    <xf numFmtId="4" fontId="4" fillId="0" borderId="40"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8" xfId="1" applyFont="1" applyBorder="1" applyAlignment="1" applyProtection="1">
      <alignment horizontal="center" vertical="center"/>
    </xf>
    <xf numFmtId="166" fontId="4" fillId="18" borderId="11" xfId="1" applyFont="1" applyFill="1" applyBorder="1" applyAlignment="1" applyProtection="1">
      <alignment horizontal="center" vertical="center"/>
    </xf>
    <xf numFmtId="166" fontId="4" fillId="18" borderId="4" xfId="1" applyFont="1" applyFill="1" applyBorder="1" applyAlignment="1" applyProtection="1">
      <alignment horizontal="center" vertical="center"/>
    </xf>
    <xf numFmtId="166" fontId="4" fillId="18" borderId="19" xfId="1" applyFont="1" applyFill="1" applyBorder="1" applyAlignment="1" applyProtection="1">
      <alignment horizontal="center" vertical="center"/>
    </xf>
    <xf numFmtId="164" fontId="4" fillId="0" borderId="69"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5" xfId="1" applyFont="1" applyBorder="1" applyAlignment="1" applyProtection="1">
      <alignment horizontal="center" vertical="center"/>
    </xf>
    <xf numFmtId="166" fontId="4" fillId="0" borderId="19"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1" fontId="21" fillId="11" borderId="5" xfId="6" applyNumberFormat="1" applyFont="1" applyFill="1" applyBorder="1" applyAlignment="1">
      <alignment horizontal="center" vertical="center"/>
    </xf>
    <xf numFmtId="4" fontId="21" fillId="11" borderId="7" xfId="6" applyNumberFormat="1" applyFont="1" applyFill="1" applyBorder="1" applyAlignment="1">
      <alignment horizontal="center" vertical="center"/>
    </xf>
    <xf numFmtId="4" fontId="21" fillId="11" borderId="6" xfId="6" applyNumberFormat="1" applyFont="1" applyFill="1" applyBorder="1" applyAlignment="1">
      <alignment horizontal="center" vertical="center"/>
    </xf>
    <xf numFmtId="4" fontId="21" fillId="11" borderId="5" xfId="6" applyNumberFormat="1" applyFont="1" applyFill="1" applyBorder="1" applyAlignment="1">
      <alignment horizontal="center" vertical="center"/>
    </xf>
    <xf numFmtId="4" fontId="21" fillId="11" borderId="8" xfId="6" applyNumberFormat="1" applyFont="1" applyFill="1" applyBorder="1" applyAlignment="1">
      <alignment horizontal="center" vertical="center"/>
    </xf>
    <xf numFmtId="166" fontId="21" fillId="11" borderId="10" xfId="1" applyFont="1" applyFill="1" applyBorder="1" applyAlignment="1" applyProtection="1">
      <alignment horizontal="center" vertical="center"/>
    </xf>
    <xf numFmtId="4" fontId="21" fillId="11" borderId="10" xfId="6" applyNumberFormat="1" applyFont="1" applyFill="1" applyBorder="1" applyAlignment="1">
      <alignment horizontal="center" vertical="center"/>
    </xf>
    <xf numFmtId="166" fontId="21" fillId="11" borderId="57" xfId="1" applyFont="1" applyFill="1" applyBorder="1" applyAlignment="1" applyProtection="1">
      <alignment horizontal="center" vertical="center"/>
    </xf>
    <xf numFmtId="166" fontId="21" fillId="11" borderId="5" xfId="1" applyFont="1" applyFill="1" applyBorder="1" applyAlignment="1" applyProtection="1">
      <alignment horizontal="center" vertical="center"/>
    </xf>
    <xf numFmtId="164" fontId="21" fillId="19" borderId="63"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47" xfId="2" applyFont="1" applyFill="1" applyBorder="1" applyAlignment="1" applyProtection="1">
      <alignment vertical="center"/>
    </xf>
    <xf numFmtId="164" fontId="21"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0" fontId="12" fillId="0" borderId="0" xfId="13" applyFont="1"/>
    <xf numFmtId="0" fontId="41" fillId="0" borderId="0" xfId="13" applyFont="1" applyAlignment="1">
      <alignment vertical="center" wrapText="1"/>
    </xf>
    <xf numFmtId="0" fontId="9" fillId="0" borderId="0" xfId="13" applyFont="1"/>
    <xf numFmtId="49" fontId="42" fillId="8" borderId="10" xfId="13" applyNumberFormat="1" applyFont="1" applyFill="1" applyBorder="1" applyAlignment="1" applyProtection="1">
      <alignment horizontal="center" vertical="center" wrapText="1"/>
      <protection locked="0"/>
    </xf>
    <xf numFmtId="49" fontId="29" fillId="0" borderId="7" xfId="13" applyNumberFormat="1" applyFont="1" applyBorder="1" applyAlignment="1">
      <alignment horizontal="center" vertical="center" wrapText="1"/>
    </xf>
    <xf numFmtId="0" fontId="29" fillId="0" borderId="0" xfId="13" applyFont="1" applyAlignment="1">
      <alignment vertical="center"/>
    </xf>
    <xf numFmtId="0" fontId="31" fillId="8" borderId="3" xfId="13" applyFont="1" applyFill="1" applyBorder="1" applyAlignment="1">
      <alignment horizontal="center" vertical="center"/>
    </xf>
    <xf numFmtId="0" fontId="10" fillId="0" borderId="0" xfId="13" applyFont="1"/>
    <xf numFmtId="0" fontId="43" fillId="20" borderId="5" xfId="13" applyFont="1" applyFill="1" applyBorder="1" applyAlignment="1">
      <alignment horizontal="center" vertical="center"/>
    </xf>
    <xf numFmtId="4" fontId="43" fillId="20" borderId="7"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4" fontId="12" fillId="8" borderId="12" xfId="30" applyNumberFormat="1" applyFont="1" applyFill="1" applyBorder="1" applyAlignment="1" applyProtection="1">
      <alignment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4" fontId="12" fillId="8" borderId="4" xfId="30" applyNumberFormat="1" applyFont="1" applyFill="1" applyBorder="1" applyAlignment="1" applyProtection="1">
      <alignment vertical="center"/>
    </xf>
    <xf numFmtId="10" fontId="31" fillId="0" borderId="4" xfId="13" applyNumberFormat="1" applyFont="1" applyBorder="1" applyAlignment="1">
      <alignment horizontal="center" vertical="center"/>
    </xf>
    <xf numFmtId="4" fontId="10" fillId="8" borderId="4" xfId="30" applyNumberFormat="1" applyFont="1" applyFill="1" applyBorder="1" applyAlignment="1" applyProtection="1">
      <alignment horizontal="right" vertical="center"/>
    </xf>
    <xf numFmtId="0" fontId="31" fillId="11" borderId="17" xfId="13" applyFont="1" applyFill="1" applyBorder="1" applyAlignment="1" applyProtection="1">
      <alignment horizontal="center" vertical="center"/>
      <protection locked="0"/>
    </xf>
    <xf numFmtId="0" fontId="31" fillId="11" borderId="4" xfId="13" applyFont="1" applyFill="1" applyBorder="1" applyAlignment="1" applyProtection="1">
      <alignment vertical="center"/>
      <protection locked="0"/>
    </xf>
    <xf numFmtId="0" fontId="12" fillId="0" borderId="17" xfId="13" applyFont="1" applyBorder="1" applyAlignment="1" applyProtection="1">
      <alignment horizontal="center" vertical="center"/>
      <protection locked="0"/>
    </xf>
    <xf numFmtId="0" fontId="12" fillId="0" borderId="4" xfId="13" applyFont="1" applyBorder="1" applyAlignment="1" applyProtection="1">
      <alignment vertical="center"/>
      <protection locked="0"/>
    </xf>
    <xf numFmtId="4" fontId="12" fillId="0" borderId="4" xfId="13" applyNumberFormat="1" applyFont="1" applyBorder="1" applyAlignment="1" applyProtection="1">
      <alignment vertical="center"/>
      <protection locked="0"/>
    </xf>
    <xf numFmtId="4" fontId="31" fillId="0" borderId="4" xfId="13" applyNumberFormat="1" applyFont="1" applyBorder="1" applyAlignment="1" applyProtection="1">
      <alignment vertical="center"/>
      <protection locked="0"/>
    </xf>
    <xf numFmtId="10" fontId="31" fillId="11" borderId="4" xfId="13" applyNumberFormat="1" applyFont="1" applyFill="1" applyBorder="1" applyAlignment="1">
      <alignment horizontal="center" vertical="center"/>
    </xf>
    <xf numFmtId="10" fontId="12" fillId="0" borderId="4" xfId="13" applyNumberFormat="1" applyFont="1" applyBorder="1" applyAlignment="1" applyProtection="1">
      <alignment vertical="center" wrapText="1"/>
      <protection locked="0"/>
    </xf>
    <xf numFmtId="4" fontId="12" fillId="8" borderId="4" xfId="13" applyNumberFormat="1" applyFont="1" applyFill="1" applyBorder="1" applyAlignment="1">
      <alignment horizontal="right" vertical="center"/>
    </xf>
    <xf numFmtId="0" fontId="31" fillId="0" borderId="17" xfId="13" applyFont="1" applyBorder="1" applyAlignment="1" applyProtection="1">
      <alignment horizontal="center" vertical="center"/>
      <protection locked="0"/>
    </xf>
    <xf numFmtId="10" fontId="31" fillId="0" borderId="4" xfId="13" applyNumberFormat="1" applyFont="1" applyBorder="1" applyAlignment="1" applyProtection="1">
      <alignment vertical="center" wrapText="1"/>
      <protection locked="0"/>
    </xf>
    <xf numFmtId="4" fontId="31" fillId="8" borderId="4" xfId="13" applyNumberFormat="1" applyFont="1" applyFill="1" applyBorder="1" applyAlignment="1" applyProtection="1">
      <alignment horizontal="right" vertical="center"/>
      <protection locked="0"/>
    </xf>
    <xf numFmtId="0" fontId="12" fillId="8" borderId="17" xfId="13" applyFont="1" applyFill="1" applyBorder="1" applyAlignment="1" applyProtection="1">
      <alignment horizontal="center" vertical="center"/>
      <protection locked="0"/>
    </xf>
    <xf numFmtId="0" fontId="31" fillId="0" borderId="46" xfId="13" applyFont="1" applyBorder="1" applyAlignment="1" applyProtection="1">
      <alignment vertical="center"/>
      <protection locked="0"/>
    </xf>
    <xf numFmtId="0" fontId="12" fillId="0" borderId="42" xfId="13" applyFont="1" applyBorder="1" applyAlignment="1" applyProtection="1">
      <alignment vertical="center" wrapText="1"/>
      <protection locked="0"/>
    </xf>
    <xf numFmtId="4" fontId="31" fillId="0" borderId="42" xfId="13" applyNumberFormat="1" applyFont="1" applyBorder="1" applyAlignment="1" applyProtection="1">
      <alignment horizontal="right" vertical="center"/>
      <protection locked="0"/>
    </xf>
    <xf numFmtId="0" fontId="31" fillId="11" borderId="11" xfId="13" applyFont="1" applyFill="1" applyBorder="1" applyAlignment="1">
      <alignment vertical="center"/>
    </xf>
    <xf numFmtId="0" fontId="31" fillId="11" borderId="12" xfId="13" applyFont="1" applyFill="1" applyBorder="1" applyAlignment="1">
      <alignment vertical="center"/>
    </xf>
    <xf numFmtId="0" fontId="12" fillId="0" borderId="4" xfId="13" applyFont="1" applyBorder="1" applyAlignment="1">
      <alignment vertical="center"/>
    </xf>
    <xf numFmtId="4" fontId="30" fillId="8" borderId="4"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0" fontId="12" fillId="0" borderId="46" xfId="13" applyFont="1" applyBorder="1" applyAlignment="1">
      <alignment horizontal="center" vertical="center"/>
    </xf>
    <xf numFmtId="0" fontId="12" fillId="0" borderId="42" xfId="13" applyFont="1" applyBorder="1" applyAlignment="1">
      <alignment vertical="center"/>
    </xf>
    <xf numFmtId="4" fontId="30" fillId="8" borderId="42"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0" fontId="29" fillId="0" borderId="18" xfId="0" applyFont="1" applyBorder="1" applyAlignment="1">
      <alignment horizontal="righ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xf numFmtId="0" fontId="8" fillId="16" borderId="4" xfId="0" applyFont="1" applyFill="1" applyBorder="1" applyAlignment="1">
      <alignment horizontal="center" vertical="center"/>
    </xf>
    <xf numFmtId="0" fontId="20"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0"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4" fillId="8" borderId="4" xfId="16" applyNumberFormat="1" applyFont="1" applyFill="1" applyBorder="1" applyAlignment="1" applyProtection="1">
      <alignment horizontal="center" vertical="center"/>
    </xf>
    <xf numFmtId="0" fontId="46" fillId="21" borderId="4" xfId="15" applyFont="1" applyFill="1" applyBorder="1" applyAlignment="1">
      <alignment horizontal="center" vertical="center"/>
    </xf>
    <xf numFmtId="4" fontId="46" fillId="21" borderId="4" xfId="15" applyNumberFormat="1" applyFont="1" applyFill="1" applyBorder="1" applyAlignment="1">
      <alignment horizontal="center" vertical="center"/>
    </xf>
    <xf numFmtId="0" fontId="30" fillId="0" borderId="4" xfId="0" applyFont="1" applyBorder="1" applyAlignment="1">
      <alignment horizontal="left" vertical="center" wrapText="1"/>
    </xf>
    <xf numFmtId="10" fontId="4" fillId="0" borderId="4" xfId="6" applyNumberFormat="1" applyFont="1" applyBorder="1" applyAlignment="1" applyProtection="1">
      <alignment horizontal="center" vertical="center"/>
      <protection locked="0"/>
    </xf>
    <xf numFmtId="49" fontId="8" fillId="0" borderId="4" xfId="6" applyNumberFormat="1" applyFont="1" applyBorder="1" applyAlignment="1">
      <alignment vertical="center"/>
    </xf>
    <xf numFmtId="0" fontId="8" fillId="0" borderId="11" xfId="6" applyFont="1" applyBorder="1" applyAlignment="1">
      <alignment horizontal="center" vertical="center"/>
    </xf>
    <xf numFmtId="4" fontId="0" fillId="0" borderId="0" xfId="0" applyNumberFormat="1"/>
    <xf numFmtId="0" fontId="12" fillId="0" borderId="3" xfId="9" applyFont="1" applyBorder="1" applyAlignment="1">
      <alignment vertical="top"/>
    </xf>
    <xf numFmtId="0" fontId="5" fillId="0" borderId="0" xfId="0" applyFont="1" applyAlignment="1">
      <alignment vertical="top"/>
    </xf>
    <xf numFmtId="0" fontId="12" fillId="0" borderId="0" xfId="15" applyFont="1" applyAlignment="1">
      <alignment vertical="top"/>
    </xf>
    <xf numFmtId="0" fontId="12" fillId="0" borderId="44" xfId="15" applyFont="1" applyBorder="1" applyAlignment="1">
      <alignment vertical="top"/>
    </xf>
    <xf numFmtId="1" fontId="48" fillId="0" borderId="17" xfId="12" applyNumberFormat="1" applyFont="1" applyBorder="1" applyAlignment="1">
      <alignment horizontal="center" vertical="center" wrapText="1"/>
    </xf>
    <xf numFmtId="0" fontId="49" fillId="0" borderId="4" xfId="0" applyFont="1" applyBorder="1" applyAlignment="1">
      <alignment horizontal="justify" vertical="center" wrapText="1"/>
    </xf>
    <xf numFmtId="0" fontId="49" fillId="0" borderId="4" xfId="0" applyFont="1" applyBorder="1" applyAlignment="1">
      <alignment horizontal="center" vertical="center" wrapText="1"/>
    </xf>
    <xf numFmtId="0" fontId="49" fillId="0" borderId="18" xfId="0" applyFont="1" applyBorder="1" applyAlignment="1">
      <alignment horizontal="center" vertical="center" wrapText="1"/>
    </xf>
    <xf numFmtId="0" fontId="50" fillId="0" borderId="4" xfId="0" applyFont="1" applyBorder="1" applyAlignment="1">
      <alignment horizontal="center" vertical="center" wrapText="1"/>
    </xf>
    <xf numFmtId="4" fontId="50" fillId="0" borderId="4" xfId="0" applyNumberFormat="1" applyFont="1" applyBorder="1" applyAlignment="1">
      <alignment horizontal="center" vertical="center" wrapText="1"/>
    </xf>
    <xf numFmtId="0" fontId="51" fillId="21" borderId="4" xfId="15" applyFont="1" applyFill="1" applyBorder="1" applyAlignment="1">
      <alignment horizontal="center" vertical="center"/>
    </xf>
    <xf numFmtId="4" fontId="52" fillId="21" borderId="4" xfId="15" applyNumberFormat="1" applyFont="1" applyFill="1" applyBorder="1" applyAlignment="1">
      <alignment horizontal="center" vertical="center"/>
    </xf>
    <xf numFmtId="1" fontId="49" fillId="0" borderId="17" xfId="29" applyNumberFormat="1" applyFont="1" applyBorder="1" applyAlignment="1" applyProtection="1">
      <alignment horizontal="center" vertical="center" wrapText="1"/>
    </xf>
    <xf numFmtId="0" fontId="49" fillId="0" borderId="4" xfId="29" applyFont="1" applyBorder="1" applyAlignment="1" applyProtection="1">
      <alignment horizontal="left" vertical="center" wrapText="1"/>
    </xf>
    <xf numFmtId="0" fontId="49" fillId="0" borderId="4" xfId="29" applyFont="1" applyBorder="1" applyAlignment="1" applyProtection="1">
      <alignment horizontal="center" vertical="center" wrapText="1"/>
    </xf>
    <xf numFmtId="2" fontId="49" fillId="2" borderId="4" xfId="11" applyNumberFormat="1" applyFont="1" applyFill="1" applyBorder="1" applyAlignment="1" applyProtection="1">
      <alignment horizontal="center" vertical="center"/>
      <protection locked="0"/>
    </xf>
    <xf numFmtId="0" fontId="46" fillId="2" borderId="19" xfId="15" applyFont="1" applyFill="1" applyBorder="1" applyAlignment="1" applyProtection="1">
      <alignment horizontal="center" vertical="center" wrapText="1"/>
      <protection locked="0"/>
    </xf>
    <xf numFmtId="0" fontId="49" fillId="0" borderId="0" xfId="15" applyFont="1"/>
    <xf numFmtId="0" fontId="49" fillId="0" borderId="4" xfId="14" applyFont="1" applyBorder="1" applyAlignment="1">
      <alignment horizontal="center" vertical="center" wrapText="1"/>
    </xf>
    <xf numFmtId="4" fontId="49" fillId="0" borderId="4" xfId="14" applyNumberFormat="1" applyFont="1" applyBorder="1" applyAlignment="1">
      <alignment horizontal="center" vertical="center" wrapText="1"/>
    </xf>
    <xf numFmtId="165" fontId="46" fillId="11" borderId="29" xfId="15" applyNumberFormat="1" applyFont="1" applyFill="1" applyBorder="1" applyAlignment="1">
      <alignment vertical="center"/>
    </xf>
    <xf numFmtId="0" fontId="13" fillId="0" borderId="3" xfId="0" applyFont="1" applyBorder="1" applyAlignment="1">
      <alignment vertical="top"/>
    </xf>
    <xf numFmtId="0" fontId="9" fillId="0" borderId="0" xfId="9" applyFont="1" applyAlignment="1">
      <alignment horizontal="center" vertical="top"/>
    </xf>
    <xf numFmtId="0" fontId="9" fillId="0" borderId="0" xfId="9" applyFont="1" applyAlignment="1">
      <alignment vertical="top"/>
    </xf>
    <xf numFmtId="0" fontId="9" fillId="0" borderId="44" xfId="9" applyFont="1" applyBorder="1" applyAlignment="1">
      <alignment vertical="top"/>
    </xf>
    <xf numFmtId="0" fontId="46" fillId="0" borderId="17" xfId="1" applyNumberFormat="1" applyFont="1" applyBorder="1" applyAlignment="1" applyProtection="1">
      <alignment horizontal="center" vertical="center"/>
    </xf>
    <xf numFmtId="49" fontId="49" fillId="0" borderId="4" xfId="1" applyNumberFormat="1" applyFont="1" applyBorder="1" applyAlignment="1" applyProtection="1">
      <alignment vertical="center" wrapText="1"/>
    </xf>
    <xf numFmtId="0" fontId="49" fillId="0" borderId="4" xfId="1" applyNumberFormat="1" applyFont="1" applyBorder="1" applyAlignment="1" applyProtection="1">
      <alignment horizontal="center" vertical="center"/>
    </xf>
    <xf numFmtId="4" fontId="49" fillId="2" borderId="4" xfId="1" applyNumberFormat="1" applyFont="1" applyFill="1" applyBorder="1" applyAlignment="1" applyProtection="1">
      <alignment horizontal="center" vertical="center"/>
      <protection locked="0"/>
    </xf>
    <xf numFmtId="4" fontId="49" fillId="0" borderId="4" xfId="1" applyNumberFormat="1" applyFont="1" applyBorder="1" applyAlignment="1" applyProtection="1">
      <alignment horizontal="center" vertical="center"/>
    </xf>
    <xf numFmtId="4" fontId="49" fillId="0" borderId="19" xfId="1" applyNumberFormat="1" applyFont="1" applyBorder="1" applyAlignment="1" applyProtection="1">
      <alignment horizontal="center" vertical="center"/>
    </xf>
    <xf numFmtId="0" fontId="49" fillId="0" borderId="0" xfId="0" applyFont="1" applyAlignment="1">
      <alignment wrapText="1"/>
    </xf>
    <xf numFmtId="166" fontId="49" fillId="0" borderId="4" xfId="1" applyFont="1" applyBorder="1" applyAlignment="1" applyProtection="1">
      <alignment horizontal="left" vertical="center" wrapText="1"/>
    </xf>
    <xf numFmtId="0" fontId="46" fillId="0" borderId="46" xfId="1" applyNumberFormat="1" applyFont="1" applyBorder="1" applyAlignment="1" applyProtection="1">
      <alignment horizontal="center" vertical="center"/>
    </xf>
    <xf numFmtId="0" fontId="49" fillId="0" borderId="67" xfId="1" applyNumberFormat="1" applyFont="1" applyBorder="1" applyAlignment="1" applyProtection="1">
      <alignment horizontal="center" vertical="center"/>
    </xf>
    <xf numFmtId="4" fontId="49" fillId="2" borderId="67" xfId="1" applyNumberFormat="1" applyFont="1" applyFill="1" applyBorder="1" applyAlignment="1" applyProtection="1">
      <alignment horizontal="center" vertical="center"/>
      <protection locked="0"/>
    </xf>
    <xf numFmtId="4" fontId="54" fillId="11" borderId="29" xfId="1" applyNumberFormat="1" applyFont="1" applyFill="1" applyBorder="1" applyAlignment="1" applyProtection="1">
      <alignment horizontal="center" vertical="center"/>
    </xf>
    <xf numFmtId="0" fontId="30" fillId="0" borderId="4" xfId="0" applyFont="1" applyBorder="1" applyAlignment="1">
      <alignment vertical="center" wrapText="1"/>
    </xf>
    <xf numFmtId="4" fontId="4" fillId="0" borderId="0" xfId="9" applyNumberFormat="1" applyFont="1" applyAlignment="1">
      <alignment horizontal="center" vertical="center"/>
    </xf>
    <xf numFmtId="0" fontId="53" fillId="23" borderId="46" xfId="9" applyFont="1" applyFill="1" applyBorder="1" applyAlignment="1">
      <alignment horizontal="center" vertical="center" wrapText="1"/>
    </xf>
    <xf numFmtId="1" fontId="23" fillId="0" borderId="11" xfId="9" applyNumberFormat="1" applyFont="1" applyBorder="1" applyAlignment="1">
      <alignment horizontal="center" vertical="center"/>
    </xf>
    <xf numFmtId="1" fontId="55" fillId="0" borderId="17" xfId="9" applyNumberFormat="1" applyFont="1" applyBorder="1" applyAlignment="1">
      <alignment horizontal="center" vertical="center" wrapText="1"/>
    </xf>
    <xf numFmtId="0" fontId="20" fillId="8" borderId="4" xfId="29" applyFont="1" applyFill="1" applyBorder="1" applyAlignment="1" applyProtection="1">
      <alignment horizontal="center" vertical="center" wrapText="1"/>
    </xf>
    <xf numFmtId="0" fontId="13" fillId="11" borderId="22" xfId="6" applyFont="1" applyFill="1" applyBorder="1" applyAlignment="1">
      <alignment horizontal="center" vertical="center"/>
    </xf>
    <xf numFmtId="0" fontId="13" fillId="11" borderId="28" xfId="6" applyFont="1" applyFill="1" applyBorder="1" applyAlignment="1">
      <alignment horizontal="center" vertical="center" wrapText="1"/>
    </xf>
    <xf numFmtId="0" fontId="13" fillId="11" borderId="42" xfId="6" applyFont="1" applyFill="1" applyBorder="1" applyAlignment="1">
      <alignment horizontal="center" vertical="center" wrapText="1"/>
    </xf>
    <xf numFmtId="0" fontId="13" fillId="11" borderId="55" xfId="6" applyFont="1" applyFill="1" applyBorder="1" applyAlignment="1">
      <alignment horizontal="center" vertical="center" wrapText="1"/>
    </xf>
    <xf numFmtId="0" fontId="13" fillId="11" borderId="67" xfId="6" applyFont="1" applyFill="1" applyBorder="1" applyAlignment="1">
      <alignment horizontal="center" vertical="center" wrapText="1"/>
    </xf>
    <xf numFmtId="0" fontId="13" fillId="11" borderId="54" xfId="6" applyFont="1" applyFill="1" applyBorder="1" applyAlignment="1">
      <alignment horizontal="center" vertical="center" wrapText="1"/>
    </xf>
    <xf numFmtId="0" fontId="13" fillId="11" borderId="22" xfId="6" applyFont="1" applyFill="1" applyBorder="1" applyAlignment="1">
      <alignment horizontal="center" vertical="center" wrapText="1"/>
    </xf>
    <xf numFmtId="0" fontId="12" fillId="0" borderId="0" xfId="0" applyFont="1" applyAlignment="1">
      <alignment vertical="top"/>
    </xf>
    <xf numFmtId="0" fontId="4" fillId="0" borderId="44" xfId="6" applyFont="1" applyBorder="1" applyAlignment="1">
      <alignment vertical="top"/>
    </xf>
    <xf numFmtId="0" fontId="0" fillId="0" borderId="0" xfId="0" applyAlignment="1">
      <alignment vertical="top"/>
    </xf>
    <xf numFmtId="4" fontId="50" fillId="0" borderId="19" xfId="1" applyNumberFormat="1" applyFont="1" applyBorder="1" applyAlignment="1" applyProtection="1">
      <alignment horizontal="center" vertical="center"/>
    </xf>
    <xf numFmtId="4" fontId="51" fillId="0" borderId="19" xfId="1" applyNumberFormat="1" applyFont="1" applyBorder="1" applyAlignment="1" applyProtection="1">
      <alignment horizontal="center" vertical="center"/>
    </xf>
    <xf numFmtId="4" fontId="52" fillId="11" borderId="25" xfId="1" applyNumberFormat="1" applyFont="1" applyFill="1" applyBorder="1" applyAlignment="1" applyProtection="1">
      <alignment horizontal="center" vertical="center"/>
    </xf>
    <xf numFmtId="4" fontId="50" fillId="0" borderId="44" xfId="1" applyNumberFormat="1" applyFont="1" applyBorder="1" applyAlignment="1" applyProtection="1">
      <alignment horizontal="center" vertical="center"/>
    </xf>
    <xf numFmtId="4" fontId="51" fillId="0" borderId="19" xfId="9" applyNumberFormat="1" applyFont="1" applyBorder="1" applyAlignment="1">
      <alignment horizontal="center" vertical="center"/>
    </xf>
    <xf numFmtId="4" fontId="56" fillId="0" borderId="0" xfId="9" applyNumberFormat="1" applyFont="1" applyAlignment="1">
      <alignment horizontal="center"/>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4" xfId="4"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30" xfId="6" applyFont="1" applyBorder="1" applyAlignment="1">
      <alignment horizontal="left" vertical="center" wrapText="1"/>
    </xf>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8" fillId="4" borderId="34" xfId="15" applyFont="1" applyFill="1" applyBorder="1" applyAlignment="1">
      <alignment horizontal="center" vertical="center" wrapText="1"/>
    </xf>
    <xf numFmtId="0" fontId="10" fillId="5" borderId="34" xfId="25" applyNumberFormat="1" applyFont="1" applyFill="1" applyBorder="1" applyAlignment="1" applyProtection="1">
      <alignment horizontal="center" vertical="center" wrapText="1"/>
    </xf>
    <xf numFmtId="0" fontId="12" fillId="0" borderId="4" xfId="0" applyFont="1" applyBorder="1" applyAlignment="1">
      <alignment horizontal="left" vertical="center" wrapText="1"/>
    </xf>
    <xf numFmtId="0" fontId="10" fillId="0" borderId="20" xfId="15"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35"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10" fillId="5" borderId="36"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center" vertical="center" wrapText="1"/>
    </xf>
    <xf numFmtId="0" fontId="12" fillId="8" borderId="4" xfId="29" applyFont="1" applyFill="1" applyBorder="1" applyAlignment="1" applyProtection="1">
      <alignment horizontal="left" vertical="center" wrapText="1"/>
    </xf>
    <xf numFmtId="0" fontId="4" fillId="0" borderId="4" xfId="6" applyFont="1" applyBorder="1" applyAlignment="1">
      <alignment horizontal="center"/>
    </xf>
    <xf numFmtId="0" fontId="21" fillId="0" borderId="0" xfId="0" applyFont="1" applyAlignment="1">
      <alignment horizontal="center" vertical="center"/>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49" fontId="8" fillId="0" borderId="42"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left" vertical="center"/>
    </xf>
    <xf numFmtId="0" fontId="8" fillId="2" borderId="4"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protection locked="0"/>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2" borderId="4" xfId="6" applyFont="1" applyFill="1" applyBorder="1" applyAlignment="1" applyProtection="1">
      <alignment horizontal="left" vertical="center"/>
      <protection locked="0"/>
    </xf>
    <xf numFmtId="0" fontId="8" fillId="2" borderId="4" xfId="6" applyFont="1" applyFill="1" applyBorder="1" applyAlignment="1" applyProtection="1">
      <alignment horizontal="center" vertical="center"/>
      <protection locked="0"/>
    </xf>
    <xf numFmtId="0" fontId="8" fillId="11" borderId="18" xfId="6" applyFont="1" applyFill="1" applyBorder="1" applyAlignment="1">
      <alignment horizontal="center" vertical="center" wrapText="1"/>
    </xf>
    <xf numFmtId="0" fontId="8" fillId="11" borderId="28" xfId="6" applyFont="1" applyFill="1" applyBorder="1" applyAlignment="1">
      <alignment horizontal="center" vertical="center" wrapText="1"/>
    </xf>
    <xf numFmtId="0" fontId="8" fillId="0" borderId="32" xfId="6" applyFont="1" applyBorder="1" applyAlignment="1">
      <alignment horizontal="left" vertical="center"/>
    </xf>
    <xf numFmtId="0" fontId="4" fillId="0" borderId="40" xfId="6" applyFont="1" applyBorder="1" applyAlignment="1">
      <alignment horizontal="center"/>
    </xf>
    <xf numFmtId="0" fontId="4" fillId="0" borderId="28" xfId="6" applyFont="1" applyBorder="1" applyAlignment="1">
      <alignment horizontal="left" vertical="center"/>
    </xf>
    <xf numFmtId="0" fontId="4" fillId="0" borderId="42" xfId="6" applyFont="1" applyBorder="1" applyAlignment="1">
      <alignment horizontal="left" vertical="center"/>
    </xf>
    <xf numFmtId="0" fontId="8" fillId="0" borderId="12" xfId="6" applyFont="1" applyBorder="1" applyAlignment="1">
      <alignment horizontal="left" vertical="center"/>
    </xf>
    <xf numFmtId="0" fontId="26" fillId="11" borderId="45" xfId="0" applyFont="1" applyFill="1" applyBorder="1" applyAlignment="1">
      <alignment horizontal="center" vertical="center"/>
    </xf>
    <xf numFmtId="0" fontId="10" fillId="13" borderId="15" xfId="0" applyFont="1" applyFill="1" applyBorder="1" applyAlignment="1">
      <alignment horizontal="center" wrapText="1"/>
    </xf>
    <xf numFmtId="0" fontId="10" fillId="11" borderId="20" xfId="0" applyFont="1" applyFill="1" applyBorder="1" applyAlignment="1">
      <alignment horizontal="center" vertical="center"/>
    </xf>
    <xf numFmtId="0" fontId="28" fillId="11" borderId="19" xfId="0" applyFont="1" applyFill="1" applyBorder="1" applyAlignment="1">
      <alignment horizontal="left" vertical="center"/>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29" fillId="0" borderId="17" xfId="0" applyFont="1" applyBorder="1" applyAlignment="1">
      <alignment horizontal="left" vertical="center"/>
    </xf>
    <xf numFmtId="0" fontId="32" fillId="15" borderId="34" xfId="5" applyFont="1" applyFill="1" applyBorder="1" applyAlignment="1">
      <alignment horizontal="center" vertical="center" wrapText="1"/>
    </xf>
    <xf numFmtId="0" fontId="20" fillId="0" borderId="17" xfId="5" applyFont="1" applyBorder="1" applyAlignment="1">
      <alignment horizontal="center" vertical="center" wrapText="1"/>
    </xf>
    <xf numFmtId="0" fontId="20" fillId="0" borderId="19" xfId="5" applyFont="1" applyBorder="1" applyAlignment="1">
      <alignment horizontal="center" vertical="center" wrapText="1"/>
    </xf>
    <xf numFmtId="0" fontId="28" fillId="11" borderId="20" xfId="0" applyFont="1" applyFill="1" applyBorder="1" applyAlignment="1">
      <alignment horizontal="center" vertical="center"/>
    </xf>
    <xf numFmtId="0" fontId="28" fillId="11" borderId="46" xfId="0" applyFont="1" applyFill="1" applyBorder="1" applyAlignment="1">
      <alignment horizontal="left" vertical="center"/>
    </xf>
    <xf numFmtId="0" fontId="22" fillId="14" borderId="47" xfId="0" applyFont="1" applyFill="1" applyBorder="1" applyAlignment="1">
      <alignment horizontal="justify" wrapText="1"/>
    </xf>
    <xf numFmtId="0" fontId="23" fillId="11" borderId="45" xfId="9" applyFont="1" applyFill="1" applyBorder="1" applyAlignment="1">
      <alignment horizontal="center" vertical="center"/>
    </xf>
    <xf numFmtId="0" fontId="8" fillId="13" borderId="15" xfId="0" applyFont="1" applyFill="1" applyBorder="1" applyAlignment="1">
      <alignment horizontal="center" vertical="center" wrapText="1"/>
    </xf>
    <xf numFmtId="0" fontId="34"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19" xfId="15" applyFont="1" applyFill="1" applyBorder="1" applyAlignment="1">
      <alignment horizontal="center" vertical="center" wrapText="1"/>
    </xf>
    <xf numFmtId="0" fontId="10" fillId="11" borderId="42" xfId="15" applyFont="1" applyFill="1" applyBorder="1" applyAlignment="1">
      <alignment horizontal="center" vertical="center" wrapText="1"/>
    </xf>
    <xf numFmtId="0" fontId="10" fillId="11" borderId="56" xfId="15" applyFont="1" applyFill="1" applyBorder="1" applyAlignment="1">
      <alignment horizontal="center" vertical="center" wrapText="1"/>
    </xf>
    <xf numFmtId="0" fontId="10" fillId="11" borderId="12" xfId="15" applyFont="1" applyFill="1" applyBorder="1" applyAlignment="1">
      <alignment horizontal="center" vertical="center" wrapText="1"/>
    </xf>
    <xf numFmtId="0" fontId="47" fillId="11" borderId="22" xfId="15" applyFont="1" applyFill="1" applyBorder="1" applyAlignment="1">
      <alignment horizontal="center" vertical="center"/>
    </xf>
    <xf numFmtId="0" fontId="10" fillId="16" borderId="4" xfId="15" applyFont="1" applyFill="1" applyBorder="1" applyAlignment="1">
      <alignment horizontal="center" vertical="center" wrapText="1"/>
    </xf>
    <xf numFmtId="0" fontId="21" fillId="11" borderId="22" xfId="15" applyFont="1" applyFill="1" applyBorder="1" applyAlignment="1">
      <alignment horizontal="center" vertical="center"/>
    </xf>
    <xf numFmtId="0" fontId="21" fillId="22" borderId="45" xfId="9" applyFont="1" applyFill="1" applyBorder="1" applyAlignment="1">
      <alignment horizontal="center" vertical="center"/>
    </xf>
    <xf numFmtId="0" fontId="10" fillId="13" borderId="20" xfId="0" applyFont="1" applyFill="1" applyBorder="1" applyAlignment="1">
      <alignment horizontal="center" vertical="center" wrapText="1"/>
    </xf>
    <xf numFmtId="0" fontId="10" fillId="0" borderId="20" xfId="15" applyFont="1" applyBorder="1" applyAlignment="1">
      <alignment horizontal="center" vertical="center"/>
    </xf>
    <xf numFmtId="49" fontId="53" fillId="11" borderId="22" xfId="15" applyNumberFormat="1" applyFont="1" applyFill="1" applyBorder="1" applyAlignment="1">
      <alignment horizontal="left" vertical="center" wrapText="1"/>
    </xf>
    <xf numFmtId="4" fontId="10" fillId="0" borderId="17" xfId="9" applyNumberFormat="1" applyFont="1" applyBorder="1" applyAlignment="1">
      <alignment horizontal="center" vertical="center"/>
    </xf>
    <xf numFmtId="0" fontId="21" fillId="11" borderId="51" xfId="9" applyFont="1" applyFill="1" applyBorder="1" applyAlignment="1">
      <alignment horizontal="left" vertical="center"/>
    </xf>
    <xf numFmtId="0" fontId="53" fillId="23" borderId="46" xfId="9" applyFont="1" applyFill="1" applyBorder="1" applyAlignment="1">
      <alignment horizontal="center" vertical="center" wrapText="1"/>
    </xf>
    <xf numFmtId="0" fontId="10" fillId="13" borderId="4" xfId="15" applyFont="1" applyFill="1" applyBorder="1" applyAlignment="1">
      <alignment horizontal="center" vertical="center" wrapText="1"/>
    </xf>
    <xf numFmtId="0" fontId="21" fillId="11" borderId="0" xfId="9" applyFont="1" applyFill="1" applyAlignment="1">
      <alignment horizontal="center" vertical="center"/>
    </xf>
    <xf numFmtId="0" fontId="10" fillId="13" borderId="15" xfId="0" applyFont="1" applyFill="1" applyBorder="1" applyAlignment="1">
      <alignment horizontal="center" vertical="center" wrapText="1"/>
    </xf>
    <xf numFmtId="0" fontId="36" fillId="5" borderId="4" xfId="25" applyNumberFormat="1" applyFont="1" applyFill="1" applyBorder="1" applyAlignment="1" applyProtection="1">
      <alignment horizontal="center" vertical="center" wrapText="1"/>
    </xf>
    <xf numFmtId="0" fontId="4" fillId="0" borderId="20" xfId="9" applyFont="1" applyBorder="1" applyAlignment="1">
      <alignment horizontal="left" vertical="center"/>
    </xf>
    <xf numFmtId="0" fontId="23" fillId="17"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62" xfId="6" applyFont="1" applyFill="1" applyBorder="1" applyAlignment="1">
      <alignment horizontal="center" vertical="center"/>
    </xf>
    <xf numFmtId="0" fontId="21" fillId="11" borderId="63" xfId="6" applyFont="1" applyFill="1" applyBorder="1" applyAlignment="1">
      <alignment horizontal="center" vertical="center" wrapText="1"/>
    </xf>
    <xf numFmtId="0" fontId="10" fillId="11" borderId="47" xfId="6" applyFont="1" applyFill="1" applyBorder="1" applyAlignment="1">
      <alignment horizontal="center" vertical="center" textRotation="90"/>
    </xf>
    <xf numFmtId="0" fontId="8" fillId="11" borderId="45" xfId="6" applyFont="1" applyFill="1" applyBorder="1" applyAlignment="1">
      <alignment horizontal="center" vertical="center" wrapText="1"/>
    </xf>
    <xf numFmtId="0" fontId="21" fillId="11" borderId="51" xfId="6" applyFont="1" applyFill="1" applyBorder="1" applyAlignment="1">
      <alignment horizontal="center" vertical="center"/>
    </xf>
    <xf numFmtId="0" fontId="21" fillId="11" borderId="47" xfId="6" applyFont="1" applyFill="1" applyBorder="1" applyAlignment="1">
      <alignment horizontal="center" vertical="center" wrapText="1"/>
    </xf>
    <xf numFmtId="0" fontId="8" fillId="11" borderId="64"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60" xfId="6" applyFont="1" applyFill="1" applyBorder="1" applyAlignment="1">
      <alignment horizontal="center" vertical="center" wrapText="1"/>
    </xf>
    <xf numFmtId="0" fontId="10" fillId="11" borderId="60"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20" fillId="11" borderId="65" xfId="6" applyFont="1" applyFill="1" applyBorder="1" applyAlignment="1">
      <alignment horizontal="center" vertical="center" wrapText="1"/>
    </xf>
    <xf numFmtId="0" fontId="12" fillId="11" borderId="33" xfId="6" applyFont="1" applyFill="1" applyBorder="1" applyAlignment="1">
      <alignment horizontal="center" vertical="center" wrapText="1"/>
    </xf>
    <xf numFmtId="0" fontId="12" fillId="11" borderId="39" xfId="6" applyFont="1" applyFill="1" applyBorder="1" applyAlignment="1">
      <alignment horizontal="center" vertical="center" wrapText="1"/>
    </xf>
    <xf numFmtId="0" fontId="12" fillId="11" borderId="64"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12" fillId="11" borderId="57" xfId="6" applyFont="1" applyFill="1" applyBorder="1" applyAlignment="1">
      <alignment horizontal="center" vertical="center" wrapText="1"/>
    </xf>
    <xf numFmtId="0" fontId="8" fillId="0" borderId="65" xfId="6" applyFont="1" applyBorder="1" applyAlignment="1">
      <alignment horizontal="center" vertical="center"/>
    </xf>
    <xf numFmtId="0" fontId="8" fillId="0" borderId="11" xfId="6" applyFont="1" applyBorder="1" applyAlignment="1">
      <alignment horizontal="center" vertical="center"/>
    </xf>
    <xf numFmtId="0" fontId="12" fillId="0" borderId="45" xfId="6" applyFont="1" applyBorder="1" applyAlignment="1">
      <alignment horizontal="left" vertical="center" wrapText="1"/>
    </xf>
    <xf numFmtId="0" fontId="12" fillId="0" borderId="47" xfId="6" applyFont="1" applyBorder="1" applyAlignment="1">
      <alignment horizontal="left" vertical="top" wrapText="1"/>
    </xf>
    <xf numFmtId="0" fontId="4" fillId="0" borderId="3" xfId="6" applyFont="1" applyBorder="1" applyAlignment="1">
      <alignment horizontal="left" vertical="center" wrapText="1"/>
    </xf>
    <xf numFmtId="0" fontId="21" fillId="11" borderId="9" xfId="6" applyFont="1" applyFill="1" applyBorder="1" applyAlignment="1">
      <alignment horizontal="left" vertical="center" wrapText="1"/>
    </xf>
    <xf numFmtId="0" fontId="21" fillId="11" borderId="9" xfId="6" applyFont="1" applyFill="1" applyBorder="1" applyAlignment="1">
      <alignment horizontal="left" vertical="center"/>
    </xf>
    <xf numFmtId="0" fontId="16" fillId="0" borderId="45" xfId="6" applyFont="1" applyBorder="1" applyAlignment="1">
      <alignment horizontal="left"/>
    </xf>
    <xf numFmtId="0" fontId="21" fillId="11" borderId="9" xfId="9" applyFont="1" applyFill="1" applyBorder="1" applyAlignment="1">
      <alignment horizontal="center" vertical="center" wrapText="1"/>
    </xf>
    <xf numFmtId="0" fontId="21" fillId="11" borderId="45" xfId="9" applyFont="1" applyFill="1" applyBorder="1" applyAlignment="1">
      <alignment horizontal="center" vertical="center"/>
    </xf>
    <xf numFmtId="0" fontId="5" fillId="0" borderId="47" xfId="9" applyFont="1" applyBorder="1" applyAlignment="1">
      <alignment horizontal="left" vertical="center" wrapText="1"/>
    </xf>
    <xf numFmtId="0" fontId="10" fillId="0" borderId="34"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53" xfId="9" applyFont="1" applyFill="1" applyBorder="1" applyAlignment="1">
      <alignment horizontal="left" vertical="center" wrapText="1"/>
    </xf>
    <xf numFmtId="0" fontId="10" fillId="11" borderId="34" xfId="9" applyFont="1" applyFill="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6"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9" fontId="10" fillId="11" borderId="57"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17" xfId="9" applyFont="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2" fillId="0" borderId="17" xfId="9" applyFont="1" applyBorder="1" applyAlignment="1">
      <alignment horizontal="left" vertical="center"/>
    </xf>
    <xf numFmtId="0" fontId="12" fillId="0" borderId="17" xfId="9" applyFont="1" applyBorder="1" applyAlignment="1">
      <alignment horizontal="left" vertical="center" wrapText="1"/>
    </xf>
    <xf numFmtId="0" fontId="12" fillId="0" borderId="46" xfId="9" applyFont="1" applyBorder="1" applyAlignment="1">
      <alignment horizontal="left" vertical="center"/>
    </xf>
    <xf numFmtId="0" fontId="10" fillId="11" borderId="5" xfId="9" applyFont="1" applyFill="1" applyBorder="1" applyAlignment="1">
      <alignment horizontal="left" vertical="center"/>
    </xf>
    <xf numFmtId="4" fontId="12" fillId="0" borderId="50" xfId="9" applyNumberFormat="1" applyFont="1" applyBorder="1" applyAlignment="1">
      <alignment horizontal="center" vertical="center" wrapText="1"/>
    </xf>
    <xf numFmtId="0" fontId="12" fillId="0" borderId="17" xfId="9" applyFont="1" applyBorder="1" applyAlignment="1">
      <alignment vertical="center"/>
    </xf>
    <xf numFmtId="0" fontId="10" fillId="11" borderId="51" xfId="9" applyFont="1" applyFill="1" applyBorder="1" applyAlignment="1">
      <alignment horizontal="left" vertical="center"/>
    </xf>
    <xf numFmtId="0" fontId="10" fillId="11" borderId="60" xfId="9" applyFont="1" applyFill="1" applyBorder="1" applyAlignment="1">
      <alignment horizontal="center" vertical="center"/>
    </xf>
    <xf numFmtId="4" fontId="10" fillId="13" borderId="28" xfId="17" applyNumberFormat="1" applyFont="1" applyFill="1" applyBorder="1" applyAlignment="1" applyProtection="1">
      <alignment horizontal="center" vertical="center" wrapText="1"/>
    </xf>
    <xf numFmtId="0" fontId="10" fillId="11" borderId="46"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41" fillId="11" borderId="24"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60" xfId="13" applyNumberFormat="1" applyFont="1" applyFill="1" applyBorder="1" applyAlignment="1">
      <alignment horizontal="center" vertical="center"/>
    </xf>
    <xf numFmtId="0" fontId="31" fillId="8" borderId="60" xfId="13" applyFont="1" applyFill="1" applyBorder="1" applyAlignment="1">
      <alignment horizontal="left" vertical="center" wrapText="1"/>
    </xf>
    <xf numFmtId="0" fontId="42" fillId="8" borderId="65" xfId="13" applyFont="1" applyFill="1" applyBorder="1" applyAlignment="1" applyProtection="1">
      <alignment horizontal="center" vertical="center"/>
      <protection locked="0"/>
    </xf>
    <xf numFmtId="0" fontId="43" fillId="20"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31" fillId="11" borderId="4" xfId="13" applyFont="1" applyFill="1" applyBorder="1" applyAlignment="1" applyProtection="1">
      <alignment horizontal="center" vertical="center"/>
      <protection locked="0"/>
    </xf>
    <xf numFmtId="0" fontId="12" fillId="0" borderId="4" xfId="13" applyFont="1" applyBorder="1" applyAlignment="1" applyProtection="1">
      <alignment horizontal="left" vertical="center"/>
      <protection locked="0"/>
    </xf>
    <xf numFmtId="0" fontId="31" fillId="0" borderId="17" xfId="13" applyFont="1" applyBorder="1" applyAlignment="1" applyProtection="1">
      <alignment horizontal="left" vertical="center"/>
      <protection locked="0"/>
    </xf>
    <xf numFmtId="0" fontId="31" fillId="11" borderId="4" xfId="13" applyFont="1" applyFill="1" applyBorder="1" applyAlignment="1" applyProtection="1">
      <alignment horizontal="left" vertical="center" wrapText="1"/>
      <protection locked="0"/>
    </xf>
    <xf numFmtId="0" fontId="12" fillId="0" borderId="4" xfId="13" applyFont="1" applyBorder="1" applyAlignment="1" applyProtection="1">
      <alignment horizontal="left" vertical="center" wrapText="1"/>
      <protection locked="0"/>
    </xf>
    <xf numFmtId="0" fontId="10" fillId="0" borderId="4" xfId="13" applyFont="1" applyBorder="1" applyAlignment="1" applyProtection="1">
      <alignment horizontal="left" vertical="center" wrapText="1"/>
      <protection locked="0"/>
    </xf>
    <xf numFmtId="0" fontId="31" fillId="0" borderId="17" xfId="13" applyFont="1" applyBorder="1" applyAlignment="1">
      <alignment horizontal="left" vertical="center"/>
    </xf>
    <xf numFmtId="0" fontId="31" fillId="11" borderId="5" xfId="13" applyFont="1" applyFill="1" applyBorder="1" applyAlignment="1">
      <alignment horizontal="center" vertical="center"/>
    </xf>
    <xf numFmtId="0" fontId="31" fillId="8" borderId="5" xfId="13" applyFont="1" applyFill="1" applyBorder="1" applyAlignment="1">
      <alignment horizontal="center" vertical="center"/>
    </xf>
    <xf numFmtId="0" fontId="31" fillId="11" borderId="12" xfId="13" applyFont="1" applyFill="1" applyBorder="1" applyAlignment="1" applyProtection="1">
      <alignment horizontal="center" vertical="center"/>
      <protection locked="0"/>
    </xf>
    <xf numFmtId="0" fontId="21" fillId="16" borderId="4" xfId="0" applyFont="1" applyFill="1" applyBorder="1" applyAlignment="1">
      <alignment horizontal="center" vertical="center" wrapText="1"/>
    </xf>
    <xf numFmtId="0" fontId="29" fillId="0" borderId="21" xfId="0" applyFont="1" applyBorder="1" applyAlignment="1">
      <alignment horizontal="lef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cellXfs>
  <cellStyles count="31">
    <cellStyle name="Excel Built-in Explanatory Text" xfId="29" xr:uid="{00000000-0005-0000-0000-000000000000}"/>
    <cellStyle name="Excel Built-in Explanatory Text 1" xfId="28" xr:uid="{00000000-0005-0000-0000-000001000000}"/>
    <cellStyle name="Excel Built-in Explanatory Text 2" xfId="30" xr:uid="{00000000-0005-0000-0000-000002000000}"/>
    <cellStyle name="Moeda" xfId="2" builtinId="4"/>
    <cellStyle name="Moeda 8" xfId="4" xr:uid="{00000000-0005-0000-0000-000004000000}"/>
    <cellStyle name="Normal" xfId="0" builtinId="0"/>
    <cellStyle name="Normal 12" xfId="5" xr:uid="{00000000-0005-0000-0000-000006000000}"/>
    <cellStyle name="Normal 2" xfId="6" xr:uid="{00000000-0005-0000-0000-000007000000}"/>
    <cellStyle name="Normal 2 2" xfId="7" xr:uid="{00000000-0005-0000-0000-000008000000}"/>
    <cellStyle name="Normal 2 2 2" xfId="8" xr:uid="{00000000-0005-0000-0000-000009000000}"/>
    <cellStyle name="Normal 3" xfId="9" xr:uid="{00000000-0005-0000-0000-00000A000000}"/>
    <cellStyle name="Normal 3 3" xfId="10" xr:uid="{00000000-0005-0000-0000-00000B000000}"/>
    <cellStyle name="Normal 4" xfId="11" xr:uid="{00000000-0005-0000-0000-00000C000000}"/>
    <cellStyle name="Normal 7 2" xfId="12" xr:uid="{00000000-0005-0000-0000-00000D000000}"/>
    <cellStyle name="Normal 8" xfId="13" xr:uid="{00000000-0005-0000-0000-00000E000000}"/>
    <cellStyle name="Normal 9" xfId="14" xr:uid="{00000000-0005-0000-0000-00000F000000}"/>
    <cellStyle name="Normal_Plan1" xfId="15" xr:uid="{00000000-0005-0000-0000-000010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D000000}"/>
    <cellStyle name="Vírgula 4" xfId="27" xr:uid="{00000000-0005-0000-0000-00001E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99999"/>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1080</xdr:colOff>
      <xdr:row>2</xdr:row>
      <xdr:rowOff>82800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397440</xdr:colOff>
      <xdr:row>2</xdr:row>
      <xdr:rowOff>25920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tretch/>
      </xdr:blipFill>
      <xdr:spPr>
        <a:xfrm>
          <a:off x="95400" y="57240"/>
          <a:ext cx="302040" cy="3495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454320</xdr:colOff>
      <xdr:row>2</xdr:row>
      <xdr:rowOff>130680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400320</xdr:colOff>
      <xdr:row>2</xdr:row>
      <xdr:rowOff>25920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568800</xdr:colOff>
      <xdr:row>2</xdr:row>
      <xdr:rowOff>201960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120" cy="526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454320</xdr:colOff>
      <xdr:row>2</xdr:row>
      <xdr:rowOff>92520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29220</xdr:colOff>
      <xdr:row>0</xdr:row>
      <xdr:rowOff>57149</xdr:rowOff>
    </xdr:from>
    <xdr:to>
      <xdr:col>1</xdr:col>
      <xdr:colOff>0</xdr:colOff>
      <xdr:row>2</xdr:row>
      <xdr:rowOff>66674</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29220" y="57149"/>
          <a:ext cx="304155" cy="31432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359280</xdr:colOff>
      <xdr:row>2</xdr:row>
      <xdr:rowOff>101880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38160" y="85680"/>
          <a:ext cx="321120" cy="302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264600</xdr:colOff>
      <xdr:row>0</xdr:row>
      <xdr:rowOff>52200</xdr:rowOff>
    </xdr:from>
    <xdr:to>
      <xdr:col>0</xdr:col>
      <xdr:colOff>636120</xdr:colOff>
      <xdr:row>2</xdr:row>
      <xdr:rowOff>79920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tretch/>
      </xdr:blipFill>
      <xdr:spPr>
        <a:xfrm>
          <a:off x="264600" y="52200"/>
          <a:ext cx="371520" cy="351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663840</xdr:colOff>
      <xdr:row>2</xdr:row>
      <xdr:rowOff>101880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tretch/>
      </xdr:blipFill>
      <xdr:spPr>
        <a:xfrm>
          <a:off x="257040" y="66600"/>
          <a:ext cx="406800" cy="4161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6"/>
  <sheetViews>
    <sheetView showGridLines="0" zoomScale="95" zoomScaleNormal="95" workbookViewId="0">
      <selection activeCell="A4" sqref="A4:XFD96"/>
    </sheetView>
  </sheetViews>
  <sheetFormatPr defaultColWidth="9.109375" defaultRowHeight="14.4" x14ac:dyDescent="0.3"/>
  <cols>
    <col min="1" max="1" width="6.33203125" style="1" customWidth="1"/>
    <col min="2" max="2" width="41.44140625" style="1" customWidth="1"/>
    <col min="3" max="3" width="7.88671875" style="1" customWidth="1"/>
    <col min="4" max="4" width="16.33203125" style="1" customWidth="1"/>
    <col min="5" max="5" width="16.109375" style="1" customWidth="1"/>
    <col min="6" max="7" width="16.33203125" style="1" customWidth="1"/>
    <col min="8" max="8" width="13.33203125" style="1" customWidth="1"/>
    <col min="9" max="10" width="16.33203125" style="1" customWidth="1"/>
    <col min="11" max="12" width="13.88671875" style="2" customWidth="1"/>
    <col min="13" max="13" width="14.33203125" style="2" customWidth="1"/>
    <col min="14" max="14" width="16.6640625" style="1" customWidth="1"/>
    <col min="15" max="15" width="12.88671875" style="1" customWidth="1"/>
    <col min="16" max="16" width="18.44140625" style="1" customWidth="1"/>
    <col min="17" max="17" width="13.109375" style="1" customWidth="1"/>
    <col min="18" max="18" width="15.88671875" style="3" customWidth="1"/>
    <col min="19" max="19" width="9.44140625" style="3" customWidth="1"/>
    <col min="20" max="20" width="13.33203125" style="3" customWidth="1"/>
    <col min="21" max="21" width="13.88671875" style="3" customWidth="1"/>
    <col min="22" max="22" width="15.109375" style="3" customWidth="1"/>
    <col min="23" max="23" width="12.33203125" style="3" customWidth="1"/>
    <col min="24" max="256" width="9.109375" style="1"/>
    <col min="257" max="257" width="6.33203125" style="1" customWidth="1"/>
    <col min="258" max="258" width="41.44140625" style="1" customWidth="1"/>
    <col min="259" max="259" width="7.88671875" style="1" customWidth="1"/>
    <col min="260" max="260" width="16.33203125" style="1" customWidth="1"/>
    <col min="261" max="261" width="12.88671875" style="1" customWidth="1"/>
    <col min="262" max="263" width="16.33203125" style="1" customWidth="1"/>
    <col min="264" max="264" width="13.33203125" style="1" customWidth="1"/>
    <col min="265" max="266" width="16.33203125" style="1" customWidth="1"/>
    <col min="267" max="268" width="13.88671875" style="1" customWidth="1"/>
    <col min="269" max="269" width="13" style="1" customWidth="1"/>
    <col min="270" max="270" width="13.5546875" style="1" customWidth="1"/>
    <col min="271" max="271" width="12.88671875" style="1" customWidth="1"/>
    <col min="272" max="272" width="14.109375" style="1" customWidth="1"/>
    <col min="273" max="273" width="12" style="1" customWidth="1"/>
    <col min="274" max="274" width="13" style="1" customWidth="1"/>
    <col min="275" max="275" width="11.88671875" style="1" customWidth="1"/>
    <col min="276" max="276" width="13.33203125" style="1" customWidth="1"/>
    <col min="277" max="277" width="12.33203125" style="1" customWidth="1"/>
    <col min="278" max="278" width="12.44140625" style="1" customWidth="1"/>
    <col min="279" max="279" width="10.5546875" style="1" customWidth="1"/>
    <col min="280" max="512" width="9.109375" style="1"/>
    <col min="513" max="513" width="6.33203125" style="1" customWidth="1"/>
    <col min="514" max="514" width="41.44140625" style="1" customWidth="1"/>
    <col min="515" max="515" width="7.88671875" style="1" customWidth="1"/>
    <col min="516" max="516" width="16.33203125" style="1" customWidth="1"/>
    <col min="517" max="517" width="12.88671875" style="1" customWidth="1"/>
    <col min="518" max="519" width="16.33203125" style="1" customWidth="1"/>
    <col min="520" max="520" width="13.33203125" style="1" customWidth="1"/>
    <col min="521" max="522" width="16.33203125" style="1" customWidth="1"/>
    <col min="523" max="524" width="13.88671875" style="1" customWidth="1"/>
    <col min="525" max="525" width="13" style="1" customWidth="1"/>
    <col min="526" max="526" width="13.5546875" style="1" customWidth="1"/>
    <col min="527" max="527" width="12.88671875" style="1" customWidth="1"/>
    <col min="528" max="528" width="14.109375" style="1" customWidth="1"/>
    <col min="529" max="529" width="12" style="1" customWidth="1"/>
    <col min="530" max="530" width="13" style="1" customWidth="1"/>
    <col min="531" max="531" width="11.88671875" style="1" customWidth="1"/>
    <col min="532" max="532" width="13.33203125" style="1" customWidth="1"/>
    <col min="533" max="533" width="12.33203125" style="1" customWidth="1"/>
    <col min="534" max="534" width="12.44140625" style="1" customWidth="1"/>
    <col min="535" max="535" width="10.5546875" style="1" customWidth="1"/>
    <col min="536" max="768" width="9.109375" style="1"/>
    <col min="769" max="769" width="6.33203125" style="1" customWidth="1"/>
    <col min="770" max="770" width="41.44140625" style="1" customWidth="1"/>
    <col min="771" max="771" width="7.88671875" style="1" customWidth="1"/>
    <col min="772" max="772" width="16.33203125" style="1" customWidth="1"/>
    <col min="773" max="773" width="12.88671875" style="1" customWidth="1"/>
    <col min="774" max="775" width="16.33203125" style="1" customWidth="1"/>
    <col min="776" max="776" width="13.33203125" style="1" customWidth="1"/>
    <col min="777" max="778" width="16.33203125" style="1" customWidth="1"/>
    <col min="779" max="780" width="13.88671875" style="1" customWidth="1"/>
    <col min="781" max="781" width="13" style="1" customWidth="1"/>
    <col min="782" max="782" width="13.5546875" style="1" customWidth="1"/>
    <col min="783" max="783" width="12.88671875" style="1" customWidth="1"/>
    <col min="784" max="784" width="14.109375" style="1" customWidth="1"/>
    <col min="785" max="785" width="12" style="1" customWidth="1"/>
    <col min="786" max="786" width="13" style="1" customWidth="1"/>
    <col min="787" max="787" width="11.88671875" style="1" customWidth="1"/>
    <col min="788" max="788" width="13.33203125" style="1" customWidth="1"/>
    <col min="789" max="789" width="12.33203125" style="1" customWidth="1"/>
    <col min="790" max="790" width="12.44140625" style="1" customWidth="1"/>
    <col min="791" max="791" width="10.5546875" style="1" customWidth="1"/>
    <col min="792" max="1024" width="9.109375" style="1"/>
  </cols>
  <sheetData>
    <row r="1" spans="1:23" ht="17.25" customHeight="1" x14ac:dyDescent="0.3">
      <c r="A1" s="4"/>
      <c r="B1" s="5" t="str">
        <f>INSTRUÇÕES!B1</f>
        <v>Tribunal Regional Federal da 6ª Região</v>
      </c>
      <c r="T1" s="6"/>
      <c r="U1" s="6"/>
      <c r="V1" s="6"/>
    </row>
    <row r="2" spans="1:23" s="11" customFormat="1" ht="19.5" customHeight="1" x14ac:dyDescent="0.3">
      <c r="A2" s="7"/>
      <c r="B2" s="8" t="str">
        <f>INSTRUÇÕES!B2</f>
        <v>Seção Judiciária de Minas Gerais</v>
      </c>
      <c r="C2" s="566" t="s">
        <v>0</v>
      </c>
      <c r="D2" s="566"/>
      <c r="E2" s="566"/>
      <c r="F2" s="566"/>
      <c r="G2" s="566"/>
      <c r="H2" s="566"/>
      <c r="I2" s="566"/>
      <c r="J2" s="566"/>
      <c r="K2" s="566"/>
      <c r="L2" s="566"/>
      <c r="M2" s="566"/>
      <c r="N2" s="566"/>
      <c r="O2" s="566"/>
      <c r="P2" s="566"/>
      <c r="Q2" s="566"/>
      <c r="R2" s="566"/>
      <c r="S2" s="566"/>
      <c r="T2" s="9"/>
      <c r="U2" s="9"/>
      <c r="V2" s="9"/>
      <c r="W2" s="10"/>
    </row>
    <row r="3" spans="1:23" s="11" customFormat="1" ht="23.4" x14ac:dyDescent="0.3">
      <c r="A3" s="7"/>
      <c r="B3" s="12" t="str">
        <f>INSTRUÇÕES!B3</f>
        <v>Subseção Judiciária de Viçosa</v>
      </c>
      <c r="C3" s="566" t="s">
        <v>1</v>
      </c>
      <c r="D3" s="566"/>
      <c r="E3" s="566"/>
      <c r="F3" s="566"/>
      <c r="G3" s="566"/>
      <c r="H3" s="566"/>
      <c r="I3" s="566"/>
      <c r="J3" s="566"/>
      <c r="K3" s="566"/>
      <c r="L3" s="566"/>
      <c r="M3" s="566"/>
      <c r="N3" s="566"/>
      <c r="O3" s="566"/>
      <c r="P3" s="566"/>
      <c r="Q3" s="566"/>
      <c r="R3" s="566"/>
      <c r="S3" s="566"/>
      <c r="W3" s="10"/>
    </row>
    <row r="4" spans="1:23" s="17" customFormat="1" ht="23.25" hidden="1" customHeight="1" x14ac:dyDescent="0.3">
      <c r="A4" s="567" t="s">
        <v>2</v>
      </c>
      <c r="B4" s="567"/>
      <c r="C4" s="567"/>
      <c r="D4" s="568" t="s">
        <v>3</v>
      </c>
      <c r="E4" s="568"/>
      <c r="F4" s="14"/>
      <c r="G4" s="14"/>
      <c r="H4" s="14"/>
      <c r="I4" s="14"/>
      <c r="J4" s="15"/>
      <c r="K4" s="15"/>
      <c r="L4" s="15"/>
      <c r="M4" s="15"/>
      <c r="N4" s="15"/>
      <c r="O4" s="16"/>
      <c r="R4" s="18"/>
      <c r="S4" s="18"/>
      <c r="T4" s="18"/>
      <c r="U4" s="18"/>
      <c r="V4" s="18"/>
      <c r="W4" s="18"/>
    </row>
    <row r="5" spans="1:23" s="17" customFormat="1" ht="23.25" hidden="1" customHeight="1" x14ac:dyDescent="0.3">
      <c r="A5" s="567" t="s">
        <v>4</v>
      </c>
      <c r="B5" s="567"/>
      <c r="C5" s="567"/>
      <c r="D5" s="13" t="s">
        <v>5</v>
      </c>
      <c r="E5" s="19">
        <f>VLOOKUP(D5,B79:C82,2,FALSE())</f>
        <v>30</v>
      </c>
      <c r="F5" s="14" t="str">
        <f>VLOOKUP(D5,B80:D82,3,FALSE())</f>
        <v>Obs: Desconto atualmente aplicado (30 dias corridos).</v>
      </c>
      <c r="G5" s="14"/>
      <c r="H5" s="14"/>
      <c r="I5" s="14"/>
      <c r="J5" s="15"/>
      <c r="K5" s="15"/>
      <c r="L5" s="15"/>
      <c r="M5" s="15"/>
      <c r="N5" s="15"/>
      <c r="O5" s="16"/>
      <c r="R5" s="18"/>
      <c r="S5" s="18"/>
      <c r="T5" s="18"/>
      <c r="U5" s="18"/>
      <c r="V5" s="18"/>
      <c r="W5" s="18"/>
    </row>
    <row r="6" spans="1:23" s="17" customFormat="1" ht="23.4" hidden="1" x14ac:dyDescent="0.3">
      <c r="A6" s="15"/>
      <c r="B6" s="15"/>
      <c r="C6" s="15"/>
      <c r="D6" s="15"/>
      <c r="E6" s="15"/>
      <c r="F6" s="15"/>
      <c r="G6" s="15"/>
      <c r="H6" s="15"/>
      <c r="I6" s="15"/>
      <c r="J6" s="15"/>
      <c r="K6" s="15"/>
      <c r="L6" s="15"/>
      <c r="M6" s="15"/>
      <c r="N6" s="15"/>
      <c r="O6" s="16"/>
      <c r="R6" s="18"/>
      <c r="S6" s="18"/>
      <c r="T6" s="18"/>
      <c r="U6" s="18"/>
      <c r="V6" s="18"/>
      <c r="W6" s="18"/>
    </row>
    <row r="7" spans="1:23" s="17" customFormat="1" ht="15.75" hidden="1" customHeight="1" x14ac:dyDescent="0.3">
      <c r="A7" s="569" t="s">
        <v>6</v>
      </c>
      <c r="B7" s="569"/>
      <c r="C7" s="569"/>
      <c r="D7" s="570" t="s">
        <v>7</v>
      </c>
      <c r="E7" s="571" t="s">
        <v>8</v>
      </c>
      <c r="F7" s="572" t="s">
        <v>9</v>
      </c>
      <c r="G7" s="572" t="s">
        <v>10</v>
      </c>
      <c r="H7" s="570" t="s">
        <v>11</v>
      </c>
      <c r="I7" s="571" t="s">
        <v>12</v>
      </c>
      <c r="J7" s="572" t="s">
        <v>13</v>
      </c>
      <c r="K7" s="573" t="s">
        <v>14</v>
      </c>
      <c r="L7" s="574" t="s">
        <v>15</v>
      </c>
      <c r="M7" s="574" t="s">
        <v>16</v>
      </c>
      <c r="N7" s="575" t="s">
        <v>17</v>
      </c>
      <c r="O7" s="576" t="s">
        <v>18</v>
      </c>
      <c r="P7" s="572" t="s">
        <v>19</v>
      </c>
      <c r="Q7" s="572" t="s">
        <v>20</v>
      </c>
      <c r="R7" s="573" t="s">
        <v>21</v>
      </c>
      <c r="S7" s="571" t="s">
        <v>22</v>
      </c>
      <c r="T7" s="577" t="s">
        <v>23</v>
      </c>
      <c r="U7" s="577"/>
      <c r="V7" s="577"/>
      <c r="W7" s="577"/>
    </row>
    <row r="8" spans="1:23" s="17" customFormat="1" ht="15.6" hidden="1" x14ac:dyDescent="0.3">
      <c r="A8" s="569"/>
      <c r="B8" s="569"/>
      <c r="C8" s="569"/>
      <c r="D8" s="570"/>
      <c r="E8" s="571"/>
      <c r="F8" s="572"/>
      <c r="G8" s="572"/>
      <c r="H8" s="570"/>
      <c r="I8" s="571"/>
      <c r="J8" s="572"/>
      <c r="K8" s="573"/>
      <c r="L8" s="574"/>
      <c r="M8" s="574"/>
      <c r="N8" s="575"/>
      <c r="O8" s="576"/>
      <c r="P8" s="572"/>
      <c r="Q8" s="572"/>
      <c r="R8" s="573"/>
      <c r="S8" s="571"/>
      <c r="T8" s="577"/>
      <c r="U8" s="577"/>
      <c r="V8" s="577"/>
      <c r="W8" s="577"/>
    </row>
    <row r="9" spans="1:23" s="17" customFormat="1" ht="39.75" hidden="1" customHeight="1" x14ac:dyDescent="0.3">
      <c r="A9" s="569"/>
      <c r="B9" s="569"/>
      <c r="C9" s="569"/>
      <c r="D9" s="570"/>
      <c r="E9" s="571"/>
      <c r="F9" s="572"/>
      <c r="G9" s="572"/>
      <c r="H9" s="570"/>
      <c r="I9" s="571"/>
      <c r="J9" s="572"/>
      <c r="K9" s="573"/>
      <c r="L9" s="574"/>
      <c r="M9" s="574"/>
      <c r="N9" s="575"/>
      <c r="O9" s="576"/>
      <c r="P9" s="572"/>
      <c r="Q9" s="572"/>
      <c r="R9" s="573"/>
      <c r="S9" s="571"/>
      <c r="T9" s="577"/>
      <c r="U9" s="577"/>
      <c r="V9" s="577"/>
      <c r="W9" s="577"/>
    </row>
    <row r="10" spans="1:23" s="17" customFormat="1" ht="96.6" hidden="1" x14ac:dyDescent="0.3">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6" hidden="1" x14ac:dyDescent="0.3">
      <c r="A11" s="26">
        <f>Dados!B7</f>
        <v>1</v>
      </c>
      <c r="B11" s="27" t="str">
        <f>Dados!C7</f>
        <v>Servente de Limpeza 40% Insalubridade</v>
      </c>
      <c r="C11" s="28">
        <f>Dados!D7</f>
        <v>200</v>
      </c>
      <c r="D11" s="29">
        <v>0</v>
      </c>
      <c r="E11" s="26" t="s">
        <v>46</v>
      </c>
      <c r="F11" s="28">
        <f>IF(E11="NÃO",0,D11*Dados!$G$33)</f>
        <v>0</v>
      </c>
      <c r="G11" s="30">
        <v>0</v>
      </c>
      <c r="H11" s="29">
        <v>0</v>
      </c>
      <c r="I11" s="31">
        <v>0</v>
      </c>
      <c r="J11" s="30">
        <v>0</v>
      </c>
      <c r="K11" s="32">
        <f>I11+J11</f>
        <v>0</v>
      </c>
      <c r="L11" s="33">
        <v>0</v>
      </c>
      <c r="M11" s="33">
        <v>0</v>
      </c>
      <c r="N11" s="34"/>
      <c r="O11" s="35">
        <f>Resumo!S12</f>
        <v>0</v>
      </c>
      <c r="P11" s="36">
        <f>Resumo!V12</f>
        <v>0</v>
      </c>
      <c r="Q11" s="37">
        <f>Resumo!W12</f>
        <v>6710.92</v>
      </c>
      <c r="R11" s="38">
        <f>Dados!O7+Dados!P7+Dados!Q7</f>
        <v>1248.5999999999999</v>
      </c>
      <c r="S11" s="26">
        <f>Dados!R7</f>
        <v>2</v>
      </c>
      <c r="T11" s="37">
        <f>ROUND((Dados!M7*Encargos!$H$59*A11),2)</f>
        <v>661.21</v>
      </c>
      <c r="U11" s="39" t="s">
        <v>47</v>
      </c>
      <c r="V11" s="40">
        <f>SUMIF($S$11:$S$13,2,$Q$11:$Q$13)</f>
        <v>12275.869999999999</v>
      </c>
      <c r="W11" s="41">
        <f>SUMIF($S$11:$S$13,2,$T$11:$T$13)</f>
        <v>1134.99</v>
      </c>
    </row>
    <row r="12" spans="1:23" s="17" customFormat="1" ht="15.6" hidden="1" x14ac:dyDescent="0.3">
      <c r="A12" s="26">
        <f>Dados!B8</f>
        <v>1</v>
      </c>
      <c r="B12" s="27" t="str">
        <f>Dados!C8</f>
        <v>Servente de Limpeza acúmulo de função Copeira</v>
      </c>
      <c r="C12" s="28">
        <f>Dados!D8</f>
        <v>200</v>
      </c>
      <c r="D12" s="29">
        <v>0</v>
      </c>
      <c r="E12" s="26" t="s">
        <v>46</v>
      </c>
      <c r="F12" s="28">
        <f>IF(E12="NÃO",0,D12*Dados!$G$33)</f>
        <v>0</v>
      </c>
      <c r="G12" s="30">
        <v>0</v>
      </c>
      <c r="H12" s="29">
        <v>0</v>
      </c>
      <c r="I12" s="31">
        <v>0</v>
      </c>
      <c r="J12" s="30">
        <v>0</v>
      </c>
      <c r="K12" s="32">
        <f>I12+J12</f>
        <v>0</v>
      </c>
      <c r="L12" s="33">
        <v>0</v>
      </c>
      <c r="M12" s="33">
        <v>0</v>
      </c>
      <c r="N12" s="33">
        <v>0</v>
      </c>
      <c r="O12" s="35">
        <f>Resumo!S13</f>
        <v>0</v>
      </c>
      <c r="P12" s="37">
        <f>Resumo!V13</f>
        <v>0</v>
      </c>
      <c r="Q12" s="37">
        <f>Resumo!W13</f>
        <v>5564.95</v>
      </c>
      <c r="R12" s="38">
        <f>Dados!O8+Dados!P8+Dados!Q8</f>
        <v>1328.76</v>
      </c>
      <c r="S12" s="26">
        <f>Dados!R8</f>
        <v>2</v>
      </c>
      <c r="T12" s="37">
        <f>ROUND((Dados!M8*Encargos!$H$59*A12),2)</f>
        <v>473.78</v>
      </c>
      <c r="U12" s="39" t="s">
        <v>47</v>
      </c>
      <c r="V12" s="40"/>
      <c r="W12" s="41"/>
    </row>
    <row r="13" spans="1:23" s="17" customFormat="1" ht="15.6" hidden="1" x14ac:dyDescent="0.3">
      <c r="A13" s="26">
        <f>Dados!B9</f>
        <v>2</v>
      </c>
      <c r="B13" s="27" t="str">
        <f>Dados!C9</f>
        <v>Auxiliar Administrativo</v>
      </c>
      <c r="C13" s="28">
        <f>Dados!D9</f>
        <v>200</v>
      </c>
      <c r="D13" s="29">
        <v>0</v>
      </c>
      <c r="E13" s="26" t="s">
        <v>46</v>
      </c>
      <c r="F13" s="28">
        <f>IF(E13="NÃO",0,D13*Dados!$G$33)</f>
        <v>0</v>
      </c>
      <c r="G13" s="30">
        <v>0</v>
      </c>
      <c r="H13" s="29">
        <v>0</v>
      </c>
      <c r="I13" s="31">
        <v>0</v>
      </c>
      <c r="J13" s="30">
        <v>0</v>
      </c>
      <c r="K13" s="32">
        <f>I13+J13</f>
        <v>0</v>
      </c>
      <c r="L13" s="33">
        <v>0</v>
      </c>
      <c r="M13" s="33">
        <v>0</v>
      </c>
      <c r="N13" s="34"/>
      <c r="O13" s="35">
        <f>Resumo!S14</f>
        <v>0</v>
      </c>
      <c r="P13" s="36">
        <f>Resumo!V14</f>
        <v>0</v>
      </c>
      <c r="Q13" s="37">
        <f>Resumo!W14</f>
        <v>9116.84</v>
      </c>
      <c r="R13" s="38">
        <f>Dados!O9+Dados!P9+Dados!Q9</f>
        <v>0</v>
      </c>
      <c r="S13" s="26">
        <f>Dados!R9</f>
        <v>1</v>
      </c>
      <c r="T13" s="37">
        <f>ROUND((Dados!M9*Encargos!$H$59*A13),2)</f>
        <v>1153.27</v>
      </c>
      <c r="U13" s="39" t="s">
        <v>48</v>
      </c>
      <c r="V13" s="40">
        <f>SUMIF($S$11:$S$13,1,$Q$11:$Q$13)</f>
        <v>9116.84</v>
      </c>
      <c r="W13" s="41">
        <f>SUMIF($S$11:$S$13,1,$T$11:$T$13)</f>
        <v>1153.27</v>
      </c>
    </row>
    <row r="14" spans="1:23" s="50" customFormat="1" ht="12.75" hidden="1" customHeight="1" x14ac:dyDescent="0.3">
      <c r="A14" s="578" t="s">
        <v>49</v>
      </c>
      <c r="B14" s="578"/>
      <c r="C14" s="578"/>
      <c r="D14" s="578"/>
      <c r="E14" s="578"/>
      <c r="F14" s="578"/>
      <c r="G14" s="578"/>
      <c r="H14" s="42">
        <f>Resumo!I15</f>
        <v>0</v>
      </c>
      <c r="I14" s="579"/>
      <c r="J14" s="579"/>
      <c r="K14" s="43">
        <f>Resumo!L15</f>
        <v>0</v>
      </c>
      <c r="L14" s="44">
        <f>Resumo!O15</f>
        <v>0</v>
      </c>
      <c r="M14" s="44">
        <f>Resumo!R15</f>
        <v>0</v>
      </c>
      <c r="N14" s="45">
        <f>Resumo!V15</f>
        <v>0</v>
      </c>
      <c r="O14" s="46">
        <f>(H14+K14+L14+M14)</f>
        <v>0</v>
      </c>
      <c r="P14" s="47">
        <f>Resumo!V15</f>
        <v>0</v>
      </c>
      <c r="Q14" s="47">
        <f>SUM(Q11:Q13)</f>
        <v>21392.71</v>
      </c>
      <c r="R14" s="48">
        <f>SUM(R11:R13)</f>
        <v>2577.3599999999997</v>
      </c>
      <c r="S14" s="49"/>
      <c r="T14" s="47">
        <f>SUM(T11:T13)</f>
        <v>2288.2600000000002</v>
      </c>
      <c r="U14" s="47"/>
      <c r="V14" s="47">
        <f>SUM(V11:V13)</f>
        <v>21392.71</v>
      </c>
      <c r="W14" s="48">
        <f>SUM(W11:W13)</f>
        <v>2288.2600000000002</v>
      </c>
    </row>
    <row r="15" spans="1:23" hidden="1" x14ac:dyDescent="0.3">
      <c r="A15" s="51" t="s">
        <v>50</v>
      </c>
      <c r="B15" s="52"/>
      <c r="C15" s="52"/>
      <c r="D15" s="52"/>
      <c r="E15" s="52"/>
      <c r="F15" s="52"/>
      <c r="G15" s="52"/>
      <c r="H15" s="52"/>
      <c r="I15" s="52"/>
      <c r="J15" s="52"/>
    </row>
    <row r="16" spans="1:23" hidden="1" x14ac:dyDescent="0.3">
      <c r="A16" s="53" t="s">
        <v>51</v>
      </c>
      <c r="B16" s="54"/>
      <c r="C16" s="54"/>
      <c r="D16" s="54"/>
      <c r="E16" s="54"/>
      <c r="F16" s="54"/>
      <c r="G16" s="54"/>
      <c r="H16" s="54"/>
      <c r="I16" s="54"/>
      <c r="J16" s="54"/>
    </row>
    <row r="17" spans="1:23" s="50" customFormat="1" ht="12.75" hidden="1" customHeight="1" x14ac:dyDescent="0.3">
      <c r="A17" s="580" t="s">
        <v>52</v>
      </c>
      <c r="B17" s="580"/>
      <c r="C17" s="55" t="s">
        <v>53</v>
      </c>
      <c r="D17" s="55" t="s">
        <v>54</v>
      </c>
      <c r="E17" s="55" t="s">
        <v>55</v>
      </c>
      <c r="F17" s="55" t="s">
        <v>56</v>
      </c>
      <c r="H17" s="53"/>
      <c r="I17" s="56"/>
      <c r="J17" s="53"/>
      <c r="K17" s="56"/>
      <c r="L17" s="56"/>
      <c r="M17" s="56"/>
      <c r="R17" s="56"/>
      <c r="S17" s="56"/>
      <c r="T17" s="56"/>
      <c r="U17" s="56"/>
      <c r="V17" s="56"/>
      <c r="W17" s="56"/>
    </row>
    <row r="18" spans="1:23" s="50" customFormat="1" ht="13.8" hidden="1" x14ac:dyDescent="0.3">
      <c r="A18" s="580"/>
      <c r="B18" s="580"/>
      <c r="C18" s="57">
        <v>220</v>
      </c>
      <c r="D18" s="57">
        <v>10</v>
      </c>
      <c r="E18" s="57">
        <v>25</v>
      </c>
      <c r="F18" s="58">
        <f>ROUND((D18/VLOOKUP(C18,$B$85:$C$91,2,FALSE())+E18/60/VLOOKUP(C18,$B$85:$C$91,2,FALSE())),2)</f>
        <v>1.18</v>
      </c>
      <c r="H18" s="53"/>
      <c r="I18" s="56"/>
      <c r="J18" s="53"/>
      <c r="K18" s="56"/>
      <c r="L18" s="56"/>
      <c r="M18" s="56"/>
      <c r="R18" s="56"/>
      <c r="S18" s="56"/>
      <c r="T18" s="56"/>
      <c r="U18" s="56"/>
      <c r="V18" s="56"/>
      <c r="W18" s="56"/>
    </row>
    <row r="19" spans="1:23" s="50" customFormat="1" ht="21.75" hidden="1" customHeight="1" x14ac:dyDescent="0.3">
      <c r="A19" s="581" t="s">
        <v>57</v>
      </c>
      <c r="B19" s="581"/>
      <c r="C19" s="581"/>
      <c r="D19" s="581"/>
      <c r="E19" s="581"/>
      <c r="F19" s="581"/>
      <c r="G19" s="14"/>
      <c r="H19" s="14"/>
      <c r="I19" s="14"/>
      <c r="J19" s="53"/>
      <c r="K19" s="56"/>
      <c r="L19" s="56"/>
      <c r="M19" s="56"/>
      <c r="R19" s="56"/>
      <c r="S19" s="56"/>
      <c r="T19" s="56"/>
      <c r="U19" s="56"/>
      <c r="V19" s="56"/>
      <c r="W19" s="56"/>
    </row>
    <row r="20" spans="1:23" s="50" customFormat="1" ht="21" hidden="1" customHeight="1" x14ac:dyDescent="0.3">
      <c r="A20" s="581"/>
      <c r="B20" s="581"/>
      <c r="C20" s="581"/>
      <c r="D20" s="581"/>
      <c r="E20" s="581"/>
      <c r="F20" s="581"/>
      <c r="G20" s="14"/>
      <c r="H20" s="14"/>
      <c r="I20" s="14"/>
      <c r="J20" s="53"/>
      <c r="K20" s="56"/>
      <c r="L20" s="56"/>
      <c r="M20" s="56"/>
      <c r="R20" s="56"/>
      <c r="S20" s="56"/>
      <c r="T20" s="56"/>
      <c r="U20" s="56"/>
      <c r="V20" s="56"/>
      <c r="W20" s="56"/>
    </row>
    <row r="21" spans="1:23" hidden="1" x14ac:dyDescent="0.3">
      <c r="A21" s="53" t="s">
        <v>58</v>
      </c>
      <c r="B21" s="52"/>
      <c r="C21" s="52"/>
      <c r="D21" s="52"/>
      <c r="E21" s="52"/>
      <c r="F21" s="52"/>
      <c r="G21" s="52"/>
      <c r="H21" s="52"/>
      <c r="I21" s="52"/>
      <c r="J21" s="52"/>
    </row>
    <row r="22" spans="1:23" hidden="1" x14ac:dyDescent="0.3">
      <c r="A22" s="52"/>
      <c r="B22" s="52"/>
      <c r="C22" s="52"/>
      <c r="D22" s="52"/>
      <c r="E22" s="52"/>
      <c r="F22" s="52"/>
      <c r="G22" s="52"/>
      <c r="H22" s="52"/>
      <c r="I22" s="52"/>
      <c r="J22" s="52"/>
      <c r="N22" s="59"/>
      <c r="O22" s="60"/>
      <c r="P22" s="60"/>
    </row>
    <row r="23" spans="1:23" s="1" customFormat="1" ht="15" hidden="1" customHeight="1" x14ac:dyDescent="0.3">
      <c r="A23" s="582" t="s">
        <v>59</v>
      </c>
      <c r="B23" s="583" t="s">
        <v>60</v>
      </c>
      <c r="C23" s="583"/>
      <c r="D23" s="583"/>
      <c r="E23" s="583"/>
      <c r="F23" s="584" t="s">
        <v>61</v>
      </c>
      <c r="G23" s="584"/>
      <c r="H23" s="584"/>
      <c r="I23" s="585" t="s">
        <v>62</v>
      </c>
      <c r="J23" s="585"/>
      <c r="K23" s="585"/>
      <c r="L23" s="586" t="s">
        <v>63</v>
      </c>
      <c r="M23" s="586"/>
      <c r="N23" s="586"/>
      <c r="O23" s="586"/>
    </row>
    <row r="24" spans="1:23" s="1" customFormat="1" ht="51" hidden="1" customHeight="1" x14ac:dyDescent="0.3">
      <c r="A24" s="582"/>
      <c r="B24" s="580" t="s">
        <v>64</v>
      </c>
      <c r="C24" s="580"/>
      <c r="D24" s="580"/>
      <c r="E24" s="55" t="s">
        <v>65</v>
      </c>
      <c r="F24" s="55" t="s">
        <v>66</v>
      </c>
      <c r="G24" s="55" t="s">
        <v>67</v>
      </c>
      <c r="H24" s="64" t="s">
        <v>68</v>
      </c>
      <c r="I24" s="585"/>
      <c r="J24" s="585"/>
      <c r="K24" s="585"/>
      <c r="L24" s="65" t="s">
        <v>69</v>
      </c>
      <c r="M24" s="55" t="s">
        <v>70</v>
      </c>
      <c r="N24" s="55" t="s">
        <v>71</v>
      </c>
      <c r="O24" s="64" t="s">
        <v>72</v>
      </c>
      <c r="V24" s="14"/>
    </row>
    <row r="25" spans="1:23" s="1" customFormat="1" hidden="1" x14ac:dyDescent="0.3">
      <c r="A25" s="66">
        <v>1</v>
      </c>
      <c r="B25" s="587" t="str">
        <f>Materiais!B9</f>
        <v>Água sanitária galão de 5 litros, composição do produto: hipoclorito de sódio 2,5%, hidróxido de sódio e veículo.,teor de cloro ativo entre 2,0 e 2,5% p/p.</v>
      </c>
      <c r="C25" s="587"/>
      <c r="D25" s="587"/>
      <c r="E25" s="67" t="str">
        <f>Materiais!C9</f>
        <v>galão</v>
      </c>
      <c r="F25" s="68" t="str">
        <f>Materiais!D9</f>
        <v>Santa Clara</v>
      </c>
      <c r="G25" s="69">
        <f t="shared" ref="G25:G57" si="0">IF($D$4="PLANILHA PARA LICITAÇÃO (PRECIFICAÇÃO)",L25,0)</f>
        <v>2</v>
      </c>
      <c r="H25" s="70">
        <f>G25*Materiais!G9</f>
        <v>31.48</v>
      </c>
      <c r="I25" s="588" t="str">
        <f t="shared" ref="I25" si="1">IF(G25&lt;L25,"Fornecimento inferior ao estimado mensalmente",IF(G25=L25,"Fornecimento igual ao estimado mensalmente",IF(G25&gt;L25,"Fornecimento superior ao estimado mensalmente",)))</f>
        <v>Fornecimento igual ao estimado mensalmente</v>
      </c>
      <c r="J25" s="588"/>
      <c r="K25" s="588"/>
      <c r="L25" s="71">
        <f t="shared" ref="L25:L57" si="2">M25/O25</f>
        <v>2</v>
      </c>
      <c r="M25" s="72">
        <f>Materiais!E9</f>
        <v>2</v>
      </c>
      <c r="N25" s="73" t="str">
        <f>Materiais!F9</f>
        <v>Mensal</v>
      </c>
      <c r="O25" s="74">
        <f t="shared" ref="O25:O57" si="3">IF(N25="MENSAL",1,IF(N25="BIMESTRAL",2,IF(N25="TRIMESTRAL",3,IF(N25="QUADRIMESTRAL",4,IF(N25="SEMESTRAL",6,IF(N25="ANUAL",12,IF(N25="BIENAL",24,"")))))))</f>
        <v>1</v>
      </c>
      <c r="V25" s="3"/>
    </row>
    <row r="26" spans="1:23" s="1" customFormat="1" ht="14.4" hidden="1" customHeight="1" x14ac:dyDescent="0.3">
      <c r="A26" s="75">
        <v>2</v>
      </c>
      <c r="B26" s="587" t="str">
        <f>Materiais!B10</f>
        <v>Álcool Etílico Limpeza De Ambientes - Álcool Etílico Limpeza De Ambientes Tipo: Hidratado , Aplicação: Produto Limpeza Doméstica , Características Adicionais: Incolor , Concentração: 46% - Litro</v>
      </c>
      <c r="C26" s="587"/>
      <c r="D26" s="587"/>
      <c r="E26" s="67" t="str">
        <f>Materiais!C10</f>
        <v>Unid.</v>
      </c>
      <c r="F26" s="68" t="str">
        <f>Materiais!D10</f>
        <v>Facilita</v>
      </c>
      <c r="G26" s="69">
        <f t="shared" si="0"/>
        <v>4</v>
      </c>
      <c r="H26" s="70">
        <f>G26*Materiais!G10</f>
        <v>24.6</v>
      </c>
      <c r="I26" s="588" t="str">
        <f t="shared" ref="I26:I57" si="4">IF(G26&lt;L26,"Fornecimento inferior ao estimado mensalmente",IF(G26=L26,"Fornecimento igual ao estimado mensalmente",IF(G26&gt;L26,"Fornecimento superior ao estimado mensalmente",)))</f>
        <v>Fornecimento igual ao estimado mensalmente</v>
      </c>
      <c r="J26" s="588"/>
      <c r="K26" s="588"/>
      <c r="L26" s="71">
        <f t="shared" si="2"/>
        <v>4</v>
      </c>
      <c r="M26" s="72">
        <f>Materiais!E10</f>
        <v>4</v>
      </c>
      <c r="N26" s="73" t="str">
        <f>Materiais!F10</f>
        <v>Mensal</v>
      </c>
      <c r="O26" s="74">
        <f t="shared" si="3"/>
        <v>1</v>
      </c>
      <c r="V26" s="3"/>
    </row>
    <row r="27" spans="1:23" s="1" customFormat="1" ht="14.4" hidden="1" customHeight="1" x14ac:dyDescent="0.3">
      <c r="A27" s="75">
        <v>3</v>
      </c>
      <c r="B27" s="587" t="str">
        <f>Materiais!B11</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87"/>
      <c r="D27" s="587"/>
      <c r="E27" s="67" t="str">
        <f>Materiais!C11</f>
        <v>galão</v>
      </c>
      <c r="F27" s="68" t="str">
        <f>Materiais!D11</f>
        <v>Asseptgel</v>
      </c>
      <c r="G27" s="69">
        <f t="shared" si="0"/>
        <v>1</v>
      </c>
      <c r="H27" s="70">
        <f>G27*Materiais!G11</f>
        <v>51.61</v>
      </c>
      <c r="I27" s="588" t="str">
        <f t="shared" si="4"/>
        <v>Fornecimento igual ao estimado mensalmente</v>
      </c>
      <c r="J27" s="588"/>
      <c r="K27" s="588"/>
      <c r="L27" s="71">
        <f t="shared" si="2"/>
        <v>1</v>
      </c>
      <c r="M27" s="72">
        <f>Materiais!E11</f>
        <v>1</v>
      </c>
      <c r="N27" s="73" t="str">
        <f>Materiais!F11</f>
        <v>Mensal</v>
      </c>
      <c r="O27" s="74">
        <f t="shared" si="3"/>
        <v>1</v>
      </c>
      <c r="V27" s="3"/>
    </row>
    <row r="28" spans="1:23" s="1" customFormat="1" ht="14.4" hidden="1" customHeight="1" x14ac:dyDescent="0.3">
      <c r="A28" s="66">
        <v>4</v>
      </c>
      <c r="B28" s="587" t="str">
        <f>Materiais!B12</f>
        <v>Balde plástico, reforçado, com alça, em polipropileno, alta resistência, com capacidade para 20 litros. o produto deverá conter todos os dados de identificação e procedência do produto, o registro nos órgãos competentes, com prazo de validade.</v>
      </c>
      <c r="C28" s="587"/>
      <c r="D28" s="587"/>
      <c r="E28" s="67" t="str">
        <f>Materiais!C12</f>
        <v>unid.</v>
      </c>
      <c r="F28" s="68">
        <f>Materiais!D12</f>
        <v>0</v>
      </c>
      <c r="G28" s="69">
        <f t="shared" si="0"/>
        <v>0.33333333333333331</v>
      </c>
      <c r="H28" s="70">
        <f>G28*Materiais!G12</f>
        <v>6.9666666666666659</v>
      </c>
      <c r="I28" s="588" t="str">
        <f t="shared" si="4"/>
        <v>Fornecimento igual ao estimado mensalmente</v>
      </c>
      <c r="J28" s="588"/>
      <c r="K28" s="588"/>
      <c r="L28" s="71">
        <f t="shared" si="2"/>
        <v>0.33333333333333331</v>
      </c>
      <c r="M28" s="72">
        <f>Materiais!E12</f>
        <v>4</v>
      </c>
      <c r="N28" s="73" t="str">
        <f>Materiais!F12</f>
        <v>Anual</v>
      </c>
      <c r="O28" s="74">
        <f t="shared" si="3"/>
        <v>12</v>
      </c>
      <c r="V28" s="3"/>
    </row>
    <row r="29" spans="1:23" s="1" customFormat="1" ht="14.4" hidden="1" customHeight="1" x14ac:dyDescent="0.3">
      <c r="A29" s="75">
        <v>5</v>
      </c>
      <c r="B29" s="587" t="str">
        <f>Materiais!B13</f>
        <v>Desentupidor Pia: Tipo: Sanfonado, Com Alto Poder De Sucção. Material: Borracha Flexível, Composto Por Polipropileno E Borracha Termoplástica. Plástico Resistente, Cabo Longo, mínimo 20 CM.</v>
      </c>
      <c r="C29" s="587"/>
      <c r="D29" s="587"/>
      <c r="E29" s="67" t="str">
        <f>Materiais!C13</f>
        <v>unid.</v>
      </c>
      <c r="F29" s="68" t="str">
        <f>Materiais!D13</f>
        <v>Oliveira e Azevedo</v>
      </c>
      <c r="G29" s="69">
        <f t="shared" si="0"/>
        <v>8.3333333333333329E-2</v>
      </c>
      <c r="H29" s="70">
        <f>G29*Materiais!G13</f>
        <v>0.81</v>
      </c>
      <c r="I29" s="588" t="str">
        <f t="shared" si="4"/>
        <v>Fornecimento igual ao estimado mensalmente</v>
      </c>
      <c r="J29" s="588"/>
      <c r="K29" s="588"/>
      <c r="L29" s="71">
        <f t="shared" si="2"/>
        <v>8.3333333333333329E-2</v>
      </c>
      <c r="M29" s="72">
        <f>Materiais!E13</f>
        <v>1</v>
      </c>
      <c r="N29" s="73" t="str">
        <f>Materiais!F13</f>
        <v>Anual</v>
      </c>
      <c r="O29" s="74">
        <f t="shared" si="3"/>
        <v>12</v>
      </c>
      <c r="V29" s="3"/>
    </row>
    <row r="30" spans="1:23" s="1" customFormat="1" ht="14.4" hidden="1" customHeight="1" x14ac:dyDescent="0.3">
      <c r="A30" s="75">
        <v>6</v>
      </c>
      <c r="B30" s="587" t="str">
        <f>Materiais!B14</f>
        <v>Desentupidor Vaso Sanitário Material: Borracha Flexível, Comprimento Cabo: 50 CM, Altura: 10 CM, Cor: Preta , Diâmetro: 16 CM, MaterialCabo: Madeira</v>
      </c>
      <c r="C30" s="587"/>
      <c r="D30" s="587"/>
      <c r="E30" s="67" t="str">
        <f>Materiais!C14</f>
        <v>unid.</v>
      </c>
      <c r="F30" s="68" t="str">
        <f>Materiais!D14</f>
        <v>Canada</v>
      </c>
      <c r="G30" s="69">
        <f t="shared" si="0"/>
        <v>8.3333333333333329E-2</v>
      </c>
      <c r="H30" s="70">
        <f>G30*Materiais!G14</f>
        <v>1.2224999999999999</v>
      </c>
      <c r="I30" s="588" t="str">
        <f t="shared" si="4"/>
        <v>Fornecimento igual ao estimado mensalmente</v>
      </c>
      <c r="J30" s="588"/>
      <c r="K30" s="588"/>
      <c r="L30" s="71">
        <f t="shared" si="2"/>
        <v>8.3333333333333329E-2</v>
      </c>
      <c r="M30" s="72">
        <f>Materiais!E14</f>
        <v>1</v>
      </c>
      <c r="N30" s="73" t="str">
        <f>Materiais!F14</f>
        <v>Anual</v>
      </c>
      <c r="O30" s="74">
        <f t="shared" si="3"/>
        <v>12</v>
      </c>
      <c r="V30" s="3"/>
    </row>
    <row r="31" spans="1:23" s="1" customFormat="1" ht="14.4" hidden="1" customHeight="1" x14ac:dyDescent="0.3">
      <c r="A31" s="66">
        <v>7</v>
      </c>
      <c r="B31" s="587" t="str">
        <f>Materiais!B15</f>
        <v>Desinfetante concentrado líquido. Aroma floral. Embalagem com 5 litros.</v>
      </c>
      <c r="C31" s="587"/>
      <c r="D31" s="587"/>
      <c r="E31" s="67" t="str">
        <f>Materiais!C15</f>
        <v>galão</v>
      </c>
      <c r="F31" s="68" t="str">
        <f>Materiais!D15</f>
        <v>Mirax Floral Bouquet</v>
      </c>
      <c r="G31" s="69">
        <f t="shared" si="0"/>
        <v>3</v>
      </c>
      <c r="H31" s="70">
        <f>G31*Materiais!G15</f>
        <v>105.81</v>
      </c>
      <c r="I31" s="588" t="str">
        <f t="shared" si="4"/>
        <v>Fornecimento igual ao estimado mensalmente</v>
      </c>
      <c r="J31" s="588"/>
      <c r="K31" s="588"/>
      <c r="L31" s="71">
        <f t="shared" si="2"/>
        <v>3</v>
      </c>
      <c r="M31" s="72">
        <f>Materiais!E15</f>
        <v>3</v>
      </c>
      <c r="N31" s="73" t="str">
        <f>Materiais!F15</f>
        <v>Mensal</v>
      </c>
      <c r="O31" s="74">
        <f t="shared" si="3"/>
        <v>1</v>
      </c>
      <c r="V31" s="3"/>
    </row>
    <row r="32" spans="1:23" s="1" customFormat="1" ht="14.4" hidden="1" customHeight="1" x14ac:dyDescent="0.3">
      <c r="A32" s="75">
        <v>8</v>
      </c>
      <c r="B32" s="587" t="str">
        <f>Materiais!B16</f>
        <v>Detergente clorado - detergente clorado para limpeza e desinfeção de pisos, paredes e superfies fixas em geral. composi: hidrido de sio, surfactant e n iico, alcalinizante e veulo. 05 Litros</v>
      </c>
      <c r="C32" s="587"/>
      <c r="D32" s="587"/>
      <c r="E32" s="67" t="str">
        <f>Materiais!C16</f>
        <v>galão</v>
      </c>
      <c r="F32" s="68">
        <f>Materiais!D16</f>
        <v>0</v>
      </c>
      <c r="G32" s="69">
        <f t="shared" si="0"/>
        <v>2</v>
      </c>
      <c r="H32" s="70">
        <f>G32*Materiais!G16</f>
        <v>59.84</v>
      </c>
      <c r="I32" s="588" t="str">
        <f t="shared" si="4"/>
        <v>Fornecimento igual ao estimado mensalmente</v>
      </c>
      <c r="J32" s="588"/>
      <c r="K32" s="588"/>
      <c r="L32" s="71">
        <f t="shared" si="2"/>
        <v>2</v>
      </c>
      <c r="M32" s="72">
        <f>Materiais!E16</f>
        <v>2</v>
      </c>
      <c r="N32" s="73" t="str">
        <f>Materiais!F16</f>
        <v>Mensal</v>
      </c>
      <c r="O32" s="74">
        <f t="shared" si="3"/>
        <v>1</v>
      </c>
      <c r="V32" s="3"/>
    </row>
    <row r="33" spans="1:22" s="1" customFormat="1" ht="15" hidden="1" customHeight="1" x14ac:dyDescent="0.3">
      <c r="A33" s="75">
        <v>9</v>
      </c>
      <c r="B33" s="587" t="str">
        <f>Materiais!B17</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3" s="587"/>
      <c r="D33" s="587"/>
      <c r="E33" s="67" t="str">
        <f>Materiais!C17</f>
        <v>unid.</v>
      </c>
      <c r="F33" s="68" t="str">
        <f>Materiais!D17</f>
        <v>Limpol</v>
      </c>
      <c r="G33" s="69">
        <f t="shared" si="0"/>
        <v>15</v>
      </c>
      <c r="H33" s="70">
        <f>G33*Materiais!G17</f>
        <v>69.3</v>
      </c>
      <c r="I33" s="588" t="str">
        <f t="shared" si="4"/>
        <v>Fornecimento igual ao estimado mensalmente</v>
      </c>
      <c r="J33" s="588"/>
      <c r="K33" s="588"/>
      <c r="L33" s="71">
        <f t="shared" si="2"/>
        <v>15</v>
      </c>
      <c r="M33" s="72">
        <f>Materiais!E17</f>
        <v>15</v>
      </c>
      <c r="N33" s="73" t="str">
        <f>Materiais!F17</f>
        <v>Mensal</v>
      </c>
      <c r="O33" s="74">
        <f t="shared" si="3"/>
        <v>1</v>
      </c>
      <c r="V33" s="3"/>
    </row>
    <row r="34" spans="1:22" s="1" customFormat="1" ht="15" hidden="1" customHeight="1" x14ac:dyDescent="0.3">
      <c r="A34" s="66">
        <v>10</v>
      </c>
      <c r="B34" s="587" t="str">
        <f>Materiais!B18</f>
        <v>Escova para lavar multiuso, oval, base plástica e cerdas de escova para lavar multiuso, oval, base plástica e cerdas de nylon.</v>
      </c>
      <c r="C34" s="587"/>
      <c r="D34" s="587"/>
      <c r="E34" s="67" t="str">
        <f>Materiais!C18</f>
        <v>Unid.</v>
      </c>
      <c r="F34" s="68" t="str">
        <f>Materiais!D18</f>
        <v>Condor</v>
      </c>
      <c r="G34" s="69">
        <f t="shared" si="0"/>
        <v>8.3333333333333329E-2</v>
      </c>
      <c r="H34" s="70">
        <f>G34*Materiais!G18</f>
        <v>0.26</v>
      </c>
      <c r="I34" s="588" t="str">
        <f t="shared" si="4"/>
        <v>Fornecimento igual ao estimado mensalmente</v>
      </c>
      <c r="J34" s="588"/>
      <c r="K34" s="588"/>
      <c r="L34" s="71">
        <f t="shared" si="2"/>
        <v>8.3333333333333329E-2</v>
      </c>
      <c r="M34" s="72">
        <f>Materiais!E18</f>
        <v>1</v>
      </c>
      <c r="N34" s="73" t="str">
        <f>Materiais!F18</f>
        <v>Anual</v>
      </c>
      <c r="O34" s="74">
        <f t="shared" si="3"/>
        <v>12</v>
      </c>
      <c r="V34" s="3"/>
    </row>
    <row r="35" spans="1:22" s="1" customFormat="1" ht="14.4" hidden="1" customHeight="1" x14ac:dyDescent="0.3">
      <c r="A35" s="75">
        <v>11</v>
      </c>
      <c r="B35" s="587" t="str">
        <f>Materiais!B19</f>
        <v>Esponja Para Lavagem De Louças E Limpeza Em Geral, Dupla Face Sintética, Um Lado Em Espuma Poliuretano E Outro Em Fibra Sintética Abrasiva, Antibacteriana, Formato Retangular, Medindo Aproximadamente 110mm X 75mm X 20mm De Espessura. Pacote com 4 unidades.</v>
      </c>
      <c r="C35" s="587"/>
      <c r="D35" s="587"/>
      <c r="E35" s="67" t="str">
        <f>Materiais!C19</f>
        <v>pacote</v>
      </c>
      <c r="F35" s="68" t="str">
        <f>Materiais!D19</f>
        <v>Scotch-Brite</v>
      </c>
      <c r="G35" s="69">
        <f t="shared" si="0"/>
        <v>6</v>
      </c>
      <c r="H35" s="70">
        <f>G35*Materiais!G19</f>
        <v>27.839999999999996</v>
      </c>
      <c r="I35" s="588" t="str">
        <f t="shared" si="4"/>
        <v>Fornecimento igual ao estimado mensalmente</v>
      </c>
      <c r="J35" s="588"/>
      <c r="K35" s="588"/>
      <c r="L35" s="71">
        <f t="shared" si="2"/>
        <v>6</v>
      </c>
      <c r="M35" s="72">
        <f>Materiais!E19</f>
        <v>6</v>
      </c>
      <c r="N35" s="73" t="str">
        <f>Materiais!F19</f>
        <v>Mensal</v>
      </c>
      <c r="O35" s="74">
        <f t="shared" si="3"/>
        <v>1</v>
      </c>
      <c r="V35" s="3"/>
    </row>
    <row r="36" spans="1:22" s="1" customFormat="1" ht="14.4" hidden="1" customHeight="1" x14ac:dyDescent="0.3">
      <c r="A36" s="75">
        <v>12</v>
      </c>
      <c r="B36" s="587" t="str">
        <f>Materiais!B20</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6" s="587"/>
      <c r="D36" s="587"/>
      <c r="E36" s="67" t="str">
        <f>Materiais!C20</f>
        <v>unid.</v>
      </c>
      <c r="F36" s="68" t="str">
        <f>Materiais!D20</f>
        <v>Intextil</v>
      </c>
      <c r="G36" s="69">
        <f t="shared" si="0"/>
        <v>3</v>
      </c>
      <c r="H36" s="70">
        <f>G36*Materiais!G20</f>
        <v>12.39</v>
      </c>
      <c r="I36" s="588" t="str">
        <f t="shared" si="4"/>
        <v>Fornecimento igual ao estimado mensalmente</v>
      </c>
      <c r="J36" s="588"/>
      <c r="K36" s="588"/>
      <c r="L36" s="71">
        <f t="shared" si="2"/>
        <v>3</v>
      </c>
      <c r="M36" s="72">
        <f>Materiais!E20</f>
        <v>3</v>
      </c>
      <c r="N36" s="73" t="str">
        <f>Materiais!F20</f>
        <v>Mensal</v>
      </c>
      <c r="O36" s="74">
        <f t="shared" si="3"/>
        <v>1</v>
      </c>
      <c r="V36" s="3"/>
    </row>
    <row r="37" spans="1:22" s="1" customFormat="1" hidden="1" x14ac:dyDescent="0.3">
      <c r="A37" s="66">
        <v>13</v>
      </c>
      <c r="B37" s="587" t="str">
        <f>Materiais!B21</f>
        <v>Esponja de LÃ DE AÇO, composição básica: aço carbono abrasivo, p/ limpeza em geral, acondicionada em embalagem plástica original do fabricante, peso líquido aproximado de 60g, pacote c/ 08 unidades</v>
      </c>
      <c r="C37" s="587"/>
      <c r="D37" s="587"/>
      <c r="E37" s="67" t="str">
        <f>Materiais!C21</f>
        <v>pacote</v>
      </c>
      <c r="F37" s="68" t="str">
        <f>Materiais!D21</f>
        <v>Bombril</v>
      </c>
      <c r="G37" s="69">
        <f t="shared" si="0"/>
        <v>2</v>
      </c>
      <c r="H37" s="70">
        <f>G37*Materiais!G21</f>
        <v>5.34</v>
      </c>
      <c r="I37" s="588" t="str">
        <f t="shared" si="4"/>
        <v>Fornecimento igual ao estimado mensalmente</v>
      </c>
      <c r="J37" s="588"/>
      <c r="K37" s="588"/>
      <c r="L37" s="71">
        <f t="shared" si="2"/>
        <v>2</v>
      </c>
      <c r="M37" s="72">
        <f>Materiais!E21</f>
        <v>2</v>
      </c>
      <c r="N37" s="73" t="str">
        <f>Materiais!F21</f>
        <v>Mensal</v>
      </c>
      <c r="O37" s="74">
        <f t="shared" si="3"/>
        <v>1</v>
      </c>
      <c r="V37" s="3"/>
    </row>
    <row r="38" spans="1:22" s="1" customFormat="1" ht="14.4" hidden="1" customHeight="1" x14ac:dyDescent="0.3">
      <c r="A38" s="75">
        <v>14</v>
      </c>
      <c r="B38" s="587" t="str">
        <f>Materiais!B22</f>
        <v>Limpa vidro 500ml (Veja ou similar)</v>
      </c>
      <c r="C38" s="587"/>
      <c r="D38" s="587"/>
      <c r="E38" s="67" t="str">
        <f>Materiais!C22</f>
        <v>Unid.</v>
      </c>
      <c r="F38" s="68" t="str">
        <f>Materiais!D22</f>
        <v>Veja</v>
      </c>
      <c r="G38" s="69">
        <f t="shared" si="0"/>
        <v>2</v>
      </c>
      <c r="H38" s="70">
        <f>G38*Materiais!G22</f>
        <v>35.28</v>
      </c>
      <c r="I38" s="588" t="str">
        <f t="shared" si="4"/>
        <v>Fornecimento igual ao estimado mensalmente</v>
      </c>
      <c r="J38" s="588"/>
      <c r="K38" s="588"/>
      <c r="L38" s="71">
        <f t="shared" si="2"/>
        <v>2</v>
      </c>
      <c r="M38" s="72">
        <f>Materiais!E22</f>
        <v>2</v>
      </c>
      <c r="N38" s="73" t="str">
        <f>Materiais!F22</f>
        <v>Mensal</v>
      </c>
      <c r="O38" s="74">
        <f t="shared" si="3"/>
        <v>1</v>
      </c>
      <c r="V38" s="3"/>
    </row>
    <row r="39" spans="1:22" s="1" customFormat="1" ht="14.4" hidden="1" customHeight="1" x14ac:dyDescent="0.3">
      <c r="A39" s="75">
        <v>15</v>
      </c>
      <c r="B39" s="587" t="str">
        <f>Materiais!B23</f>
        <v>Luva Segurança Com Forro. Material: 100% Látex Nitrílico , Tamanho: M ou G ,Aplicação: Manuseio Reagente Químico E Radioativo , Características Adicionais: Com Forro, Sem Talco, Pulso Com Bainha , Modelo: Palma Antiderrapante, Cor: Verde, Tipo: Ambidestra</v>
      </c>
      <c r="C39" s="587"/>
      <c r="D39" s="587"/>
      <c r="E39" s="67" t="str">
        <f>Materiais!C23</f>
        <v>Par</v>
      </c>
      <c r="F39" s="68" t="str">
        <f>Materiais!D23</f>
        <v>Bettanin</v>
      </c>
      <c r="G39" s="69">
        <f t="shared" si="0"/>
        <v>4</v>
      </c>
      <c r="H39" s="70">
        <f>G39*Materiais!G23</f>
        <v>56.64</v>
      </c>
      <c r="I39" s="588" t="str">
        <f t="shared" si="4"/>
        <v>Fornecimento igual ao estimado mensalmente</v>
      </c>
      <c r="J39" s="588"/>
      <c r="K39" s="588"/>
      <c r="L39" s="71">
        <f t="shared" si="2"/>
        <v>4</v>
      </c>
      <c r="M39" s="72">
        <f>Materiais!E23</f>
        <v>4</v>
      </c>
      <c r="N39" s="73" t="str">
        <f>Materiais!F23</f>
        <v>Mensal</v>
      </c>
      <c r="O39" s="74">
        <f t="shared" si="3"/>
        <v>1</v>
      </c>
      <c r="V39" s="3"/>
    </row>
    <row r="40" spans="1:22" s="1" customFormat="1" ht="14.4" hidden="1" customHeight="1" x14ac:dyDescent="0.3">
      <c r="A40" s="66">
        <v>16</v>
      </c>
      <c r="B40" s="587" t="str">
        <f>Materiais!B24</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40" s="587"/>
      <c r="D40" s="587"/>
      <c r="E40" s="67" t="str">
        <f>Materiais!C24</f>
        <v>unid.</v>
      </c>
      <c r="F40" s="68" t="str">
        <f>Materiais!D24</f>
        <v>Veja</v>
      </c>
      <c r="G40" s="69">
        <f t="shared" si="0"/>
        <v>15</v>
      </c>
      <c r="H40" s="70">
        <f>G40*Materiais!G24</f>
        <v>94.5</v>
      </c>
      <c r="I40" s="588" t="str">
        <f t="shared" si="4"/>
        <v>Fornecimento igual ao estimado mensalmente</v>
      </c>
      <c r="J40" s="588"/>
      <c r="K40" s="588"/>
      <c r="L40" s="71">
        <f t="shared" si="2"/>
        <v>15</v>
      </c>
      <c r="M40" s="72">
        <f>Materiais!E24</f>
        <v>15</v>
      </c>
      <c r="N40" s="73" t="str">
        <f>Materiais!F24</f>
        <v>Mensal</v>
      </c>
      <c r="O40" s="74">
        <f t="shared" si="3"/>
        <v>1</v>
      </c>
      <c r="V40" s="3"/>
    </row>
    <row r="41" spans="1:22" s="1" customFormat="1" ht="14.4" hidden="1" customHeight="1" x14ac:dyDescent="0.3">
      <c r="A41" s="75">
        <v>17</v>
      </c>
      <c r="B41" s="587" t="str">
        <f>Materiais!B25</f>
        <v>Pá p/ lixo em plástico resistente c/ cabo de madeira de 60cm de altura na vertical.</v>
      </c>
      <c r="C41" s="587"/>
      <c r="D41" s="587"/>
      <c r="E41" s="67" t="str">
        <f>Materiais!C25</f>
        <v>Unid.</v>
      </c>
      <c r="F41" s="68" t="str">
        <f>Materiais!D25</f>
        <v>Bettanin</v>
      </c>
      <c r="G41" s="69">
        <f t="shared" si="0"/>
        <v>8.3333333333333329E-2</v>
      </c>
      <c r="H41" s="70">
        <f>G41*Materiais!G25</f>
        <v>0.97249999999999992</v>
      </c>
      <c r="I41" s="588" t="str">
        <f t="shared" si="4"/>
        <v>Fornecimento igual ao estimado mensalmente</v>
      </c>
      <c r="J41" s="588"/>
      <c r="K41" s="588"/>
      <c r="L41" s="71">
        <f t="shared" si="2"/>
        <v>8.3333333333333329E-2</v>
      </c>
      <c r="M41" s="72">
        <f>Materiais!E25</f>
        <v>1</v>
      </c>
      <c r="N41" s="73" t="str">
        <f>Materiais!F25</f>
        <v>Anual</v>
      </c>
      <c r="O41" s="74">
        <f t="shared" si="3"/>
        <v>12</v>
      </c>
      <c r="V41" s="3"/>
    </row>
    <row r="42" spans="1:22" s="1" customFormat="1" ht="14.4" hidden="1" customHeight="1" x14ac:dyDescent="0.3">
      <c r="A42" s="75">
        <v>18</v>
      </c>
      <c r="B42" s="587" t="str">
        <f>Materiais!B26</f>
        <v>Pano de copa aberto 100% dimensões mínimas 40x60cm</v>
      </c>
      <c r="C42" s="587"/>
      <c r="D42" s="587"/>
      <c r="E42" s="67" t="str">
        <f>Materiais!C26</f>
        <v>unid.</v>
      </c>
      <c r="F42" s="68" t="str">
        <f>Materiais!D26</f>
        <v>Karsten</v>
      </c>
      <c r="G42" s="69">
        <f t="shared" si="0"/>
        <v>4</v>
      </c>
      <c r="H42" s="70">
        <f>G42*Materiais!G26</f>
        <v>27.56</v>
      </c>
      <c r="I42" s="588" t="str">
        <f t="shared" si="4"/>
        <v>Fornecimento igual ao estimado mensalmente</v>
      </c>
      <c r="J42" s="588"/>
      <c r="K42" s="588"/>
      <c r="L42" s="71">
        <f t="shared" si="2"/>
        <v>4</v>
      </c>
      <c r="M42" s="72">
        <f>Materiais!E26</f>
        <v>4</v>
      </c>
      <c r="N42" s="73" t="str">
        <f>Materiais!F26</f>
        <v>Mensal</v>
      </c>
      <c r="O42" s="74">
        <f t="shared" si="3"/>
        <v>1</v>
      </c>
      <c r="V42" s="3"/>
    </row>
    <row r="43" spans="1:22" s="1" customFormat="1" ht="14.4" hidden="1" customHeight="1" x14ac:dyDescent="0.3">
      <c r="A43" s="66">
        <v>19</v>
      </c>
      <c r="B43" s="587" t="str">
        <f>Materiais!B27</f>
        <v>Papel higiênico branco, folha dupla, de alta qualidade, com dimensões 10cm X 30m, com a marca do fabricante e indicação na embalagem, absorvente e resistente, fardo com 12 rolos de 30 metros. Tipo Neve ou de melhor qualidade.</v>
      </c>
      <c r="C43" s="587"/>
      <c r="D43" s="587"/>
      <c r="E43" s="67" t="str">
        <f>Materiais!C27</f>
        <v>Fardo com 12 rolos</v>
      </c>
      <c r="F43" s="68" t="str">
        <f>Materiais!D27</f>
        <v>Neve</v>
      </c>
      <c r="G43" s="69">
        <f t="shared" si="0"/>
        <v>10</v>
      </c>
      <c r="H43" s="70">
        <f>G43*Materiais!G27</f>
        <v>159.4</v>
      </c>
      <c r="I43" s="588" t="str">
        <f t="shared" si="4"/>
        <v>Fornecimento igual ao estimado mensalmente</v>
      </c>
      <c r="J43" s="588"/>
      <c r="K43" s="588"/>
      <c r="L43" s="71">
        <f t="shared" si="2"/>
        <v>10</v>
      </c>
      <c r="M43" s="72">
        <f>Materiais!E27</f>
        <v>10</v>
      </c>
      <c r="N43" s="73" t="str">
        <f>Materiais!F27</f>
        <v>Mensal</v>
      </c>
      <c r="O43" s="74">
        <f t="shared" si="3"/>
        <v>1</v>
      </c>
      <c r="V43" s="3"/>
    </row>
    <row r="44" spans="1:22" s="1" customFormat="1" ht="27.6" hidden="1" customHeight="1" x14ac:dyDescent="0.3">
      <c r="A44" s="75">
        <v>20</v>
      </c>
      <c r="B44" s="587" t="str">
        <f>Materiais!B28</f>
        <v>Papel Toalha Interfolhado, 2 dobras, 100% fibras celulósicas, branco extra luxo, sem pintas ou outros tipos de sujidades, boa qualidade , medindo aproximadamente 23cm x 23 cm , acondicionado em caixa c/1000 folhas.</v>
      </c>
      <c r="C44" s="587"/>
      <c r="D44" s="587"/>
      <c r="E44" s="67" t="str">
        <f>Materiais!C28</f>
        <v>pacote</v>
      </c>
      <c r="F44" s="68" t="str">
        <f>Materiais!D28</f>
        <v>Economy (Jofel) ou similar</v>
      </c>
      <c r="G44" s="69">
        <f t="shared" si="0"/>
        <v>25</v>
      </c>
      <c r="H44" s="70">
        <f>G44*Materiais!G28</f>
        <v>631.5</v>
      </c>
      <c r="I44" s="588" t="str">
        <f t="shared" si="4"/>
        <v>Fornecimento igual ao estimado mensalmente</v>
      </c>
      <c r="J44" s="588"/>
      <c r="K44" s="588"/>
      <c r="L44" s="71">
        <f t="shared" si="2"/>
        <v>25</v>
      </c>
      <c r="M44" s="72">
        <f>Materiais!E28</f>
        <v>25</v>
      </c>
      <c r="N44" s="73" t="str">
        <f>Materiais!F28</f>
        <v>Mensal</v>
      </c>
      <c r="O44" s="74">
        <f t="shared" si="3"/>
        <v>1</v>
      </c>
      <c r="V44" s="3"/>
    </row>
    <row r="45" spans="1:22" s="1" customFormat="1" ht="27.6" hidden="1" customHeight="1" x14ac:dyDescent="0.3">
      <c r="A45" s="75">
        <v>21</v>
      </c>
      <c r="B45" s="587" t="str">
        <f>Materiais!B29</f>
        <v>Pedra sanitária c/ 25g - com suporte para fixar no vaso sanitário. Desinfetante sanitário em pedra 25 g</v>
      </c>
      <c r="C45" s="587"/>
      <c r="D45" s="587"/>
      <c r="E45" s="67" t="str">
        <f>Materiais!C29</f>
        <v>Unid.</v>
      </c>
      <c r="F45" s="68" t="str">
        <f>Materiais!D29</f>
        <v>Harpic, Pato</v>
      </c>
      <c r="G45" s="69">
        <f t="shared" si="0"/>
        <v>30</v>
      </c>
      <c r="H45" s="70">
        <f>G45*Materiais!G29</f>
        <v>105.6</v>
      </c>
      <c r="I45" s="588" t="str">
        <f t="shared" si="4"/>
        <v>Fornecimento igual ao estimado mensalmente</v>
      </c>
      <c r="J45" s="588"/>
      <c r="K45" s="588"/>
      <c r="L45" s="71">
        <f t="shared" si="2"/>
        <v>30</v>
      </c>
      <c r="M45" s="72">
        <f>Materiais!E29</f>
        <v>30</v>
      </c>
      <c r="N45" s="73" t="str">
        <f>Materiais!F29</f>
        <v>Mensal</v>
      </c>
      <c r="O45" s="74">
        <f t="shared" si="3"/>
        <v>1</v>
      </c>
      <c r="V45" s="3"/>
    </row>
    <row r="46" spans="1:22" s="1" customFormat="1" ht="14.4" hidden="1" customHeight="1" x14ac:dyDescent="0.3">
      <c r="A46" s="66">
        <v>22</v>
      </c>
      <c r="B46" s="587" t="str">
        <f>Materiais!B30</f>
        <v>Rodo Plástico e borracha dupla expandida de 60cm, resistente e durável, que puxa e seca a água, feita em EVA e cepo em polipropileno com garras pontiagudas nas laterais para melhor fixar panos de chão.</v>
      </c>
      <c r="C46" s="587"/>
      <c r="D46" s="587"/>
      <c r="E46" s="67" t="str">
        <f>Materiais!C30</f>
        <v>Unid.</v>
      </c>
      <c r="F46" s="68" t="str">
        <f>Materiais!D30</f>
        <v>Brubalar</v>
      </c>
      <c r="G46" s="69">
        <f t="shared" si="0"/>
        <v>0.5</v>
      </c>
      <c r="H46" s="70">
        <f>G46*Materiais!G30</f>
        <v>7.4749999999999996</v>
      </c>
      <c r="I46" s="588" t="str">
        <f t="shared" si="4"/>
        <v>Fornecimento igual ao estimado mensalmente</v>
      </c>
      <c r="J46" s="588"/>
      <c r="K46" s="588"/>
      <c r="L46" s="71">
        <f t="shared" si="2"/>
        <v>0.5</v>
      </c>
      <c r="M46" s="72">
        <f>Materiais!E30</f>
        <v>6</v>
      </c>
      <c r="N46" s="73" t="str">
        <f>Materiais!F30</f>
        <v>Anual</v>
      </c>
      <c r="O46" s="74">
        <f t="shared" si="3"/>
        <v>12</v>
      </c>
      <c r="V46" s="3"/>
    </row>
    <row r="47" spans="1:22" s="1" customFormat="1" ht="14.4" hidden="1" customHeight="1" x14ac:dyDescent="0.3">
      <c r="A47" s="75">
        <v>23</v>
      </c>
      <c r="B47" s="587" t="str">
        <f>Materiais!B31</f>
        <v>Sabão em barra glicerinado - cor neutra. Pacote com 5 de 200g cada unidade.</v>
      </c>
      <c r="C47" s="587"/>
      <c r="D47" s="587"/>
      <c r="E47" s="67" t="str">
        <f>Materiais!C31</f>
        <v>pacote</v>
      </c>
      <c r="F47" s="68" t="str">
        <f>Materiais!D31</f>
        <v>Minuano</v>
      </c>
      <c r="G47" s="69">
        <f t="shared" si="0"/>
        <v>0.5</v>
      </c>
      <c r="H47" s="70">
        <f>G47*Materiais!G31</f>
        <v>5.125</v>
      </c>
      <c r="I47" s="588" t="str">
        <f t="shared" si="4"/>
        <v>Fornecimento igual ao estimado mensalmente</v>
      </c>
      <c r="J47" s="588"/>
      <c r="K47" s="588"/>
      <c r="L47" s="71">
        <f t="shared" si="2"/>
        <v>0.5</v>
      </c>
      <c r="M47" s="72">
        <f>Materiais!E31</f>
        <v>1</v>
      </c>
      <c r="N47" s="73" t="str">
        <f>Materiais!F31</f>
        <v>Bimestral</v>
      </c>
      <c r="O47" s="74">
        <f t="shared" si="3"/>
        <v>2</v>
      </c>
      <c r="V47" s="3"/>
    </row>
    <row r="48" spans="1:22" s="1" customFormat="1" ht="14.4" hidden="1" customHeight="1" x14ac:dyDescent="0.3">
      <c r="A48" s="75">
        <v>24</v>
      </c>
      <c r="B48" s="587" t="str">
        <f>Materiais!B32</f>
        <v>Sabão em pó azul granulado, com ação amaciante e alto poder de dissolução, composição química tenso ativo aniônico, coadjuvantes, sinergistas, branqueadores ópticos, enzimas, corante, fragrância e água. Princípio ativo: linear alquil benzeno sulfonato de sódio. embalagem de 1kg</v>
      </c>
      <c r="C48" s="587"/>
      <c r="D48" s="587"/>
      <c r="E48" s="67" t="str">
        <f>Materiais!C32</f>
        <v>cx.</v>
      </c>
      <c r="F48" s="68" t="str">
        <f>Materiais!D32</f>
        <v>Omo ou similar</v>
      </c>
      <c r="G48" s="69">
        <f t="shared" si="0"/>
        <v>2</v>
      </c>
      <c r="H48" s="70">
        <f>G48*Materiais!G32</f>
        <v>32.54</v>
      </c>
      <c r="I48" s="588" t="str">
        <f t="shared" si="4"/>
        <v>Fornecimento igual ao estimado mensalmente</v>
      </c>
      <c r="J48" s="588"/>
      <c r="K48" s="588"/>
      <c r="L48" s="71">
        <f t="shared" si="2"/>
        <v>2</v>
      </c>
      <c r="M48" s="72">
        <f>Materiais!E32</f>
        <v>2</v>
      </c>
      <c r="N48" s="73" t="str">
        <f>Materiais!F32</f>
        <v>Mensal</v>
      </c>
      <c r="O48" s="74">
        <f t="shared" si="3"/>
        <v>1</v>
      </c>
      <c r="V48" s="3"/>
    </row>
    <row r="49" spans="1:22" s="1" customFormat="1" ht="14.4" hidden="1" customHeight="1" x14ac:dyDescent="0.3">
      <c r="A49" s="66">
        <v>25</v>
      </c>
      <c r="B49" s="587" t="str">
        <f>Materiais!B33</f>
        <v>Sabonete líquido Concentrado, cremoso perolizado, pronto pra uso, aroma erva-doce, lavanda ou similar, galão de 05 litros.</v>
      </c>
      <c r="C49" s="587"/>
      <c r="D49" s="587"/>
      <c r="E49" s="67" t="str">
        <f>Materiais!C33</f>
        <v>galão</v>
      </c>
      <c r="F49" s="68" t="str">
        <f>Materiais!D33</f>
        <v>Nobre, Start, Ikebana</v>
      </c>
      <c r="G49" s="69">
        <f t="shared" si="0"/>
        <v>2</v>
      </c>
      <c r="H49" s="70">
        <f>G49*Materiais!G33</f>
        <v>41.04</v>
      </c>
      <c r="I49" s="588" t="str">
        <f t="shared" si="4"/>
        <v>Fornecimento igual ao estimado mensalmente</v>
      </c>
      <c r="J49" s="588"/>
      <c r="K49" s="588"/>
      <c r="L49" s="71">
        <f t="shared" si="2"/>
        <v>2</v>
      </c>
      <c r="M49" s="72">
        <f>Materiais!E33</f>
        <v>2</v>
      </c>
      <c r="N49" s="73" t="str">
        <f>Materiais!F33</f>
        <v>Mensal</v>
      </c>
      <c r="O49" s="74">
        <f t="shared" si="3"/>
        <v>1</v>
      </c>
      <c r="V49" s="3"/>
    </row>
    <row r="50" spans="1:22" s="1" customFormat="1" ht="15" hidden="1" customHeight="1" x14ac:dyDescent="0.3">
      <c r="A50" s="75">
        <v>26</v>
      </c>
      <c r="B50" s="587" t="str">
        <f>Materiais!B34</f>
        <v>Saco de Algodão Tipo: Alvejado, Tamanho: 60 X 80 CM, Cor: Branco, Características Adicionais: Dupla Face</v>
      </c>
      <c r="C50" s="587"/>
      <c r="D50" s="587"/>
      <c r="E50" s="67" t="str">
        <f>Materiais!C34</f>
        <v>Unid.</v>
      </c>
      <c r="F50" s="68" t="str">
        <f>Materiais!D34</f>
        <v>Santa Margarida</v>
      </c>
      <c r="G50" s="69">
        <f t="shared" si="0"/>
        <v>8</v>
      </c>
      <c r="H50" s="70">
        <f>G50*Materiais!G34</f>
        <v>86.8</v>
      </c>
      <c r="I50" s="588" t="str">
        <f t="shared" si="4"/>
        <v>Fornecimento igual ao estimado mensalmente</v>
      </c>
      <c r="J50" s="588"/>
      <c r="K50" s="588"/>
      <c r="L50" s="71">
        <f t="shared" si="2"/>
        <v>8</v>
      </c>
      <c r="M50" s="72">
        <f>Materiais!E34</f>
        <v>16</v>
      </c>
      <c r="N50" s="73" t="str">
        <f>Materiais!F34</f>
        <v>Bimestral</v>
      </c>
      <c r="O50" s="74">
        <f t="shared" si="3"/>
        <v>2</v>
      </c>
      <c r="V50" s="3"/>
    </row>
    <row r="51" spans="1:22" s="1" customFormat="1" ht="14.4" hidden="1" customHeight="1" x14ac:dyDescent="0.3">
      <c r="A51" s="75">
        <v>27</v>
      </c>
      <c r="B51" s="587" t="str">
        <f>Materiais!B35</f>
        <v xml:space="preserve">Saco de lixo 20 litros, reforçado, capacidade nominal de 20 litros, cor preta, medindo no minimo 50cm x60cm, com espessura minima de 7,0micras, embalagem contendo 100 unidades. </v>
      </c>
      <c r="C51" s="587"/>
      <c r="D51" s="587"/>
      <c r="E51" s="67" t="str">
        <f>Materiais!C35</f>
        <v>Pacote</v>
      </c>
      <c r="F51" s="68" t="str">
        <f>Materiais!D35</f>
        <v>Polisac</v>
      </c>
      <c r="G51" s="69">
        <f t="shared" si="0"/>
        <v>2</v>
      </c>
      <c r="H51" s="70">
        <f>G51*Materiais!G35</f>
        <v>35.5</v>
      </c>
      <c r="I51" s="588" t="str">
        <f t="shared" si="4"/>
        <v>Fornecimento igual ao estimado mensalmente</v>
      </c>
      <c r="J51" s="588"/>
      <c r="K51" s="588"/>
      <c r="L51" s="71">
        <f t="shared" si="2"/>
        <v>2</v>
      </c>
      <c r="M51" s="72">
        <f>Materiais!E35</f>
        <v>2</v>
      </c>
      <c r="N51" s="73" t="str">
        <f>Materiais!F35</f>
        <v>Mensal</v>
      </c>
      <c r="O51" s="74">
        <f t="shared" si="3"/>
        <v>1</v>
      </c>
      <c r="V51" s="3"/>
    </row>
    <row r="52" spans="1:22" s="1" customFormat="1" ht="14.4" hidden="1" customHeight="1" x14ac:dyDescent="0.3">
      <c r="A52" s="66">
        <v>28</v>
      </c>
      <c r="B52" s="587" t="str">
        <f>Materiais!B36</f>
        <v>Saco plástico reforçado para lixo em polietileno, com capacidade de 100 litros, com estanqueidade suficiente para que não haja vazamento de lixo líquido. com espessura mínima de 10 micra, na cor preta. Pacote com 100 unidades.</v>
      </c>
      <c r="C52" s="587"/>
      <c r="D52" s="587"/>
      <c r="E52" s="67" t="str">
        <f>Materiais!C36</f>
        <v>Pacote</v>
      </c>
      <c r="F52" s="68" t="str">
        <f>Materiais!D36</f>
        <v>Polisac</v>
      </c>
      <c r="G52" s="69">
        <f t="shared" si="0"/>
        <v>12</v>
      </c>
      <c r="H52" s="70">
        <f>G52*Materiais!G36</f>
        <v>710.04</v>
      </c>
      <c r="I52" s="588" t="str">
        <f t="shared" si="4"/>
        <v>Fornecimento igual ao estimado mensalmente</v>
      </c>
      <c r="J52" s="588"/>
      <c r="K52" s="588"/>
      <c r="L52" s="71">
        <f t="shared" si="2"/>
        <v>12</v>
      </c>
      <c r="M52" s="72">
        <f>Materiais!E36</f>
        <v>12</v>
      </c>
      <c r="N52" s="73" t="str">
        <f>Materiais!F36</f>
        <v>Mensal</v>
      </c>
      <c r="O52" s="74">
        <f t="shared" si="3"/>
        <v>1</v>
      </c>
      <c r="V52" s="3"/>
    </row>
    <row r="53" spans="1:22" s="1" customFormat="1" ht="14.4" hidden="1" customHeight="1" x14ac:dyDescent="0.3">
      <c r="A53" s="75">
        <v>29</v>
      </c>
      <c r="B53" s="587" t="str">
        <f>Materiais!B37</f>
        <v>Vassoura Material Cerdas: Pêlo Sintético, Comprimento Cepa: 60 CM, Tipo Cabo: Reforçado, Material Cabo: Madeira</v>
      </c>
      <c r="C53" s="587"/>
      <c r="D53" s="587"/>
      <c r="E53" s="67" t="str">
        <f>Materiais!C37</f>
        <v>unid.</v>
      </c>
      <c r="F53" s="68" t="str">
        <f>Materiais!D37</f>
        <v>Brubalar</v>
      </c>
      <c r="G53" s="69">
        <f t="shared" si="0"/>
        <v>8.3333333333333329E-2</v>
      </c>
      <c r="H53" s="70">
        <f>G53*Materiais!G37</f>
        <v>1.3316666666666666</v>
      </c>
      <c r="I53" s="588" t="str">
        <f t="shared" si="4"/>
        <v>Fornecimento igual ao estimado mensalmente</v>
      </c>
      <c r="J53" s="588"/>
      <c r="K53" s="588"/>
      <c r="L53" s="71">
        <f t="shared" si="2"/>
        <v>8.3333333333333329E-2</v>
      </c>
      <c r="M53" s="72">
        <f>Materiais!E37</f>
        <v>1</v>
      </c>
      <c r="N53" s="73" t="str">
        <f>Materiais!F37</f>
        <v>Anual</v>
      </c>
      <c r="O53" s="74">
        <f t="shared" si="3"/>
        <v>12</v>
      </c>
      <c r="V53" s="3"/>
    </row>
    <row r="54" spans="1:22" s="1" customFormat="1" ht="14.4" hidden="1" customHeight="1" x14ac:dyDescent="0.3">
      <c r="A54" s="75">
        <v>30</v>
      </c>
      <c r="B54" s="587" t="str">
        <f>Materiais!B38</f>
        <v>Vassoura Material Cerdas: Piaçava, Aplicação: Limpeza, Material Cepa: Madeira, Comprimento Cepa: 40 CM, Comprimento Cerdas: 13 CM, Largura Cepa: 5 CM, Altura Cepa: 4 CM, Material Cabo: Madeira</v>
      </c>
      <c r="C54" s="587"/>
      <c r="D54" s="587"/>
      <c r="E54" s="67" t="str">
        <f>Materiais!C38</f>
        <v>Unid.</v>
      </c>
      <c r="F54" s="68" t="str">
        <f>Materiais!D38</f>
        <v>Noviça</v>
      </c>
      <c r="G54" s="69">
        <f t="shared" si="0"/>
        <v>0.16666666666666666</v>
      </c>
      <c r="H54" s="70">
        <f>G54*Materiais!G38</f>
        <v>2.9349999999999996</v>
      </c>
      <c r="I54" s="588" t="str">
        <f t="shared" si="4"/>
        <v>Fornecimento igual ao estimado mensalmente</v>
      </c>
      <c r="J54" s="588"/>
      <c r="K54" s="588"/>
      <c r="L54" s="71">
        <f t="shared" si="2"/>
        <v>0.16666666666666666</v>
      </c>
      <c r="M54" s="72">
        <f>Materiais!E38</f>
        <v>2</v>
      </c>
      <c r="N54" s="73" t="str">
        <f>Materiais!F38</f>
        <v>Anual</v>
      </c>
      <c r="O54" s="74">
        <f t="shared" si="3"/>
        <v>12</v>
      </c>
      <c r="V54" s="3"/>
    </row>
    <row r="55" spans="1:22" s="1" customFormat="1" ht="14.4" hidden="1" customHeight="1" x14ac:dyDescent="0.3">
      <c r="A55" s="66">
        <v>31</v>
      </c>
      <c r="B55" s="587" t="str">
        <f>Materiais!B39</f>
        <v>Escova Sanitária Redonda em plástico Branco contendo 01 escova para vaso sanitário e 01 suporte redondo: Branco Tamanho: 14 x 42 cm</v>
      </c>
      <c r="C55" s="587"/>
      <c r="D55" s="587"/>
      <c r="E55" s="67" t="str">
        <f>Materiais!C39</f>
        <v>Unid.</v>
      </c>
      <c r="F55" s="68" t="str">
        <f>Materiais!D39</f>
        <v>Limpamania</v>
      </c>
      <c r="G55" s="69">
        <f t="shared" si="0"/>
        <v>0.5</v>
      </c>
      <c r="H55" s="70">
        <f>G55*Materiais!G39</f>
        <v>5.875</v>
      </c>
      <c r="I55" s="588" t="str">
        <f t="shared" si="4"/>
        <v>Fornecimento igual ao estimado mensalmente</v>
      </c>
      <c r="J55" s="588"/>
      <c r="K55" s="588"/>
      <c r="L55" s="71">
        <f t="shared" si="2"/>
        <v>0.5</v>
      </c>
      <c r="M55" s="72">
        <f>Materiais!E39</f>
        <v>1</v>
      </c>
      <c r="N55" s="73" t="str">
        <f>Materiais!F39</f>
        <v>Bimestral</v>
      </c>
      <c r="O55" s="74">
        <f t="shared" si="3"/>
        <v>2</v>
      </c>
      <c r="V55" s="3"/>
    </row>
    <row r="56" spans="1:22" s="1" customFormat="1" ht="14.4" hidden="1" customHeight="1" x14ac:dyDescent="0.3">
      <c r="A56" s="75">
        <v>32</v>
      </c>
      <c r="B56" s="587" t="str">
        <f>Materiais!B40</f>
        <v>Rodo limpa vidros com cabo extensor</v>
      </c>
      <c r="C56" s="587"/>
      <c r="D56" s="587"/>
      <c r="E56" s="67" t="str">
        <f>Materiais!C40</f>
        <v>Unid.</v>
      </c>
      <c r="F56" s="68">
        <f>Materiais!D40</f>
        <v>0</v>
      </c>
      <c r="G56" s="69">
        <f t="shared" si="0"/>
        <v>0.33333333333333331</v>
      </c>
      <c r="H56" s="70">
        <f>G56*Materiais!G40</f>
        <v>25.819999999999997</v>
      </c>
      <c r="I56" s="588" t="str">
        <f t="shared" si="4"/>
        <v>Fornecimento igual ao estimado mensalmente</v>
      </c>
      <c r="J56" s="588"/>
      <c r="K56" s="588"/>
      <c r="L56" s="71">
        <f t="shared" si="2"/>
        <v>0.33333333333333331</v>
      </c>
      <c r="M56" s="72">
        <f>Materiais!E40</f>
        <v>4</v>
      </c>
      <c r="N56" s="73" t="str">
        <f>Materiais!F40</f>
        <v>Anual</v>
      </c>
      <c r="O56" s="74">
        <f t="shared" si="3"/>
        <v>12</v>
      </c>
      <c r="V56" s="3"/>
    </row>
    <row r="57" spans="1:22" s="1" customFormat="1" ht="14.4" hidden="1" customHeight="1" x14ac:dyDescent="0.3">
      <c r="A57" s="75">
        <v>33</v>
      </c>
      <c r="B57" s="587" t="str">
        <f>Materiais!B41</f>
        <v>Mangueira para jardim, com 50 metros de extensão, antitorção, com engate de torneira e esguicho</v>
      </c>
      <c r="C57" s="587"/>
      <c r="D57" s="587"/>
      <c r="E57" s="67" t="str">
        <f>Materiais!C41</f>
        <v>Unid.</v>
      </c>
      <c r="F57" s="68" t="str">
        <f>Materiais!D41</f>
        <v>Tramontina</v>
      </c>
      <c r="G57" s="69">
        <f t="shared" si="0"/>
        <v>8.3333333333333329E-2</v>
      </c>
      <c r="H57" s="70">
        <f>G57*Materiais!G41</f>
        <v>18.694166666666668</v>
      </c>
      <c r="I57" s="588" t="str">
        <f t="shared" si="4"/>
        <v>Fornecimento igual ao estimado mensalmente</v>
      </c>
      <c r="J57" s="588"/>
      <c r="K57" s="588"/>
      <c r="L57" s="71">
        <f t="shared" si="2"/>
        <v>8.3333333333333329E-2</v>
      </c>
      <c r="M57" s="72">
        <f>Materiais!E41</f>
        <v>1</v>
      </c>
      <c r="N57" s="73" t="str">
        <f>Materiais!F41</f>
        <v>Anual</v>
      </c>
      <c r="O57" s="74">
        <f t="shared" si="3"/>
        <v>12</v>
      </c>
      <c r="V57" s="3"/>
    </row>
    <row r="58" spans="1:22" ht="15" hidden="1" customHeight="1" x14ac:dyDescent="0.3">
      <c r="A58" s="589" t="s">
        <v>73</v>
      </c>
      <c r="B58" s="589"/>
      <c r="C58" s="589"/>
      <c r="D58" s="589"/>
      <c r="E58" s="589"/>
      <c r="F58" s="589"/>
      <c r="G58" s="589"/>
      <c r="H58" s="70">
        <f>SUM(H25:H57)</f>
        <v>2482.0974999999994</v>
      </c>
      <c r="I58" s="76"/>
      <c r="J58" s="76"/>
      <c r="K58" s="1"/>
      <c r="L58" s="1"/>
      <c r="M58" s="1"/>
      <c r="N58" s="77"/>
      <c r="O58" s="60"/>
    </row>
    <row r="59" spans="1:22" ht="15" hidden="1" customHeight="1" x14ac:dyDescent="0.3">
      <c r="A59" s="590" t="s">
        <v>74</v>
      </c>
      <c r="B59" s="590"/>
      <c r="C59" s="590"/>
      <c r="D59" s="590"/>
      <c r="E59" s="590"/>
      <c r="F59" s="590"/>
      <c r="G59" s="78">
        <f>Dados!$G$42</f>
        <v>0.03</v>
      </c>
      <c r="H59" s="70">
        <f>ROUND((H58*G59),2)</f>
        <v>74.459999999999994</v>
      </c>
      <c r="I59" s="76"/>
      <c r="J59" s="76"/>
      <c r="K59" s="1"/>
      <c r="L59" s="1"/>
      <c r="M59" s="1"/>
      <c r="N59" s="77"/>
      <c r="O59" s="60"/>
    </row>
    <row r="60" spans="1:22" ht="15" hidden="1" customHeight="1" x14ac:dyDescent="0.3">
      <c r="A60" s="590" t="s">
        <v>75</v>
      </c>
      <c r="B60" s="590"/>
      <c r="C60" s="590"/>
      <c r="D60" s="590"/>
      <c r="E60" s="590"/>
      <c r="F60" s="590"/>
      <c r="G60" s="78">
        <f>Dados!$G$43</f>
        <v>6.7900000000000002E-2</v>
      </c>
      <c r="H60" s="70">
        <f>ROUND((SUM(H58:H59)*G60),2)</f>
        <v>173.59</v>
      </c>
      <c r="I60" s="76"/>
      <c r="J60" s="76"/>
      <c r="K60" s="1"/>
      <c r="L60" s="1"/>
      <c r="M60" s="1"/>
      <c r="N60" s="77"/>
      <c r="O60" s="60"/>
    </row>
    <row r="61" spans="1:22" ht="15" hidden="1" customHeight="1" x14ac:dyDescent="0.3">
      <c r="A61" s="590" t="s">
        <v>76</v>
      </c>
      <c r="B61" s="590"/>
      <c r="C61" s="590"/>
      <c r="D61" s="590"/>
      <c r="E61" s="590"/>
      <c r="F61" s="590"/>
      <c r="G61" s="78">
        <f>Dados!$G$54</f>
        <v>0.1225</v>
      </c>
      <c r="H61" s="70">
        <f>ROUND((H62*G61),2)</f>
        <v>381.13</v>
      </c>
      <c r="I61" s="76"/>
      <c r="J61" s="76"/>
      <c r="K61" s="1"/>
      <c r="L61" s="1"/>
      <c r="M61" s="1"/>
      <c r="N61" s="77"/>
      <c r="O61" s="60"/>
    </row>
    <row r="62" spans="1:22" ht="15" hidden="1" customHeight="1" x14ac:dyDescent="0.3">
      <c r="A62" s="591" t="s">
        <v>77</v>
      </c>
      <c r="B62" s="591"/>
      <c r="C62" s="591"/>
      <c r="D62" s="591"/>
      <c r="E62" s="591"/>
      <c r="F62" s="591"/>
      <c r="G62" s="591"/>
      <c r="H62" s="80">
        <f>ROUND((SUM(H58:H60)/(1-G61)),2)</f>
        <v>3111.28</v>
      </c>
      <c r="I62" s="76"/>
      <c r="J62" s="76"/>
      <c r="K62" s="1"/>
      <c r="L62" s="1"/>
      <c r="M62" s="1"/>
      <c r="N62" s="77"/>
      <c r="O62" s="60"/>
    </row>
    <row r="63" spans="1:22" hidden="1" x14ac:dyDescent="0.3">
      <c r="A63" s="81"/>
      <c r="B63" s="60"/>
      <c r="C63" s="60"/>
      <c r="D63" s="60"/>
      <c r="E63" s="60"/>
      <c r="F63" s="60"/>
      <c r="G63" s="81"/>
      <c r="H63" s="60"/>
      <c r="I63" s="77"/>
      <c r="J63" s="77"/>
      <c r="K63" s="1"/>
      <c r="L63" s="1"/>
      <c r="M63" s="1"/>
      <c r="N63" s="60"/>
      <c r="O63" s="60"/>
    </row>
    <row r="64" spans="1:22" s="1" customFormat="1" ht="15" hidden="1" customHeight="1" x14ac:dyDescent="0.3">
      <c r="A64" s="582" t="s">
        <v>59</v>
      </c>
      <c r="B64" s="592" t="s">
        <v>78</v>
      </c>
      <c r="C64" s="592"/>
      <c r="D64" s="592"/>
      <c r="E64" s="592"/>
      <c r="F64" s="593" t="s">
        <v>61</v>
      </c>
      <c r="G64" s="593"/>
      <c r="H64" s="593"/>
      <c r="I64" s="585" t="s">
        <v>62</v>
      </c>
      <c r="J64" s="585"/>
      <c r="K64" s="585"/>
      <c r="L64" s="586" t="s">
        <v>63</v>
      </c>
      <c r="M64" s="586"/>
      <c r="N64" s="586"/>
      <c r="O64" s="586"/>
    </row>
    <row r="65" spans="1:23" s="1" customFormat="1" ht="51" hidden="1" customHeight="1" x14ac:dyDescent="0.3">
      <c r="A65" s="582"/>
      <c r="B65" s="580" t="s">
        <v>64</v>
      </c>
      <c r="C65" s="580"/>
      <c r="D65" s="580"/>
      <c r="E65" s="55" t="s">
        <v>65</v>
      </c>
      <c r="F65" s="55" t="s">
        <v>66</v>
      </c>
      <c r="G65" s="55" t="s">
        <v>67</v>
      </c>
      <c r="H65" s="64" t="s">
        <v>68</v>
      </c>
      <c r="I65" s="585"/>
      <c r="J65" s="585"/>
      <c r="K65" s="585"/>
      <c r="L65" s="61" t="s">
        <v>69</v>
      </c>
      <c r="M65" s="62" t="s">
        <v>70</v>
      </c>
      <c r="N65" s="62" t="s">
        <v>71</v>
      </c>
      <c r="O65" s="63" t="s">
        <v>72</v>
      </c>
    </row>
    <row r="66" spans="1:23" s="1" customFormat="1" hidden="1" x14ac:dyDescent="0.3">
      <c r="A66" s="82">
        <v>1</v>
      </c>
      <c r="B66" s="594" t="str">
        <f>Materiais!B48</f>
        <v>Desentupidor Pia: Tipo: Sanfonado, Com Alto Poder De Sucção. Material: Borracha Flexível, Composto Por Polipropileno E Borracha Termoplástica. Plástico Resistente, Cabo Longo, mínimo 20 CM.</v>
      </c>
      <c r="C66" s="594"/>
      <c r="D66" s="594"/>
      <c r="E66" s="83" t="str">
        <f>Materiais!C48</f>
        <v>unidade</v>
      </c>
      <c r="F66" s="83" t="str">
        <f>Materiais!D48</f>
        <v>Oliveira e Azevedo</v>
      </c>
      <c r="G66" s="69">
        <f t="shared" ref="G66:G71" si="5">IF($D$4="PLANILHA PARA LICITAÇÃO (PRECIFICAÇÃO)",L66,0)</f>
        <v>8.3333333333333329E-2</v>
      </c>
      <c r="H66" s="70">
        <f>G66*Materiais!G48</f>
        <v>0.81</v>
      </c>
      <c r="I66" s="588" t="str">
        <f t="shared" ref="I66:I71" si="6">IF(G66&lt;L66,"Fornecimento inferior ao estimado mensalmente",IF(G66=L66,"Fornecimento igual ao estimado mensalmente",IF(G66&gt;L66,"Fornecimento superior ao estimado mensalmente",)))</f>
        <v>Fornecimento igual ao estimado mensalmente</v>
      </c>
      <c r="J66" s="588"/>
      <c r="K66" s="588"/>
      <c r="L66" s="71">
        <f t="shared" ref="L66:L71" si="7">M66/O66</f>
        <v>8.3333333333333329E-2</v>
      </c>
      <c r="M66" s="84">
        <f>Materiais!E48</f>
        <v>1</v>
      </c>
      <c r="N66" s="83" t="str">
        <f>Materiais!F48</f>
        <v>Anual</v>
      </c>
      <c r="O66" s="74">
        <f t="shared" ref="O66:O71" si="8">IF(N66="MENSAL",1,IF(N66="BIMESTRAL",2,IF(N66="TRIMESTRAL",3,IF(N66="QUADRIMESTRAL",4,IF(N66="SEMESTRAL",6,IF(N66="ANUAL",12,IF(N66="BIENAL",24,"")))))))</f>
        <v>12</v>
      </c>
      <c r="V66" s="3"/>
    </row>
    <row r="67" spans="1:23" s="1" customFormat="1" hidden="1" x14ac:dyDescent="0.3">
      <c r="A67" s="82">
        <v>2</v>
      </c>
      <c r="B67" s="594" t="str">
        <f>Materiais!B49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7" s="594"/>
      <c r="D67" s="594"/>
      <c r="E67" s="83" t="str">
        <f>Materiais!C49</f>
        <v>unidade</v>
      </c>
      <c r="F67" s="83" t="str">
        <f>Materiais!D49</f>
        <v>Limpol</v>
      </c>
      <c r="G67" s="69">
        <f t="shared" si="5"/>
        <v>4</v>
      </c>
      <c r="H67" s="70">
        <f>G67*Materiais!G49</f>
        <v>18.48</v>
      </c>
      <c r="I67" s="588" t="str">
        <f t="shared" si="6"/>
        <v>Fornecimento igual ao estimado mensalmente</v>
      </c>
      <c r="J67" s="588"/>
      <c r="K67" s="588"/>
      <c r="L67" s="71">
        <f t="shared" si="7"/>
        <v>4</v>
      </c>
      <c r="M67" s="84">
        <f>Materiais!E49</f>
        <v>4</v>
      </c>
      <c r="N67" s="83" t="str">
        <f>Materiais!F49</f>
        <v>Mensal</v>
      </c>
      <c r="O67" s="74">
        <f t="shared" si="8"/>
        <v>1</v>
      </c>
      <c r="V67" s="3"/>
    </row>
    <row r="68" spans="1:23" s="1" customFormat="1" hidden="1" x14ac:dyDescent="0.3">
      <c r="A68" s="82">
        <v>3</v>
      </c>
      <c r="B68" s="594" t="str">
        <f>Materiais!B50</f>
        <v>Esponja Para Lavagem De Louças E Limpeza Em Geral, Dupla Face Sintética, Um Lado Em Espuma Poliuretano E Outro Em Fibra Sintética Abrasiva, Antibacteriana, Formato Retangular, Medindo Aproximadamente 110mm X 75mm X 20mm De Espessura. Pacote com 4 unidades.</v>
      </c>
      <c r="C68" s="594"/>
      <c r="D68" s="594"/>
      <c r="E68" s="83" t="str">
        <f>Materiais!C50</f>
        <v>pacote</v>
      </c>
      <c r="F68" s="83" t="str">
        <f>Materiais!D50</f>
        <v>Scotch-brite</v>
      </c>
      <c r="G68" s="69">
        <f t="shared" si="5"/>
        <v>5</v>
      </c>
      <c r="H68" s="70">
        <f>G68*Materiais!G50</f>
        <v>23.2</v>
      </c>
      <c r="I68" s="588" t="str">
        <f t="shared" si="6"/>
        <v>Fornecimento igual ao estimado mensalmente</v>
      </c>
      <c r="J68" s="588"/>
      <c r="K68" s="588"/>
      <c r="L68" s="71">
        <f t="shared" si="7"/>
        <v>5</v>
      </c>
      <c r="M68" s="84">
        <f>Materiais!E50</f>
        <v>5</v>
      </c>
      <c r="N68" s="83" t="str">
        <f>Materiais!F50</f>
        <v>Mensal</v>
      </c>
      <c r="O68" s="74">
        <f t="shared" si="8"/>
        <v>1</v>
      </c>
      <c r="V68" s="3"/>
    </row>
    <row r="69" spans="1:23" s="1" customFormat="1" hidden="1" x14ac:dyDescent="0.3">
      <c r="A69" s="82">
        <v>4</v>
      </c>
      <c r="B69" s="594" t="str">
        <f>Materiais!B51</f>
        <v>Guadarnapo de papel branco, folha simples - 33x30 cm/pct 50 folhas</v>
      </c>
      <c r="C69" s="594"/>
      <c r="D69" s="594"/>
      <c r="E69" s="83" t="str">
        <f>Materiais!C51</f>
        <v>pacote</v>
      </c>
      <c r="F69" s="83">
        <f>Materiais!D51</f>
        <v>0</v>
      </c>
      <c r="G69" s="69">
        <f t="shared" si="5"/>
        <v>1</v>
      </c>
      <c r="H69" s="70">
        <f>G69*Materiais!G51</f>
        <v>4.4000000000000004</v>
      </c>
      <c r="I69" s="588" t="str">
        <f t="shared" si="6"/>
        <v>Fornecimento igual ao estimado mensalmente</v>
      </c>
      <c r="J69" s="588"/>
      <c r="K69" s="588"/>
      <c r="L69" s="71">
        <f t="shared" si="7"/>
        <v>1</v>
      </c>
      <c r="M69" s="84">
        <f>Materiais!E51</f>
        <v>1</v>
      </c>
      <c r="N69" s="83" t="str">
        <f>Materiais!F51</f>
        <v>Mensal</v>
      </c>
      <c r="O69" s="74">
        <f t="shared" si="8"/>
        <v>1</v>
      </c>
      <c r="V69" s="3"/>
    </row>
    <row r="70" spans="1:23" s="1" customFormat="1" hidden="1" x14ac:dyDescent="0.3">
      <c r="A70" s="82">
        <v>5</v>
      </c>
      <c r="B70" s="594" t="str">
        <f>Materiais!B52</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0" s="594"/>
      <c r="D70" s="594"/>
      <c r="E70" s="83" t="str">
        <f>Materiais!C52</f>
        <v>unid.</v>
      </c>
      <c r="F70" s="83" t="str">
        <f>Materiais!D52</f>
        <v>Veja</v>
      </c>
      <c r="G70" s="69">
        <f t="shared" si="5"/>
        <v>2</v>
      </c>
      <c r="H70" s="70">
        <f>G70*Materiais!G52</f>
        <v>12.6</v>
      </c>
      <c r="I70" s="588" t="str">
        <f t="shared" si="6"/>
        <v>Fornecimento igual ao estimado mensalmente</v>
      </c>
      <c r="J70" s="588"/>
      <c r="K70" s="588"/>
      <c r="L70" s="71">
        <f t="shared" si="7"/>
        <v>2</v>
      </c>
      <c r="M70" s="84">
        <f>Materiais!E52</f>
        <v>2</v>
      </c>
      <c r="N70" s="83" t="str">
        <f>Materiais!F52</f>
        <v>Mensal</v>
      </c>
      <c r="O70" s="74">
        <f t="shared" si="8"/>
        <v>1</v>
      </c>
      <c r="V70" s="3"/>
    </row>
    <row r="71" spans="1:23" s="1" customFormat="1" hidden="1" x14ac:dyDescent="0.3">
      <c r="A71" s="82">
        <v>6</v>
      </c>
      <c r="B71" s="594" t="str">
        <f>Materiais!B53</f>
        <v>Pano de copa aberto 100% dimensões mínimas 40x60cm</v>
      </c>
      <c r="C71" s="594"/>
      <c r="D71" s="594"/>
      <c r="E71" s="83" t="str">
        <f>Materiais!C53</f>
        <v>unidade</v>
      </c>
      <c r="F71" s="83" t="str">
        <f>Materiais!D53</f>
        <v>Karsten</v>
      </c>
      <c r="G71" s="69">
        <f t="shared" si="5"/>
        <v>3</v>
      </c>
      <c r="H71" s="70">
        <f>G71*Materiais!G53</f>
        <v>20.669999999999998</v>
      </c>
      <c r="I71" s="588" t="str">
        <f t="shared" si="6"/>
        <v>Fornecimento igual ao estimado mensalmente</v>
      </c>
      <c r="J71" s="588"/>
      <c r="K71" s="588"/>
      <c r="L71" s="71">
        <f t="shared" si="7"/>
        <v>3</v>
      </c>
      <c r="M71" s="84">
        <f>Materiais!E53</f>
        <v>6</v>
      </c>
      <c r="N71" s="83" t="str">
        <f>Materiais!F53</f>
        <v>Bimestral</v>
      </c>
      <c r="O71" s="74">
        <f t="shared" si="8"/>
        <v>2</v>
      </c>
      <c r="V71" s="3"/>
    </row>
    <row r="72" spans="1:23" ht="15" hidden="1" customHeight="1" x14ac:dyDescent="0.3">
      <c r="A72" s="582" t="s">
        <v>73</v>
      </c>
      <c r="B72" s="582"/>
      <c r="C72" s="582"/>
      <c r="D72" s="582"/>
      <c r="E72" s="582"/>
      <c r="F72" s="582"/>
      <c r="G72" s="582"/>
      <c r="H72" s="85">
        <f>SUM(H66:H71)</f>
        <v>80.16</v>
      </c>
      <c r="I72" s="76"/>
      <c r="J72" s="76"/>
      <c r="K72" s="1"/>
      <c r="L72" s="77"/>
      <c r="M72" s="60"/>
      <c r="N72" s="77"/>
      <c r="P72" s="3"/>
      <c r="Q72" s="3"/>
      <c r="V72" s="1"/>
      <c r="W72" s="1"/>
    </row>
    <row r="73" spans="1:23" ht="15" hidden="1" customHeight="1" x14ac:dyDescent="0.3">
      <c r="A73" s="590" t="s">
        <v>74</v>
      </c>
      <c r="B73" s="590"/>
      <c r="C73" s="590"/>
      <c r="D73" s="590"/>
      <c r="E73" s="590"/>
      <c r="F73" s="590"/>
      <c r="G73" s="78">
        <f>Dados!$G$42</f>
        <v>0.03</v>
      </c>
      <c r="H73" s="79">
        <f>ROUND((H72*G73),2)</f>
        <v>2.4</v>
      </c>
      <c r="I73" s="77"/>
      <c r="J73" s="77"/>
      <c r="K73" s="1"/>
      <c r="L73" s="77"/>
      <c r="M73" s="77"/>
      <c r="N73" s="77"/>
      <c r="P73" s="3"/>
      <c r="Q73" s="3"/>
      <c r="V73" s="1"/>
      <c r="W73" s="1"/>
    </row>
    <row r="74" spans="1:23" ht="15" hidden="1" customHeight="1" x14ac:dyDescent="0.3">
      <c r="A74" s="590" t="s">
        <v>75</v>
      </c>
      <c r="B74" s="590"/>
      <c r="C74" s="590"/>
      <c r="D74" s="590"/>
      <c r="E74" s="590"/>
      <c r="F74" s="590"/>
      <c r="G74" s="78">
        <f>Dados!$G$43</f>
        <v>6.7900000000000002E-2</v>
      </c>
      <c r="H74" s="79">
        <f>ROUND((SUM(H72:H73)*G74),2)</f>
        <v>5.61</v>
      </c>
      <c r="I74" s="77"/>
      <c r="J74" s="77"/>
      <c r="K74" s="1"/>
      <c r="L74" s="77"/>
      <c r="M74" s="77"/>
      <c r="N74" s="77"/>
      <c r="P74" s="3"/>
      <c r="Q74" s="3"/>
      <c r="V74" s="1"/>
      <c r="W74" s="1"/>
    </row>
    <row r="75" spans="1:23" ht="15" hidden="1" customHeight="1" x14ac:dyDescent="0.3">
      <c r="A75" s="590" t="s">
        <v>76</v>
      </c>
      <c r="B75" s="590"/>
      <c r="C75" s="590"/>
      <c r="D75" s="590"/>
      <c r="E75" s="590"/>
      <c r="F75" s="590"/>
      <c r="G75" s="78">
        <f>Dados!$G$54</f>
        <v>0.1225</v>
      </c>
      <c r="H75" s="79">
        <f>ROUND((H76*G75),2)</f>
        <v>12.31</v>
      </c>
      <c r="I75" s="77"/>
      <c r="J75" s="77"/>
      <c r="K75" s="1"/>
      <c r="L75" s="77"/>
      <c r="M75" s="77"/>
      <c r="N75" s="77"/>
      <c r="P75" s="3"/>
      <c r="Q75" s="3"/>
      <c r="V75" s="1"/>
      <c r="W75" s="1"/>
    </row>
    <row r="76" spans="1:23" ht="15" hidden="1" customHeight="1" x14ac:dyDescent="0.3">
      <c r="A76" s="591" t="s">
        <v>79</v>
      </c>
      <c r="B76" s="591"/>
      <c r="C76" s="591"/>
      <c r="D76" s="591"/>
      <c r="E76" s="591"/>
      <c r="F76" s="591"/>
      <c r="G76" s="591"/>
      <c r="H76" s="80">
        <f>ROUND((SUM(H72:H74)/(1-G75)),2)</f>
        <v>100.48</v>
      </c>
      <c r="I76" s="77"/>
      <c r="J76" s="77"/>
      <c r="K76" s="1"/>
      <c r="L76" s="77"/>
      <c r="M76" s="77"/>
      <c r="N76" s="77"/>
      <c r="P76" s="3"/>
      <c r="Q76" s="3"/>
      <c r="V76" s="1"/>
      <c r="W76" s="1"/>
    </row>
    <row r="77" spans="1:23" hidden="1" x14ac:dyDescent="0.3">
      <c r="A77" s="81"/>
      <c r="B77" s="60"/>
      <c r="C77" s="60"/>
      <c r="D77" s="60"/>
      <c r="E77" s="60"/>
      <c r="F77" s="60"/>
      <c r="G77" s="81"/>
      <c r="H77" s="60"/>
      <c r="I77" s="77"/>
      <c r="J77" s="77"/>
      <c r="K77" s="1"/>
      <c r="L77" s="77"/>
      <c r="M77" s="77"/>
      <c r="N77" s="77"/>
      <c r="P77" s="3"/>
      <c r="Q77" s="3"/>
      <c r="V77" s="1"/>
      <c r="W77" s="1"/>
    </row>
    <row r="78" spans="1:23" hidden="1" x14ac:dyDescent="0.3"/>
    <row r="79" spans="1:23" hidden="1" x14ac:dyDescent="0.3">
      <c r="B79" s="595" t="s">
        <v>80</v>
      </c>
      <c r="C79" s="595"/>
    </row>
    <row r="80" spans="1:23" hidden="1" x14ac:dyDescent="0.3">
      <c r="B80" s="86" t="s">
        <v>81</v>
      </c>
      <c r="C80" s="87">
        <v>22</v>
      </c>
      <c r="D80" s="1" t="s">
        <v>82</v>
      </c>
    </row>
    <row r="81" spans="2:4" hidden="1" x14ac:dyDescent="0.3">
      <c r="B81" s="86" t="s">
        <v>5</v>
      </c>
      <c r="C81" s="88">
        <v>30</v>
      </c>
      <c r="D81" s="1" t="s">
        <v>83</v>
      </c>
    </row>
    <row r="82" spans="2:4" hidden="1" x14ac:dyDescent="0.3">
      <c r="B82" s="86" t="s">
        <v>84</v>
      </c>
      <c r="C82" s="88" t="s">
        <v>85</v>
      </c>
      <c r="D82" s="1" t="s">
        <v>86</v>
      </c>
    </row>
    <row r="83" spans="2:4" hidden="1" x14ac:dyDescent="0.3"/>
    <row r="84" spans="2:4" hidden="1" x14ac:dyDescent="0.3">
      <c r="B84" s="86" t="s">
        <v>87</v>
      </c>
      <c r="C84" s="86" t="s">
        <v>88</v>
      </c>
    </row>
    <row r="85" spans="2:4" hidden="1" x14ac:dyDescent="0.3">
      <c r="B85" s="86">
        <v>220</v>
      </c>
      <c r="C85" s="86">
        <v>8.8000000000000007</v>
      </c>
    </row>
    <row r="86" spans="2:4" hidden="1" x14ac:dyDescent="0.3">
      <c r="B86" s="86">
        <v>200</v>
      </c>
      <c r="C86" s="86">
        <v>8</v>
      </c>
    </row>
    <row r="87" spans="2:4" hidden="1" x14ac:dyDescent="0.3">
      <c r="B87" s="86">
        <v>180</v>
      </c>
      <c r="C87" s="86">
        <v>7.2</v>
      </c>
    </row>
    <row r="88" spans="2:4" hidden="1" x14ac:dyDescent="0.3">
      <c r="B88" s="86">
        <v>150</v>
      </c>
      <c r="C88" s="86">
        <v>6</v>
      </c>
    </row>
    <row r="89" spans="2:4" hidden="1" x14ac:dyDescent="0.3">
      <c r="B89" s="86">
        <v>120</v>
      </c>
      <c r="C89" s="86">
        <v>4.8</v>
      </c>
    </row>
    <row r="90" spans="2:4" hidden="1" x14ac:dyDescent="0.3">
      <c r="B90" s="86">
        <v>100</v>
      </c>
      <c r="C90" s="86">
        <v>4</v>
      </c>
    </row>
    <row r="91" spans="2:4" hidden="1" x14ac:dyDescent="0.3">
      <c r="B91" s="86">
        <v>75</v>
      </c>
      <c r="C91" s="86">
        <v>3</v>
      </c>
    </row>
    <row r="92" spans="2:4" hidden="1" x14ac:dyDescent="0.3"/>
    <row r="93" spans="2:4" hidden="1" x14ac:dyDescent="0.3">
      <c r="B93" s="86" t="s">
        <v>89</v>
      </c>
    </row>
    <row r="94" spans="2:4" hidden="1" x14ac:dyDescent="0.3">
      <c r="B94" s="89">
        <v>0</v>
      </c>
    </row>
    <row r="95" spans="2:4" hidden="1" x14ac:dyDescent="0.3">
      <c r="B95" s="89">
        <v>1</v>
      </c>
    </row>
    <row r="96" spans="2:4" hidden="1" x14ac:dyDescent="0.3">
      <c r="B96" s="89">
        <v>2</v>
      </c>
    </row>
  </sheetData>
  <sheetProtection algorithmName="SHA-512" hashValue="T2EqiURJ9Xz4pBBn+RurpYnmBIAjMEm1m2oh2Wh0S1M2Jwvi8BnE4lZSuUZKhQtCoqmvjV7b04UxIW7qNnP+eg==" saltValue="bnsR9c1IUr5Vg7jKRsUAjA==" spinCount="100000" sheet="1" objects="1" scenarios="1"/>
  <mergeCells count="128">
    <mergeCell ref="B68:D68"/>
    <mergeCell ref="I68:K68"/>
    <mergeCell ref="B69:D69"/>
    <mergeCell ref="I69:K69"/>
    <mergeCell ref="A75:F75"/>
    <mergeCell ref="A76:G76"/>
    <mergeCell ref="B79:C79"/>
    <mergeCell ref="B70:D70"/>
    <mergeCell ref="I70:K70"/>
    <mergeCell ref="B71:D71"/>
    <mergeCell ref="I71:K71"/>
    <mergeCell ref="A72:G72"/>
    <mergeCell ref="A73:F73"/>
    <mergeCell ref="A74:F74"/>
    <mergeCell ref="A64:A65"/>
    <mergeCell ref="B64:E64"/>
    <mergeCell ref="F64:H64"/>
    <mergeCell ref="I64:K65"/>
    <mergeCell ref="L64:O64"/>
    <mergeCell ref="B65:D65"/>
    <mergeCell ref="B66:D66"/>
    <mergeCell ref="I66:K66"/>
    <mergeCell ref="B67:D67"/>
    <mergeCell ref="I67:K67"/>
    <mergeCell ref="B56:D56"/>
    <mergeCell ref="I56:K56"/>
    <mergeCell ref="B57:D57"/>
    <mergeCell ref="I57:K57"/>
    <mergeCell ref="A58:G58"/>
    <mergeCell ref="A59:F59"/>
    <mergeCell ref="A60:F60"/>
    <mergeCell ref="A61:F61"/>
    <mergeCell ref="A62:G62"/>
    <mergeCell ref="B51:D51"/>
    <mergeCell ref="I51:K51"/>
    <mergeCell ref="B52:D52"/>
    <mergeCell ref="I52:K52"/>
    <mergeCell ref="B53:D53"/>
    <mergeCell ref="I53:K53"/>
    <mergeCell ref="B54:D54"/>
    <mergeCell ref="I54:K54"/>
    <mergeCell ref="B55:D55"/>
    <mergeCell ref="I55:K55"/>
    <mergeCell ref="B45:D45"/>
    <mergeCell ref="I45:K45"/>
    <mergeCell ref="B46:D46"/>
    <mergeCell ref="I46:K46"/>
    <mergeCell ref="B47:D47"/>
    <mergeCell ref="I47:K47"/>
    <mergeCell ref="B48:D48"/>
    <mergeCell ref="I48:K48"/>
    <mergeCell ref="B50:D50"/>
    <mergeCell ref="I50:K50"/>
    <mergeCell ref="B49:D49"/>
    <mergeCell ref="I49:K49"/>
    <mergeCell ref="B40:D40"/>
    <mergeCell ref="I40:K40"/>
    <mergeCell ref="B41:D41"/>
    <mergeCell ref="I41:K41"/>
    <mergeCell ref="B42:D42"/>
    <mergeCell ref="I42:K42"/>
    <mergeCell ref="B43:D43"/>
    <mergeCell ref="I43:K43"/>
    <mergeCell ref="B44:D44"/>
    <mergeCell ref="I44:K44"/>
    <mergeCell ref="B35:D35"/>
    <mergeCell ref="I35:K35"/>
    <mergeCell ref="B36:D36"/>
    <mergeCell ref="I36:K36"/>
    <mergeCell ref="B37:D37"/>
    <mergeCell ref="I37:K37"/>
    <mergeCell ref="B38:D38"/>
    <mergeCell ref="I38:K38"/>
    <mergeCell ref="B39:D39"/>
    <mergeCell ref="I39:K39"/>
    <mergeCell ref="B30:D30"/>
    <mergeCell ref="I30:K30"/>
    <mergeCell ref="B31:D31"/>
    <mergeCell ref="I31:K31"/>
    <mergeCell ref="B32:D32"/>
    <mergeCell ref="I32:K32"/>
    <mergeCell ref="B33:D33"/>
    <mergeCell ref="I33:K33"/>
    <mergeCell ref="B34:D34"/>
    <mergeCell ref="I34:K34"/>
    <mergeCell ref="B25:D25"/>
    <mergeCell ref="I25:K25"/>
    <mergeCell ref="B26:D26"/>
    <mergeCell ref="I26:K26"/>
    <mergeCell ref="B27:D27"/>
    <mergeCell ref="I27:K27"/>
    <mergeCell ref="B28:D28"/>
    <mergeCell ref="I28:K28"/>
    <mergeCell ref="B29:D29"/>
    <mergeCell ref="I29:K29"/>
    <mergeCell ref="T7:W9"/>
    <mergeCell ref="A14:G14"/>
    <mergeCell ref="I14:J14"/>
    <mergeCell ref="A17:B18"/>
    <mergeCell ref="A19:F20"/>
    <mergeCell ref="A23:A24"/>
    <mergeCell ref="B23:E23"/>
    <mergeCell ref="F23:H23"/>
    <mergeCell ref="I23:K24"/>
    <mergeCell ref="L23:O23"/>
    <mergeCell ref="B24:D24"/>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s>
  <conditionalFormatting sqref="I25:I57 I66:I71">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4">
    <dataValidation type="list" allowBlank="1" showInputMessage="1" showErrorMessage="1" sqref="N66:N71 N25:N57" xr:uid="{00000000-0002-0000-0000-000000000000}">
      <formula1>"Mensal,Bimestral,Trimestral,Quadrimestral,Semestral,Anual,Bienal"</formula1>
      <formula2>0</formula2>
    </dataValidation>
    <dataValidation type="list" allowBlank="1" showInputMessage="1" showErrorMessage="1" sqref="D5 D11:D13 C18" xr:uid="{00000000-0002-0000-0000-000001000000}">
      <formula1>#REF!</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E11:E13" xr:uid="{00000000-0002-0000-0000-000003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MJ47"/>
  <sheetViews>
    <sheetView showGridLines="0" zoomScale="95" zoomScaleNormal="95" workbookViewId="0">
      <selection activeCell="I44" sqref="I44"/>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684" t="s">
        <v>530</v>
      </c>
      <c r="B4" s="684"/>
      <c r="C4" s="684"/>
      <c r="D4" s="684"/>
      <c r="E4" s="684"/>
      <c r="F4" s="684"/>
      <c r="G4" s="684"/>
      <c r="H4" s="684"/>
      <c r="I4" s="684"/>
      <c r="J4" s="684"/>
    </row>
    <row r="5" spans="1:10" ht="19.5" customHeight="1" x14ac:dyDescent="0.3">
      <c r="A5" s="685" t="s">
        <v>531</v>
      </c>
      <c r="B5" s="685"/>
      <c r="C5" s="685"/>
      <c r="D5" s="685"/>
      <c r="E5" s="685"/>
      <c r="F5" s="685"/>
      <c r="G5" s="685"/>
      <c r="H5" s="685"/>
      <c r="I5" s="685"/>
      <c r="J5" s="685"/>
    </row>
    <row r="6" spans="1:10" ht="36" customHeight="1" x14ac:dyDescent="0.3">
      <c r="A6" s="686" t="str">
        <f>Dados!A4</f>
        <v>Sindicato utilizado - SINSERTH x SINTAPPI. Vigência: 2024/2025. Sendo a data base da categoria 01° de Abril. Com número de registro no MTE MG002103/2024.</v>
      </c>
      <c r="B6" s="686"/>
      <c r="C6" s="686"/>
      <c r="D6" s="686"/>
      <c r="E6" s="686"/>
      <c r="F6" s="686"/>
      <c r="G6" s="686"/>
      <c r="H6" s="686"/>
      <c r="I6" s="686"/>
      <c r="J6" s="686"/>
    </row>
    <row r="7" spans="1:10" ht="19.5" customHeight="1" x14ac:dyDescent="0.3">
      <c r="A7" s="687" t="str">
        <f>Dados!C8</f>
        <v>Servente de Limpeza acúmulo de função Copeira</v>
      </c>
      <c r="B7" s="687"/>
      <c r="C7" s="687"/>
      <c r="D7" s="687"/>
      <c r="E7" s="687"/>
      <c r="F7" s="688" t="s">
        <v>532</v>
      </c>
      <c r="G7" s="688" t="s">
        <v>533</v>
      </c>
      <c r="H7" s="688" t="s">
        <v>534</v>
      </c>
      <c r="I7" s="688" t="s">
        <v>535</v>
      </c>
      <c r="J7" s="688" t="s">
        <v>536</v>
      </c>
    </row>
    <row r="8" spans="1:10" ht="19.5" customHeight="1" x14ac:dyDescent="0.3">
      <c r="A8" s="689" t="s">
        <v>537</v>
      </c>
      <c r="B8" s="689"/>
      <c r="C8" s="689"/>
      <c r="D8" s="689"/>
      <c r="E8" s="324" t="s">
        <v>485</v>
      </c>
      <c r="F8" s="688"/>
      <c r="G8" s="688"/>
      <c r="H8" s="688"/>
      <c r="I8" s="688"/>
      <c r="J8" s="688"/>
    </row>
    <row r="9" spans="1:10" ht="19.5" customHeight="1" x14ac:dyDescent="0.3">
      <c r="A9" s="690" t="s">
        <v>538</v>
      </c>
      <c r="B9" s="690"/>
      <c r="C9" s="690"/>
      <c r="D9" s="690"/>
      <c r="E9" s="690"/>
      <c r="F9" s="690"/>
      <c r="G9" s="690"/>
      <c r="H9" s="690"/>
      <c r="I9" s="690"/>
      <c r="J9" s="690"/>
    </row>
    <row r="10" spans="1:10" ht="24" customHeight="1" x14ac:dyDescent="0.3">
      <c r="A10" s="325" t="s">
        <v>486</v>
      </c>
      <c r="B10" s="691" t="s">
        <v>539</v>
      </c>
      <c r="C10" s="691"/>
      <c r="D10" s="326" t="s">
        <v>540</v>
      </c>
      <c r="E10" s="327" t="s">
        <v>541</v>
      </c>
      <c r="F10" s="692" t="s">
        <v>489</v>
      </c>
      <c r="G10" s="692"/>
      <c r="H10" s="692"/>
      <c r="I10" s="692"/>
      <c r="J10" s="692"/>
    </row>
    <row r="11" spans="1:10" ht="19.5" customHeight="1" x14ac:dyDescent="0.3">
      <c r="A11" s="693">
        <v>1</v>
      </c>
      <c r="B11" s="694" t="str">
        <f>A7</f>
        <v>Servente de Limpeza acúmulo de função Copeira</v>
      </c>
      <c r="C11" s="694"/>
      <c r="D11" s="328">
        <f>Dados!D8</f>
        <v>200</v>
      </c>
      <c r="E11" s="329">
        <f>Dados!E8</f>
        <v>1526.8</v>
      </c>
      <c r="F11" s="330">
        <f>ROUND(E11/220*D11,2)</f>
        <v>1388</v>
      </c>
      <c r="G11" s="330">
        <f>F11</f>
        <v>1388</v>
      </c>
      <c r="H11" s="330"/>
      <c r="I11" s="330"/>
      <c r="J11" s="331"/>
    </row>
    <row r="12" spans="1:10" ht="19.5" customHeight="1" x14ac:dyDescent="0.3">
      <c r="A12" s="693"/>
      <c r="B12" s="694" t="s">
        <v>542</v>
      </c>
      <c r="C12" s="694"/>
      <c r="D12" s="378">
        <f>Dados!G8</f>
        <v>0</v>
      </c>
      <c r="E12" s="329">
        <f>Dados!G26</f>
        <v>1518</v>
      </c>
      <c r="F12" s="330">
        <f>D12*E12</f>
        <v>0</v>
      </c>
      <c r="G12" s="330">
        <f>F12</f>
        <v>0</v>
      </c>
      <c r="H12" s="330"/>
      <c r="I12" s="330"/>
      <c r="J12" s="331">
        <f>F12</f>
        <v>0</v>
      </c>
    </row>
    <row r="13" spans="1:10" ht="21" customHeight="1" x14ac:dyDescent="0.3">
      <c r="A13" s="693"/>
      <c r="B13" s="333" t="s">
        <v>543</v>
      </c>
      <c r="C13" s="334">
        <f>Dados!I8</f>
        <v>0.12</v>
      </c>
      <c r="D13" s="334">
        <f>Dados!J8</f>
        <v>0.25</v>
      </c>
      <c r="E13" s="335">
        <f>Dados!K8</f>
        <v>1388</v>
      </c>
      <c r="F13" s="336">
        <f>ROUND((E13*D13*C13),2)</f>
        <v>41.64</v>
      </c>
      <c r="G13" s="336">
        <f>F13</f>
        <v>41.64</v>
      </c>
      <c r="H13" s="336"/>
      <c r="I13" s="336"/>
      <c r="J13" s="337"/>
    </row>
    <row r="14" spans="1:10" ht="19.5" customHeight="1" x14ac:dyDescent="0.3">
      <c r="A14" s="693"/>
      <c r="B14" s="695" t="s">
        <v>544</v>
      </c>
      <c r="C14" s="695"/>
      <c r="D14" s="695"/>
      <c r="E14" s="695"/>
      <c r="F14" s="338">
        <f>SUM(F11:F13)</f>
        <v>1429.64</v>
      </c>
      <c r="G14" s="338">
        <f>SUM(G11:G13)</f>
        <v>1429.64</v>
      </c>
      <c r="H14" s="338">
        <f>SUM(H11:H13)</f>
        <v>0</v>
      </c>
      <c r="I14" s="338">
        <f>SUM(I11:I13)</f>
        <v>0</v>
      </c>
      <c r="J14" s="339">
        <f>SUM(J11:J13)</f>
        <v>0</v>
      </c>
    </row>
    <row r="15" spans="1:10" ht="19.5" customHeight="1" x14ac:dyDescent="0.3">
      <c r="A15" s="693"/>
      <c r="B15" s="696" t="s">
        <v>545</v>
      </c>
      <c r="C15" s="696"/>
      <c r="D15" s="696"/>
      <c r="E15" s="340">
        <f>Encargos!$C$57</f>
        <v>0.76400000000000001</v>
      </c>
      <c r="F15" s="330">
        <f>ROUND((E15*F14),2)</f>
        <v>1092.24</v>
      </c>
      <c r="G15" s="330">
        <f>F15</f>
        <v>1092.24</v>
      </c>
      <c r="H15" s="330"/>
      <c r="I15" s="330"/>
      <c r="J15" s="331">
        <f>ROUND((E15*J14),2)</f>
        <v>0</v>
      </c>
    </row>
    <row r="16" spans="1:10" ht="19.5" customHeight="1" x14ac:dyDescent="0.3">
      <c r="A16" s="697" t="s">
        <v>546</v>
      </c>
      <c r="B16" s="697"/>
      <c r="C16" s="697"/>
      <c r="D16" s="697"/>
      <c r="E16" s="697"/>
      <c r="F16" s="341">
        <f>SUM(F14:F15)</f>
        <v>2521.88</v>
      </c>
      <c r="G16" s="341">
        <f>SUM(G14:G15)</f>
        <v>2521.88</v>
      </c>
      <c r="H16" s="341">
        <f>SUM(H14:H15)</f>
        <v>0</v>
      </c>
      <c r="I16" s="341">
        <f>SUM(I14:I15)</f>
        <v>0</v>
      </c>
      <c r="J16" s="342">
        <f>SUM(J14:J15)</f>
        <v>0</v>
      </c>
    </row>
    <row r="17" spans="1:12" ht="19.5" customHeight="1" x14ac:dyDescent="0.3">
      <c r="A17" s="698" t="s">
        <v>547</v>
      </c>
      <c r="B17" s="698"/>
      <c r="C17" s="698"/>
      <c r="D17" s="698"/>
      <c r="E17" s="698"/>
      <c r="F17" s="698"/>
      <c r="G17" s="698"/>
      <c r="H17" s="698"/>
      <c r="I17" s="698"/>
      <c r="J17" s="698"/>
    </row>
    <row r="18" spans="1:12" ht="19.5" customHeight="1" x14ac:dyDescent="0.3">
      <c r="A18" s="699" t="s">
        <v>548</v>
      </c>
      <c r="B18" s="699"/>
      <c r="C18" s="298" t="s">
        <v>488</v>
      </c>
      <c r="D18" s="700" t="s">
        <v>549</v>
      </c>
      <c r="E18" s="700"/>
      <c r="F18" s="701" t="s">
        <v>489</v>
      </c>
      <c r="G18" s="701"/>
      <c r="H18" s="701"/>
      <c r="I18" s="701"/>
      <c r="J18" s="701"/>
    </row>
    <row r="19" spans="1:12" ht="19.5" customHeight="1" x14ac:dyDescent="0.3">
      <c r="A19" s="702" t="s">
        <v>550</v>
      </c>
      <c r="B19" s="702"/>
      <c r="C19" s="344"/>
      <c r="D19" s="344"/>
      <c r="E19" s="344"/>
      <c r="F19" s="330">
        <f>Dados!N8</f>
        <v>35.799999999999997</v>
      </c>
      <c r="G19" s="330">
        <f>F19</f>
        <v>35.799999999999997</v>
      </c>
      <c r="H19" s="330"/>
      <c r="I19" s="330"/>
      <c r="J19" s="331"/>
    </row>
    <row r="20" spans="1:12" ht="19.5" customHeight="1" x14ac:dyDescent="0.3">
      <c r="A20" s="702" t="s">
        <v>551</v>
      </c>
      <c r="B20" s="702"/>
      <c r="C20" s="344"/>
      <c r="D20" s="344"/>
      <c r="E20" s="344"/>
      <c r="F20" s="330">
        <f>Dados!G29</f>
        <v>7.2</v>
      </c>
      <c r="G20" s="330">
        <f>F20</f>
        <v>7.2</v>
      </c>
      <c r="H20" s="330"/>
      <c r="I20" s="330"/>
      <c r="J20" s="331"/>
    </row>
    <row r="21" spans="1:12" ht="23.25" customHeight="1" x14ac:dyDescent="0.3">
      <c r="A21" s="703" t="s">
        <v>217</v>
      </c>
      <c r="B21" s="703"/>
      <c r="C21" s="344"/>
      <c r="D21" s="344"/>
      <c r="E21" s="344"/>
      <c r="F21" s="330">
        <f>Dados!G30</f>
        <v>0</v>
      </c>
      <c r="G21" s="330">
        <f>F21</f>
        <v>0</v>
      </c>
      <c r="H21" s="330"/>
      <c r="I21" s="330"/>
      <c r="J21" s="331"/>
    </row>
    <row r="22" spans="1:12" ht="19.5" customHeight="1" x14ac:dyDescent="0.3">
      <c r="A22" s="702" t="s">
        <v>218</v>
      </c>
      <c r="B22" s="702"/>
      <c r="C22" s="345">
        <f>Dados!$G$33</f>
        <v>22</v>
      </c>
      <c r="D22" s="345">
        <f>Dados!$G$32</f>
        <v>2</v>
      </c>
      <c r="E22" s="346">
        <f>Dados!$G$31</f>
        <v>3.5</v>
      </c>
      <c r="F22" s="330">
        <f>IF(ROUND((E22*D22*C22)-(F11*Dados!G34),2)&lt;0,0,ROUND((E22*D22*C22)-(F11*Dados!G34),2))</f>
        <v>70.72</v>
      </c>
      <c r="G22" s="330">
        <f>F22</f>
        <v>70.72</v>
      </c>
      <c r="H22" s="330"/>
      <c r="I22" s="330">
        <f>F22</f>
        <v>70.72</v>
      </c>
      <c r="J22" s="331"/>
    </row>
    <row r="23" spans="1:12" ht="19.5" customHeight="1" x14ac:dyDescent="0.3">
      <c r="A23" s="702" t="s">
        <v>227</v>
      </c>
      <c r="B23" s="702"/>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702" t="s">
        <v>230</v>
      </c>
      <c r="B24" s="702"/>
      <c r="C24" s="345"/>
      <c r="D24" s="345"/>
      <c r="E24" s="346"/>
      <c r="F24" s="348">
        <f>Dados!G38</f>
        <v>0</v>
      </c>
      <c r="G24" s="330"/>
      <c r="H24" s="330"/>
      <c r="I24" s="348"/>
      <c r="J24" s="331"/>
    </row>
    <row r="25" spans="1:12" ht="19.5" customHeight="1" x14ac:dyDescent="0.3">
      <c r="A25" s="702" t="s">
        <v>230</v>
      </c>
      <c r="B25" s="702"/>
      <c r="C25" s="345"/>
      <c r="D25" s="345"/>
      <c r="E25" s="346"/>
      <c r="F25" s="348">
        <f>Dados!G39</f>
        <v>0</v>
      </c>
      <c r="G25" s="330"/>
      <c r="H25" s="330"/>
      <c r="I25" s="348"/>
      <c r="J25" s="331"/>
    </row>
    <row r="26" spans="1:12" ht="19.5" customHeight="1" x14ac:dyDescent="0.3">
      <c r="A26" s="702" t="s">
        <v>552</v>
      </c>
      <c r="B26" s="702"/>
      <c r="C26" s="345"/>
      <c r="D26" s="346"/>
      <c r="E26" s="346"/>
      <c r="F26" s="330">
        <f>Dados!O8</f>
        <v>1241.05</v>
      </c>
      <c r="G26" s="330"/>
      <c r="H26" s="330"/>
      <c r="I26" s="330"/>
      <c r="J26" s="331"/>
      <c r="L26" s="349"/>
    </row>
    <row r="27" spans="1:12" ht="19.5" customHeight="1" x14ac:dyDescent="0.3">
      <c r="A27" s="343" t="s">
        <v>553</v>
      </c>
      <c r="B27" s="350"/>
      <c r="C27" s="345"/>
      <c r="D27" s="346"/>
      <c r="E27" s="346"/>
      <c r="F27" s="330">
        <f>Dados!P8</f>
        <v>80.16</v>
      </c>
      <c r="G27" s="330"/>
      <c r="H27" s="330"/>
      <c r="I27" s="330"/>
      <c r="J27" s="331"/>
    </row>
    <row r="28" spans="1:12" ht="19.5" customHeight="1" x14ac:dyDescent="0.3">
      <c r="A28" s="704" t="s">
        <v>554</v>
      </c>
      <c r="B28" s="704"/>
      <c r="C28" s="351"/>
      <c r="D28" s="352"/>
      <c r="E28" s="352"/>
      <c r="F28" s="336">
        <f>Dados!Q8</f>
        <v>7.55</v>
      </c>
      <c r="G28" s="336">
        <f>F28</f>
        <v>7.55</v>
      </c>
      <c r="H28" s="336"/>
      <c r="I28" s="336"/>
      <c r="J28" s="337"/>
    </row>
    <row r="29" spans="1:12" ht="19.5" customHeight="1" x14ac:dyDescent="0.3">
      <c r="A29" s="705" t="s">
        <v>555</v>
      </c>
      <c r="B29" s="705"/>
      <c r="C29" s="705"/>
      <c r="D29" s="705"/>
      <c r="E29" s="705"/>
      <c r="F29" s="341">
        <f>SUM(F19:F28)</f>
        <v>1917.6799999999998</v>
      </c>
      <c r="G29" s="341">
        <f>SUM(G19:G28)</f>
        <v>596.46999999999991</v>
      </c>
      <c r="H29" s="341">
        <f>SUM(H19:H28)</f>
        <v>475.2</v>
      </c>
      <c r="I29" s="341">
        <f>SUM(I19:I28)</f>
        <v>70.72</v>
      </c>
      <c r="J29" s="342">
        <f>SUM(J19:J28)</f>
        <v>0</v>
      </c>
    </row>
    <row r="30" spans="1:12" ht="19.5" customHeight="1" x14ac:dyDescent="0.3">
      <c r="A30" s="705" t="s">
        <v>556</v>
      </c>
      <c r="B30" s="705"/>
      <c r="C30" s="705"/>
      <c r="D30" s="705"/>
      <c r="E30" s="705"/>
      <c r="F30" s="341">
        <f>F16+F29</f>
        <v>4439.5599999999995</v>
      </c>
      <c r="G30" s="341">
        <f>G16+G29</f>
        <v>3118.35</v>
      </c>
      <c r="H30" s="341">
        <f>H16+H29</f>
        <v>475.2</v>
      </c>
      <c r="I30" s="341">
        <f>I16+I29</f>
        <v>70.72</v>
      </c>
      <c r="J30" s="342">
        <f>J16+J29</f>
        <v>0</v>
      </c>
    </row>
    <row r="31" spans="1:12" ht="19.5" customHeight="1" x14ac:dyDescent="0.3">
      <c r="A31" s="690" t="s">
        <v>557</v>
      </c>
      <c r="B31" s="690"/>
      <c r="C31" s="690"/>
      <c r="D31" s="690"/>
      <c r="E31" s="690"/>
      <c r="F31" s="690"/>
      <c r="G31" s="690"/>
      <c r="H31" s="690"/>
      <c r="I31" s="690"/>
      <c r="J31" s="690"/>
    </row>
    <row r="32" spans="1:12" ht="19.5" customHeight="1" x14ac:dyDescent="0.3">
      <c r="A32" s="699" t="s">
        <v>558</v>
      </c>
      <c r="B32" s="699"/>
      <c r="C32" s="699"/>
      <c r="D32" s="353" t="s">
        <v>559</v>
      </c>
      <c r="E32" s="706" t="s">
        <v>489</v>
      </c>
      <c r="F32" s="706"/>
      <c r="G32" s="706"/>
      <c r="H32" s="706"/>
      <c r="I32" s="706"/>
      <c r="J32" s="706"/>
    </row>
    <row r="33" spans="1:12" ht="19.5" customHeight="1" x14ac:dyDescent="0.3">
      <c r="A33" s="354" t="s">
        <v>560</v>
      </c>
      <c r="B33" s="355"/>
      <c r="C33" s="355"/>
      <c r="D33" s="356">
        <f>Dados!$G$42</f>
        <v>0.03</v>
      </c>
      <c r="E33" s="357"/>
      <c r="F33" s="330">
        <f>ROUND((F30*$D$33),2)</f>
        <v>133.19</v>
      </c>
      <c r="G33" s="330">
        <f>ROUND((G30*$D$33),2)</f>
        <v>93.55</v>
      </c>
      <c r="H33" s="330">
        <f>ROUND((H30*$D$33),2)</f>
        <v>14.26</v>
      </c>
      <c r="I33" s="330">
        <f>ROUND((I30*$D$33),2)</f>
        <v>2.12</v>
      </c>
      <c r="J33" s="331">
        <f>ROUND((J30*$D$33),2)</f>
        <v>0</v>
      </c>
    </row>
    <row r="34" spans="1:12" ht="19.5" customHeight="1" x14ac:dyDescent="0.3">
      <c r="A34" s="707" t="s">
        <v>561</v>
      </c>
      <c r="B34" s="707"/>
      <c r="C34" s="707"/>
      <c r="D34" s="356"/>
      <c r="E34" s="357"/>
      <c r="F34" s="330">
        <f>F30+F33</f>
        <v>4572.7499999999991</v>
      </c>
      <c r="G34" s="330">
        <f>G30+G33</f>
        <v>3211.9</v>
      </c>
      <c r="H34" s="330">
        <f>H30+H33</f>
        <v>489.46</v>
      </c>
      <c r="I34" s="330">
        <f>I30+I33</f>
        <v>72.84</v>
      </c>
      <c r="J34" s="331">
        <f>J30+J33</f>
        <v>0</v>
      </c>
    </row>
    <row r="35" spans="1:12" ht="19.5" customHeight="1" x14ac:dyDescent="0.3">
      <c r="A35" s="358" t="s">
        <v>235</v>
      </c>
      <c r="B35" s="359"/>
      <c r="C35" s="359"/>
      <c r="D35" s="360">
        <f>Dados!$G$43</f>
        <v>6.7900000000000002E-2</v>
      </c>
      <c r="E35" s="361"/>
      <c r="F35" s="336">
        <f>ROUND((F34*$D$35),2)</f>
        <v>310.49</v>
      </c>
      <c r="G35" s="336">
        <f>ROUND((G34*$D$35),2)</f>
        <v>218.09</v>
      </c>
      <c r="H35" s="336">
        <f>ROUND((H34*$D$35),2)</f>
        <v>33.229999999999997</v>
      </c>
      <c r="I35" s="336">
        <f>ROUND((I34*$D$35),2)</f>
        <v>4.95</v>
      </c>
      <c r="J35" s="337">
        <f>ROUND((J34*$D$35),2)</f>
        <v>0</v>
      </c>
    </row>
    <row r="36" spans="1:12" ht="19.5" customHeight="1" x14ac:dyDescent="0.3">
      <c r="A36" s="362" t="s">
        <v>562</v>
      </c>
      <c r="B36" s="363"/>
      <c r="C36" s="363"/>
      <c r="D36" s="364">
        <f>SUM(D33:D35)</f>
        <v>9.7900000000000001E-2</v>
      </c>
      <c r="E36" s="365"/>
      <c r="F36" s="341">
        <f>F33+F35</f>
        <v>443.68</v>
      </c>
      <c r="G36" s="341">
        <f>G33+G35</f>
        <v>311.64</v>
      </c>
      <c r="H36" s="341">
        <f>H33+H35</f>
        <v>47.489999999999995</v>
      </c>
      <c r="I36" s="341">
        <f>I33+I35</f>
        <v>7.07</v>
      </c>
      <c r="J36" s="342">
        <f>J33+J35</f>
        <v>0</v>
      </c>
    </row>
    <row r="37" spans="1:12" ht="19.5" customHeight="1" x14ac:dyDescent="0.3">
      <c r="A37" s="708" t="s">
        <v>563</v>
      </c>
      <c r="B37" s="708"/>
      <c r="C37" s="708"/>
      <c r="D37" s="708"/>
      <c r="E37" s="708"/>
      <c r="F37" s="366">
        <f>F30+F36</f>
        <v>4883.24</v>
      </c>
      <c r="G37" s="366">
        <f>G30+G36</f>
        <v>3429.99</v>
      </c>
      <c r="H37" s="366">
        <f>H30+H36</f>
        <v>522.68999999999994</v>
      </c>
      <c r="I37" s="366">
        <f>I30+I36</f>
        <v>77.789999999999992</v>
      </c>
      <c r="J37" s="367">
        <f>J30+J36</f>
        <v>0</v>
      </c>
    </row>
    <row r="38" spans="1:12" ht="19.5" customHeight="1" x14ac:dyDescent="0.3">
      <c r="A38" s="709" t="s">
        <v>564</v>
      </c>
      <c r="B38" s="709"/>
      <c r="C38" s="709"/>
      <c r="D38" s="709"/>
      <c r="E38" s="709"/>
      <c r="F38" s="709"/>
      <c r="G38" s="709"/>
      <c r="H38" s="709"/>
      <c r="I38" s="709"/>
      <c r="J38" s="709"/>
    </row>
    <row r="39" spans="1:12" ht="19.5" customHeight="1" x14ac:dyDescent="0.3">
      <c r="A39" s="702" t="s">
        <v>241</v>
      </c>
      <c r="B39" s="702"/>
      <c r="C39" s="702"/>
      <c r="D39" s="356">
        <f>Dados!G50</f>
        <v>7.5999999999999998E-2</v>
      </c>
      <c r="E39" s="368"/>
      <c r="F39" s="330">
        <f>ROUND(($F$45*D39),2)</f>
        <v>422.94</v>
      </c>
      <c r="G39" s="330">
        <f>ROUND((G45*$D$39),2)</f>
        <v>297.07</v>
      </c>
      <c r="H39" s="330">
        <f>ROUND((H45*$D$39),2)</f>
        <v>45.27</v>
      </c>
      <c r="I39" s="330">
        <f>ROUND((I45*$D$39),2)</f>
        <v>6.74</v>
      </c>
      <c r="J39" s="331">
        <f>ROUND((J45*$D$39),2)</f>
        <v>0</v>
      </c>
    </row>
    <row r="40" spans="1:12" ht="19.5" customHeight="1" x14ac:dyDescent="0.3">
      <c r="A40" s="702" t="s">
        <v>243</v>
      </c>
      <c r="B40" s="702"/>
      <c r="C40" s="702"/>
      <c r="D40" s="356">
        <f>Dados!G51</f>
        <v>1.6500000000000001E-2</v>
      </c>
      <c r="E40" s="368"/>
      <c r="F40" s="330">
        <f>ROUND((F45*$D$40),2)</f>
        <v>91.82</v>
      </c>
      <c r="G40" s="330">
        <f>ROUND((G45*$D$40),2)</f>
        <v>64.5</v>
      </c>
      <c r="H40" s="330">
        <f>ROUND((H45*$D$40),2)</f>
        <v>9.83</v>
      </c>
      <c r="I40" s="330">
        <f>ROUND((I45*$D$40),2)</f>
        <v>1.46</v>
      </c>
      <c r="J40" s="331">
        <f>ROUND((J45*$D$40),2)</f>
        <v>0</v>
      </c>
    </row>
    <row r="41" spans="1:12" ht="19.5" customHeight="1" x14ac:dyDescent="0.3">
      <c r="A41" s="702" t="s">
        <v>244</v>
      </c>
      <c r="B41" s="702"/>
      <c r="C41" s="702"/>
      <c r="D41" s="356">
        <f>Dados!G52</f>
        <v>0.03</v>
      </c>
      <c r="E41" s="368"/>
      <c r="F41" s="330">
        <f>ROUND((F45*$D$41),2)</f>
        <v>166.95</v>
      </c>
      <c r="G41" s="330">
        <f>ROUND((G45*$D$41),2)</f>
        <v>117.26</v>
      </c>
      <c r="H41" s="330">
        <f>ROUND((H45*$D$41),2)</f>
        <v>17.87</v>
      </c>
      <c r="I41" s="330">
        <f>ROUND((I45*$D$41),2)</f>
        <v>2.66</v>
      </c>
      <c r="J41" s="331">
        <f>ROUND((J45*$D$41),2)</f>
        <v>0</v>
      </c>
    </row>
    <row r="42" spans="1:12" ht="19.5" customHeight="1" x14ac:dyDescent="0.3">
      <c r="A42" s="702" t="s">
        <v>230</v>
      </c>
      <c r="B42" s="702"/>
      <c r="C42" s="702"/>
      <c r="D42" s="356">
        <f>Dados!G53</f>
        <v>0</v>
      </c>
      <c r="E42" s="368"/>
      <c r="F42" s="330">
        <f>ROUND((F45*$D$42),2)</f>
        <v>0</v>
      </c>
      <c r="G42" s="330">
        <f>ROUND((G45*$D$42),2)</f>
        <v>0</v>
      </c>
      <c r="H42" s="330">
        <f>ROUND((H45*$D$42),2)</f>
        <v>0</v>
      </c>
      <c r="I42" s="330">
        <f>ROUND((I45*$D$42),2)</f>
        <v>0</v>
      </c>
      <c r="J42" s="331">
        <f>ROUND((J45*$D$42),2)</f>
        <v>0</v>
      </c>
    </row>
    <row r="43" spans="1:12" ht="19.5" customHeight="1" x14ac:dyDescent="0.3">
      <c r="A43" s="711" t="s">
        <v>565</v>
      </c>
      <c r="B43" s="711"/>
      <c r="C43" s="711"/>
      <c r="D43" s="369">
        <f>SUM(D39:D42)</f>
        <v>0.1225</v>
      </c>
      <c r="E43" s="370"/>
      <c r="F43" s="371">
        <f>SUM(F39:F42)</f>
        <v>681.71</v>
      </c>
      <c r="G43" s="371">
        <f>SUM(G39:G42)</f>
        <v>478.83</v>
      </c>
      <c r="H43" s="371">
        <f>SUM(H39:H42)</f>
        <v>72.97</v>
      </c>
      <c r="I43" s="371">
        <f>SUM(I39:I42)</f>
        <v>10.86</v>
      </c>
      <c r="J43" s="372">
        <f>SUM(J39:J41)</f>
        <v>0</v>
      </c>
    </row>
    <row r="44" spans="1:12" ht="19.5" customHeight="1" x14ac:dyDescent="0.3">
      <c r="A44" s="712" t="str">
        <f>CONCATENATE("Custo Mensal - ",A7)</f>
        <v>Custo Mensal - Servente de Limpeza acúmulo de função Copeira</v>
      </c>
      <c r="B44" s="712"/>
      <c r="C44" s="712"/>
      <c r="D44" s="712"/>
      <c r="E44" s="712"/>
      <c r="F44" s="373">
        <f>ROUND(F37/(1-D43),2)</f>
        <v>5564.95</v>
      </c>
      <c r="G44" s="373">
        <f>ROUND(G37/(1-D43),2)</f>
        <v>3908.82</v>
      </c>
      <c r="H44" s="373">
        <f>ROUND(H37/(1-D43),2)</f>
        <v>595.66</v>
      </c>
      <c r="I44" s="373">
        <f>ROUND(I37/(1-D43),2)</f>
        <v>88.65</v>
      </c>
      <c r="J44" s="374">
        <f>ROUND(J37/(1-D43),2)</f>
        <v>0</v>
      </c>
    </row>
    <row r="45" spans="1:12" ht="19.5" customHeight="1" x14ac:dyDescent="0.3">
      <c r="A45" s="713" t="str">
        <f>CONCATENATE("Valor do Custo Mensal - ",A7)</f>
        <v>Valor do Custo Mensal - Servente de Limpeza acúmulo de função Copeira</v>
      </c>
      <c r="B45" s="713"/>
      <c r="C45" s="713"/>
      <c r="D45" s="713"/>
      <c r="E45" s="713"/>
      <c r="F45" s="373">
        <f>F44</f>
        <v>5564.95</v>
      </c>
      <c r="G45" s="373">
        <f>G44</f>
        <v>3908.82</v>
      </c>
      <c r="H45" s="373">
        <f>H44</f>
        <v>595.66</v>
      </c>
      <c r="I45" s="373">
        <f>I44</f>
        <v>88.65</v>
      </c>
      <c r="J45" s="374">
        <f>J44</f>
        <v>0</v>
      </c>
      <c r="K45" s="375"/>
      <c r="L45" s="375"/>
    </row>
    <row r="46" spans="1:12" ht="27.75" customHeight="1" x14ac:dyDescent="0.3">
      <c r="A46" s="714" t="s">
        <v>566</v>
      </c>
      <c r="B46" s="714"/>
      <c r="C46" s="714"/>
      <c r="D46" s="714"/>
      <c r="E46" s="714"/>
      <c r="F46" s="376">
        <f>(F45/F14)</f>
        <v>3.8925533700791806</v>
      </c>
      <c r="G46" s="376">
        <f>(G45/G14)</f>
        <v>2.7341288716040402</v>
      </c>
      <c r="H46" s="710" t="s">
        <v>567</v>
      </c>
      <c r="I46" s="710"/>
      <c r="J46" s="377">
        <v>0</v>
      </c>
    </row>
    <row r="47" spans="1:12" ht="19.5" customHeight="1" x14ac:dyDescent="0.3"/>
  </sheetData>
  <sheetProtection algorithmName="SHA-512" hashValue="ZU1QdMzv4vk3uOFmKBHtCP6vfjRVyaGRisw+QDPMD4k59jm8fy4Jz3ebqTsb5QoWzUKvoQ6he7ulGfOPhdTHIg==" saltValue="56BqEuRFbt7trDSriQwXcQ=="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MJ47"/>
  <sheetViews>
    <sheetView showGridLines="0" zoomScale="95" zoomScaleNormal="95" workbookViewId="0">
      <selection activeCell="A9" sqref="A9:J9"/>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684" t="s">
        <v>530</v>
      </c>
      <c r="B4" s="684"/>
      <c r="C4" s="684"/>
      <c r="D4" s="684"/>
      <c r="E4" s="684"/>
      <c r="F4" s="684"/>
      <c r="G4" s="684"/>
      <c r="H4" s="684"/>
      <c r="I4" s="684"/>
      <c r="J4" s="684"/>
    </row>
    <row r="5" spans="1:10" ht="19.5" customHeight="1" x14ac:dyDescent="0.3">
      <c r="A5" s="685" t="s">
        <v>531</v>
      </c>
      <c r="B5" s="685"/>
      <c r="C5" s="685"/>
      <c r="D5" s="685"/>
      <c r="E5" s="685"/>
      <c r="F5" s="685"/>
      <c r="G5" s="685"/>
      <c r="H5" s="685"/>
      <c r="I5" s="685"/>
      <c r="J5" s="685"/>
    </row>
    <row r="6" spans="1:10" ht="36" customHeight="1" x14ac:dyDescent="0.3">
      <c r="A6" s="686" t="str">
        <f>Dados!A4</f>
        <v>Sindicato utilizado - SINSERTH x SINTAPPI. Vigência: 2024/2025. Sendo a data base da categoria 01° de Abril. Com número de registro no MTE MG002103/2024.</v>
      </c>
      <c r="B6" s="686"/>
      <c r="C6" s="686"/>
      <c r="D6" s="686"/>
      <c r="E6" s="686"/>
      <c r="F6" s="686"/>
      <c r="G6" s="686"/>
      <c r="H6" s="686"/>
      <c r="I6" s="686"/>
      <c r="J6" s="686"/>
    </row>
    <row r="7" spans="1:10" ht="19.5" customHeight="1" x14ac:dyDescent="0.3">
      <c r="A7" s="687" t="str">
        <f>Resumo!B14</f>
        <v>Auxiliar Administrativo</v>
      </c>
      <c r="B7" s="687"/>
      <c r="C7" s="687"/>
      <c r="D7" s="687"/>
      <c r="E7" s="687"/>
      <c r="F7" s="688" t="s">
        <v>532</v>
      </c>
      <c r="G7" s="688" t="s">
        <v>533</v>
      </c>
      <c r="H7" s="688" t="s">
        <v>534</v>
      </c>
      <c r="I7" s="688" t="s">
        <v>535</v>
      </c>
      <c r="J7" s="688" t="s">
        <v>536</v>
      </c>
    </row>
    <row r="8" spans="1:10" ht="19.5" customHeight="1" x14ac:dyDescent="0.3">
      <c r="A8" s="689" t="s">
        <v>568</v>
      </c>
      <c r="B8" s="689"/>
      <c r="C8" s="689"/>
      <c r="D8" s="689"/>
      <c r="E8" s="324" t="s">
        <v>485</v>
      </c>
      <c r="F8" s="688"/>
      <c r="G8" s="688"/>
      <c r="H8" s="688"/>
      <c r="I8" s="688"/>
      <c r="J8" s="688"/>
    </row>
    <row r="9" spans="1:10" ht="19.5" customHeight="1" x14ac:dyDescent="0.3">
      <c r="A9" s="690" t="s">
        <v>538</v>
      </c>
      <c r="B9" s="690"/>
      <c r="C9" s="690"/>
      <c r="D9" s="690"/>
      <c r="E9" s="690"/>
      <c r="F9" s="690"/>
      <c r="G9" s="690"/>
      <c r="H9" s="690"/>
      <c r="I9" s="690"/>
      <c r="J9" s="690"/>
    </row>
    <row r="10" spans="1:10" ht="24" customHeight="1" x14ac:dyDescent="0.3">
      <c r="A10" s="325" t="s">
        <v>486</v>
      </c>
      <c r="B10" s="691" t="s">
        <v>539</v>
      </c>
      <c r="C10" s="691"/>
      <c r="D10" s="326" t="s">
        <v>540</v>
      </c>
      <c r="E10" s="327" t="s">
        <v>541</v>
      </c>
      <c r="F10" s="692" t="s">
        <v>489</v>
      </c>
      <c r="G10" s="692"/>
      <c r="H10" s="692"/>
      <c r="I10" s="692"/>
      <c r="J10" s="692"/>
    </row>
    <row r="11" spans="1:10" ht="19.5" customHeight="1" x14ac:dyDescent="0.3">
      <c r="A11" s="693">
        <v>1</v>
      </c>
      <c r="B11" s="694" t="str">
        <f>A7</f>
        <v>Auxiliar Administrativo</v>
      </c>
      <c r="C11" s="694"/>
      <c r="D11" s="328">
        <f>Dados!$D$9</f>
        <v>200</v>
      </c>
      <c r="E11" s="329">
        <f>Dados!$E$9</f>
        <v>1914</v>
      </c>
      <c r="F11" s="330">
        <f>ROUND(E11/220*D11,2)</f>
        <v>1740</v>
      </c>
      <c r="G11" s="330">
        <f>F11</f>
        <v>1740</v>
      </c>
      <c r="H11" s="330"/>
      <c r="I11" s="330"/>
      <c r="J11" s="331"/>
    </row>
    <row r="12" spans="1:10" ht="19.5" customHeight="1" x14ac:dyDescent="0.3">
      <c r="A12" s="693"/>
      <c r="B12" s="694" t="s">
        <v>542</v>
      </c>
      <c r="C12" s="694"/>
      <c r="D12" s="378">
        <f>Dados!G8</f>
        <v>0</v>
      </c>
      <c r="E12" s="329">
        <f>Dados!$G$26</f>
        <v>1518</v>
      </c>
      <c r="F12" s="330">
        <f>D12*E12</f>
        <v>0</v>
      </c>
      <c r="G12" s="330">
        <f>F12</f>
        <v>0</v>
      </c>
      <c r="H12" s="330"/>
      <c r="I12" s="330"/>
      <c r="J12" s="331">
        <f>F12</f>
        <v>0</v>
      </c>
    </row>
    <row r="13" spans="1:10" ht="22.5" customHeight="1" x14ac:dyDescent="0.3">
      <c r="A13" s="693"/>
      <c r="B13" s="333" t="s">
        <v>543</v>
      </c>
      <c r="C13" s="334">
        <f>Dados!$I$9</f>
        <v>0</v>
      </c>
      <c r="D13" s="334">
        <f>Dados!$J$9</f>
        <v>0</v>
      </c>
      <c r="E13" s="335">
        <f>Dados!$K$9</f>
        <v>0</v>
      </c>
      <c r="F13" s="336">
        <f>ROUND((E13*D13*C13),2)</f>
        <v>0</v>
      </c>
      <c r="G13" s="336">
        <f>F13</f>
        <v>0</v>
      </c>
      <c r="H13" s="336"/>
      <c r="I13" s="336"/>
      <c r="J13" s="337"/>
    </row>
    <row r="14" spans="1:10" ht="19.5" customHeight="1" x14ac:dyDescent="0.3">
      <c r="A14" s="693"/>
      <c r="B14" s="695" t="s">
        <v>544</v>
      </c>
      <c r="C14" s="695"/>
      <c r="D14" s="695"/>
      <c r="E14" s="695"/>
      <c r="F14" s="338">
        <f>SUM(F11:F13)</f>
        <v>1740</v>
      </c>
      <c r="G14" s="338">
        <f>SUM(G11:G13)</f>
        <v>1740</v>
      </c>
      <c r="H14" s="338">
        <f>SUM(H11:H13)</f>
        <v>0</v>
      </c>
      <c r="I14" s="338">
        <f>SUM(I11:I13)</f>
        <v>0</v>
      </c>
      <c r="J14" s="339">
        <f>SUM(J11:J13)</f>
        <v>0</v>
      </c>
    </row>
    <row r="15" spans="1:10" ht="19.5" customHeight="1" x14ac:dyDescent="0.3">
      <c r="A15" s="693"/>
      <c r="B15" s="696" t="s">
        <v>545</v>
      </c>
      <c r="C15" s="696"/>
      <c r="D15" s="696"/>
      <c r="E15" s="340">
        <f>Encargos!$C$57</f>
        <v>0.76400000000000001</v>
      </c>
      <c r="F15" s="330">
        <f>ROUND((E15*F14),2)</f>
        <v>1329.36</v>
      </c>
      <c r="G15" s="330">
        <f>F15</f>
        <v>1329.36</v>
      </c>
      <c r="H15" s="330"/>
      <c r="I15" s="330"/>
      <c r="J15" s="331">
        <f>ROUND((E15*J14),2)</f>
        <v>0</v>
      </c>
    </row>
    <row r="16" spans="1:10" ht="19.5" customHeight="1" x14ac:dyDescent="0.3">
      <c r="A16" s="697" t="s">
        <v>546</v>
      </c>
      <c r="B16" s="697"/>
      <c r="C16" s="697"/>
      <c r="D16" s="697"/>
      <c r="E16" s="697"/>
      <c r="F16" s="341">
        <f>SUM(F14:F15)</f>
        <v>3069.3599999999997</v>
      </c>
      <c r="G16" s="341">
        <f>SUM(G14:G15)</f>
        <v>3069.3599999999997</v>
      </c>
      <c r="H16" s="341">
        <f>SUM(H14:H15)</f>
        <v>0</v>
      </c>
      <c r="I16" s="341">
        <f>SUM(I14:I15)</f>
        <v>0</v>
      </c>
      <c r="J16" s="342">
        <f>SUM(J14:J15)</f>
        <v>0</v>
      </c>
    </row>
    <row r="17" spans="1:12" ht="19.5" customHeight="1" x14ac:dyDescent="0.3">
      <c r="A17" s="698" t="s">
        <v>547</v>
      </c>
      <c r="B17" s="698"/>
      <c r="C17" s="698"/>
      <c r="D17" s="698"/>
      <c r="E17" s="698"/>
      <c r="F17" s="698"/>
      <c r="G17" s="698"/>
      <c r="H17" s="698"/>
      <c r="I17" s="698"/>
      <c r="J17" s="698"/>
    </row>
    <row r="18" spans="1:12" ht="19.5" customHeight="1" x14ac:dyDescent="0.3">
      <c r="A18" s="699" t="s">
        <v>548</v>
      </c>
      <c r="B18" s="699"/>
      <c r="C18" s="298" t="s">
        <v>488</v>
      </c>
      <c r="D18" s="700" t="s">
        <v>549</v>
      </c>
      <c r="E18" s="700"/>
      <c r="F18" s="701" t="s">
        <v>489</v>
      </c>
      <c r="G18" s="701"/>
      <c r="H18" s="701"/>
      <c r="I18" s="701"/>
      <c r="J18" s="701"/>
    </row>
    <row r="19" spans="1:12" ht="19.5" customHeight="1" x14ac:dyDescent="0.3">
      <c r="A19" s="702" t="s">
        <v>550</v>
      </c>
      <c r="B19" s="702"/>
      <c r="C19" s="344"/>
      <c r="D19" s="344"/>
      <c r="E19" s="344"/>
      <c r="F19" s="330">
        <f>Dados!N9</f>
        <v>35.22</v>
      </c>
      <c r="G19" s="330">
        <f>F19</f>
        <v>35.22</v>
      </c>
      <c r="H19" s="330"/>
      <c r="I19" s="330"/>
      <c r="J19" s="331"/>
    </row>
    <row r="20" spans="1:12" ht="19.5" customHeight="1" x14ac:dyDescent="0.3">
      <c r="A20" s="702" t="s">
        <v>551</v>
      </c>
      <c r="B20" s="702"/>
      <c r="C20" s="344"/>
      <c r="D20" s="344"/>
      <c r="E20" s="344"/>
      <c r="F20" s="330">
        <f>Dados!G29</f>
        <v>7.2</v>
      </c>
      <c r="G20" s="330">
        <f>F20</f>
        <v>7.2</v>
      </c>
      <c r="H20" s="330"/>
      <c r="I20" s="330"/>
      <c r="J20" s="331"/>
    </row>
    <row r="21" spans="1:12" ht="23.25" customHeight="1" x14ac:dyDescent="0.3">
      <c r="A21" s="703" t="s">
        <v>217</v>
      </c>
      <c r="B21" s="703"/>
      <c r="C21" s="344"/>
      <c r="D21" s="344"/>
      <c r="E21" s="344"/>
      <c r="F21" s="330">
        <f>Dados!G30</f>
        <v>0</v>
      </c>
      <c r="G21" s="330">
        <f>F21</f>
        <v>0</v>
      </c>
      <c r="H21" s="330"/>
      <c r="I21" s="330"/>
      <c r="J21" s="331"/>
    </row>
    <row r="22" spans="1:12" ht="19.5" customHeight="1" x14ac:dyDescent="0.3">
      <c r="A22" s="702" t="s">
        <v>218</v>
      </c>
      <c r="B22" s="702"/>
      <c r="C22" s="345">
        <f>Dados!$G$33</f>
        <v>22</v>
      </c>
      <c r="D22" s="345">
        <f>Dados!$G$32</f>
        <v>2</v>
      </c>
      <c r="E22" s="346">
        <f>Dados!$G$31</f>
        <v>3.5</v>
      </c>
      <c r="F22" s="330">
        <f>IF(ROUND((E22*D22*C22)-(F11*Dados!G34),2)&lt;0,0,ROUND((E22*D22*C22)-(F11*Dados!G34),2))</f>
        <v>49.6</v>
      </c>
      <c r="G22" s="330">
        <f>F22</f>
        <v>49.6</v>
      </c>
      <c r="H22" s="330"/>
      <c r="I22" s="330">
        <f>F22</f>
        <v>49.6</v>
      </c>
      <c r="J22" s="331"/>
    </row>
    <row r="23" spans="1:12" ht="19.5" customHeight="1" x14ac:dyDescent="0.3">
      <c r="A23" s="702" t="s">
        <v>227</v>
      </c>
      <c r="B23" s="702"/>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702" t="s">
        <v>230</v>
      </c>
      <c r="B24" s="702"/>
      <c r="C24" s="345"/>
      <c r="D24" s="345"/>
      <c r="E24" s="346"/>
      <c r="F24" s="348">
        <f>Dados!G38</f>
        <v>0</v>
      </c>
      <c r="G24" s="330"/>
      <c r="H24" s="330"/>
      <c r="I24" s="348"/>
      <c r="J24" s="331"/>
    </row>
    <row r="25" spans="1:12" ht="19.5" customHeight="1" x14ac:dyDescent="0.3">
      <c r="A25" s="702" t="s">
        <v>230</v>
      </c>
      <c r="B25" s="702"/>
      <c r="C25" s="345"/>
      <c r="D25" s="345"/>
      <c r="E25" s="346"/>
      <c r="F25" s="348">
        <f>Dados!G39</f>
        <v>0</v>
      </c>
      <c r="G25" s="330"/>
      <c r="H25" s="330"/>
      <c r="I25" s="348"/>
      <c r="J25" s="331"/>
    </row>
    <row r="26" spans="1:12" ht="19.5" customHeight="1" x14ac:dyDescent="0.3">
      <c r="A26" s="702" t="s">
        <v>552</v>
      </c>
      <c r="B26" s="702"/>
      <c r="C26" s="345"/>
      <c r="D26" s="346"/>
      <c r="E26" s="346"/>
      <c r="F26" s="330"/>
      <c r="G26" s="330"/>
      <c r="H26" s="330"/>
      <c r="I26" s="330"/>
      <c r="J26" s="331"/>
      <c r="L26" s="349"/>
    </row>
    <row r="27" spans="1:12" ht="19.5" customHeight="1" x14ac:dyDescent="0.3">
      <c r="A27" s="343" t="s">
        <v>553</v>
      </c>
      <c r="B27" s="350"/>
      <c r="C27" s="345"/>
      <c r="D27" s="346"/>
      <c r="E27" s="346"/>
      <c r="F27" s="330">
        <f>Dados!P9</f>
        <v>0</v>
      </c>
      <c r="G27" s="330"/>
      <c r="H27" s="330"/>
      <c r="I27" s="330"/>
      <c r="J27" s="331"/>
    </row>
    <row r="28" spans="1:12" ht="19.5" customHeight="1" x14ac:dyDescent="0.3">
      <c r="A28" s="704" t="s">
        <v>554</v>
      </c>
      <c r="B28" s="704"/>
      <c r="C28" s="351"/>
      <c r="D28" s="352"/>
      <c r="E28" s="352"/>
      <c r="F28" s="336">
        <f>Dados!Q9</f>
        <v>0</v>
      </c>
      <c r="G28" s="336">
        <f>F28</f>
        <v>0</v>
      </c>
      <c r="H28" s="336"/>
      <c r="I28" s="336"/>
      <c r="J28" s="337"/>
    </row>
    <row r="29" spans="1:12" ht="19.5" customHeight="1" x14ac:dyDescent="0.3">
      <c r="A29" s="705" t="s">
        <v>555</v>
      </c>
      <c r="B29" s="705"/>
      <c r="C29" s="705"/>
      <c r="D29" s="705"/>
      <c r="E29" s="705"/>
      <c r="F29" s="341">
        <f>SUM(F19:F28)</f>
        <v>567.22</v>
      </c>
      <c r="G29" s="341">
        <f>SUM(G19:G28)</f>
        <v>567.22</v>
      </c>
      <c r="H29" s="341">
        <f>SUM(H19:H28)</f>
        <v>475.2</v>
      </c>
      <c r="I29" s="341">
        <f>SUM(I19:I28)</f>
        <v>49.6</v>
      </c>
      <c r="J29" s="342">
        <f>SUM(J19:J28)</f>
        <v>0</v>
      </c>
    </row>
    <row r="30" spans="1:12" ht="19.5" customHeight="1" x14ac:dyDescent="0.3">
      <c r="A30" s="705" t="s">
        <v>556</v>
      </c>
      <c r="B30" s="705"/>
      <c r="C30" s="705"/>
      <c r="D30" s="705"/>
      <c r="E30" s="705"/>
      <c r="F30" s="341">
        <f>F16+F29</f>
        <v>3636.58</v>
      </c>
      <c r="G30" s="341">
        <f>G16+G29</f>
        <v>3636.58</v>
      </c>
      <c r="H30" s="341">
        <f>H16+H29</f>
        <v>475.2</v>
      </c>
      <c r="I30" s="341">
        <f>I16+I29</f>
        <v>49.6</v>
      </c>
      <c r="J30" s="342">
        <f>J16+J29</f>
        <v>0</v>
      </c>
    </row>
    <row r="31" spans="1:12" ht="19.5" customHeight="1" x14ac:dyDescent="0.3">
      <c r="A31" s="690" t="s">
        <v>557</v>
      </c>
      <c r="B31" s="690"/>
      <c r="C31" s="690"/>
      <c r="D31" s="690"/>
      <c r="E31" s="690"/>
      <c r="F31" s="690"/>
      <c r="G31" s="690"/>
      <c r="H31" s="690"/>
      <c r="I31" s="690"/>
      <c r="J31" s="690"/>
    </row>
    <row r="32" spans="1:12" ht="19.5" customHeight="1" x14ac:dyDescent="0.3">
      <c r="A32" s="699" t="s">
        <v>558</v>
      </c>
      <c r="B32" s="699"/>
      <c r="C32" s="699"/>
      <c r="D32" s="353" t="s">
        <v>559</v>
      </c>
      <c r="E32" s="706" t="s">
        <v>489</v>
      </c>
      <c r="F32" s="706"/>
      <c r="G32" s="706"/>
      <c r="H32" s="706"/>
      <c r="I32" s="706"/>
      <c r="J32" s="706"/>
    </row>
    <row r="33" spans="1:12" ht="19.5" customHeight="1" x14ac:dyDescent="0.3">
      <c r="A33" s="354" t="s">
        <v>560</v>
      </c>
      <c r="B33" s="355"/>
      <c r="C33" s="355"/>
      <c r="D33" s="356">
        <f>Dados!$G$42</f>
        <v>0.03</v>
      </c>
      <c r="E33" s="357"/>
      <c r="F33" s="330">
        <f>ROUND((F30*$D$33),2)</f>
        <v>109.1</v>
      </c>
      <c r="G33" s="330">
        <f>ROUND((G30*$D$33),2)</f>
        <v>109.1</v>
      </c>
      <c r="H33" s="330">
        <f>ROUND((H30*$D$33),2)</f>
        <v>14.26</v>
      </c>
      <c r="I33" s="330">
        <f>ROUND((I30*$D$33),2)</f>
        <v>1.49</v>
      </c>
      <c r="J33" s="331">
        <f>ROUND((J30*$D$33),2)</f>
        <v>0</v>
      </c>
    </row>
    <row r="34" spans="1:12" ht="19.5" customHeight="1" x14ac:dyDescent="0.3">
      <c r="A34" s="707" t="s">
        <v>561</v>
      </c>
      <c r="B34" s="707"/>
      <c r="C34" s="707"/>
      <c r="D34" s="356"/>
      <c r="E34" s="357"/>
      <c r="F34" s="330">
        <f>F30+F33</f>
        <v>3745.68</v>
      </c>
      <c r="G34" s="330">
        <f>G30+G33</f>
        <v>3745.68</v>
      </c>
      <c r="H34" s="330">
        <f>H30+H33</f>
        <v>489.46</v>
      </c>
      <c r="I34" s="330">
        <f>I30+I33</f>
        <v>51.09</v>
      </c>
      <c r="J34" s="331">
        <f>J30+J33</f>
        <v>0</v>
      </c>
    </row>
    <row r="35" spans="1:12" ht="19.5" customHeight="1" x14ac:dyDescent="0.3">
      <c r="A35" s="358" t="s">
        <v>235</v>
      </c>
      <c r="B35" s="359"/>
      <c r="C35" s="359"/>
      <c r="D35" s="360">
        <f>Dados!$G$43</f>
        <v>6.7900000000000002E-2</v>
      </c>
      <c r="E35" s="361"/>
      <c r="F35" s="336">
        <f>ROUND((F34*$D$35),2)</f>
        <v>254.33</v>
      </c>
      <c r="G35" s="336">
        <f>ROUND((G34*$D$35),2)</f>
        <v>254.33</v>
      </c>
      <c r="H35" s="336">
        <f>ROUND((H34*$D$35),2)</f>
        <v>33.229999999999997</v>
      </c>
      <c r="I35" s="336">
        <f>ROUND((I34*$D$35),2)</f>
        <v>3.47</v>
      </c>
      <c r="J35" s="337">
        <f>ROUND((J34*$D$35),2)</f>
        <v>0</v>
      </c>
    </row>
    <row r="36" spans="1:12" ht="19.5" customHeight="1" x14ac:dyDescent="0.3">
      <c r="A36" s="362" t="s">
        <v>562</v>
      </c>
      <c r="B36" s="363"/>
      <c r="C36" s="363"/>
      <c r="D36" s="364">
        <f>SUM(D33:D35)</f>
        <v>9.7900000000000001E-2</v>
      </c>
      <c r="E36" s="365"/>
      <c r="F36" s="341">
        <f>F33+F35</f>
        <v>363.43</v>
      </c>
      <c r="G36" s="341">
        <f>G33+G35</f>
        <v>363.43</v>
      </c>
      <c r="H36" s="341">
        <f>H33+H35</f>
        <v>47.489999999999995</v>
      </c>
      <c r="I36" s="341">
        <f>I33+I35</f>
        <v>4.96</v>
      </c>
      <c r="J36" s="342">
        <f>J33+J35</f>
        <v>0</v>
      </c>
    </row>
    <row r="37" spans="1:12" ht="19.5" customHeight="1" x14ac:dyDescent="0.3">
      <c r="A37" s="708" t="s">
        <v>563</v>
      </c>
      <c r="B37" s="708"/>
      <c r="C37" s="708"/>
      <c r="D37" s="708"/>
      <c r="E37" s="708"/>
      <c r="F37" s="366">
        <f>F30+F36</f>
        <v>4000.0099999999998</v>
      </c>
      <c r="G37" s="366">
        <f>G30+G36</f>
        <v>4000.0099999999998</v>
      </c>
      <c r="H37" s="366">
        <f>H30+H36</f>
        <v>522.68999999999994</v>
      </c>
      <c r="I37" s="366">
        <f>I30+I36</f>
        <v>54.56</v>
      </c>
      <c r="J37" s="367">
        <f>J30+J36</f>
        <v>0</v>
      </c>
    </row>
    <row r="38" spans="1:12" ht="19.5" customHeight="1" x14ac:dyDescent="0.3">
      <c r="A38" s="709" t="s">
        <v>564</v>
      </c>
      <c r="B38" s="709"/>
      <c r="C38" s="709"/>
      <c r="D38" s="709"/>
      <c r="E38" s="709"/>
      <c r="F38" s="709"/>
      <c r="G38" s="709"/>
      <c r="H38" s="709"/>
      <c r="I38" s="709"/>
      <c r="J38" s="709"/>
    </row>
    <row r="39" spans="1:12" ht="19.5" customHeight="1" x14ac:dyDescent="0.3">
      <c r="A39" s="702" t="s">
        <v>241</v>
      </c>
      <c r="B39" s="702"/>
      <c r="C39" s="702"/>
      <c r="D39" s="356">
        <f>Dados!G50</f>
        <v>7.5999999999999998E-2</v>
      </c>
      <c r="E39" s="368"/>
      <c r="F39" s="330">
        <f>ROUND(($F$45*D39),2)</f>
        <v>346.44</v>
      </c>
      <c r="G39" s="330">
        <f>ROUND((G45*$D$39),2)</f>
        <v>346.44</v>
      </c>
      <c r="H39" s="330">
        <f>ROUND((H45*$D$39),2)</f>
        <v>45.27</v>
      </c>
      <c r="I39" s="330">
        <f>ROUND((I45*$D$39),2)</f>
        <v>4.7300000000000004</v>
      </c>
      <c r="J39" s="331">
        <f>ROUND((J45*$D$39),2)</f>
        <v>0</v>
      </c>
    </row>
    <row r="40" spans="1:12" ht="19.5" customHeight="1" x14ac:dyDescent="0.3">
      <c r="A40" s="702" t="s">
        <v>243</v>
      </c>
      <c r="B40" s="702"/>
      <c r="C40" s="702"/>
      <c r="D40" s="356">
        <f>Dados!G51</f>
        <v>1.6500000000000001E-2</v>
      </c>
      <c r="E40" s="368"/>
      <c r="F40" s="330">
        <f>ROUND((F45*$D$40),2)</f>
        <v>75.209999999999994</v>
      </c>
      <c r="G40" s="330">
        <f>ROUND((G45*$D$40),2)</f>
        <v>75.209999999999994</v>
      </c>
      <c r="H40" s="330">
        <f>ROUND((H45*$D$40),2)</f>
        <v>9.83</v>
      </c>
      <c r="I40" s="330">
        <f>ROUND((I45*$D$40),2)</f>
        <v>1.03</v>
      </c>
      <c r="J40" s="331">
        <f>ROUND((J45*$D$40),2)</f>
        <v>0</v>
      </c>
    </row>
    <row r="41" spans="1:12" ht="19.5" customHeight="1" x14ac:dyDescent="0.3">
      <c r="A41" s="702" t="s">
        <v>244</v>
      </c>
      <c r="B41" s="702"/>
      <c r="C41" s="702"/>
      <c r="D41" s="356">
        <f>Dados!G52</f>
        <v>0.03</v>
      </c>
      <c r="E41" s="368"/>
      <c r="F41" s="330">
        <f>ROUND((F45*$D$41),2)</f>
        <v>136.75</v>
      </c>
      <c r="G41" s="330">
        <f>ROUND((G45*$D$41),2)</f>
        <v>136.75</v>
      </c>
      <c r="H41" s="330">
        <f>ROUND((H45*$D$41),2)</f>
        <v>17.87</v>
      </c>
      <c r="I41" s="330">
        <f>ROUND((I45*$D$41),2)</f>
        <v>1.87</v>
      </c>
      <c r="J41" s="331">
        <f>ROUND((J45*$D$41),2)</f>
        <v>0</v>
      </c>
    </row>
    <row r="42" spans="1:12" ht="19.5" customHeight="1" x14ac:dyDescent="0.3">
      <c r="A42" s="702" t="s">
        <v>230</v>
      </c>
      <c r="B42" s="702"/>
      <c r="C42" s="702"/>
      <c r="D42" s="356">
        <f>Dados!G53</f>
        <v>0</v>
      </c>
      <c r="E42" s="368"/>
      <c r="F42" s="330">
        <f>ROUND((F45*$D$42),2)</f>
        <v>0</v>
      </c>
      <c r="G42" s="330">
        <f>ROUND((G45*$D$42),2)</f>
        <v>0</v>
      </c>
      <c r="H42" s="330">
        <f>ROUND((H45*$D$42),2)</f>
        <v>0</v>
      </c>
      <c r="I42" s="330">
        <f>ROUND((I45*$D$42),2)</f>
        <v>0</v>
      </c>
      <c r="J42" s="331">
        <f>ROUND((J45*$D$42),2)</f>
        <v>0</v>
      </c>
    </row>
    <row r="43" spans="1:12" ht="19.5" customHeight="1" x14ac:dyDescent="0.3">
      <c r="A43" s="711" t="s">
        <v>565</v>
      </c>
      <c r="B43" s="711"/>
      <c r="C43" s="711"/>
      <c r="D43" s="369">
        <f>SUM(D39:D42)</f>
        <v>0.1225</v>
      </c>
      <c r="E43" s="370"/>
      <c r="F43" s="371">
        <f>SUM(F39:F42)</f>
        <v>558.4</v>
      </c>
      <c r="G43" s="371">
        <f>SUM(G39:G42)</f>
        <v>558.4</v>
      </c>
      <c r="H43" s="371">
        <f>SUM(H39:H42)</f>
        <v>72.97</v>
      </c>
      <c r="I43" s="371">
        <f>SUM(I39:I42)</f>
        <v>7.6300000000000008</v>
      </c>
      <c r="J43" s="372">
        <f>SUM(J39:J41)</f>
        <v>0</v>
      </c>
    </row>
    <row r="44" spans="1:12" ht="19.5" customHeight="1" x14ac:dyDescent="0.3">
      <c r="A44" s="712" t="str">
        <f>CONCATENATE("Custo Mensal - ",A7)</f>
        <v>Custo Mensal - Auxiliar Administrativo</v>
      </c>
      <c r="B44" s="712"/>
      <c r="C44" s="712"/>
      <c r="D44" s="712"/>
      <c r="E44" s="712"/>
      <c r="F44" s="373">
        <f>ROUND(F37/(1-D43),2)</f>
        <v>4558.42</v>
      </c>
      <c r="G44" s="373">
        <f>ROUND(G37/(1-D43),2)</f>
        <v>4558.42</v>
      </c>
      <c r="H44" s="373">
        <f>ROUND(H37/(1-D43),2)</f>
        <v>595.66</v>
      </c>
      <c r="I44" s="373">
        <f>ROUND(I37/(1-D43),2)</f>
        <v>62.18</v>
      </c>
      <c r="J44" s="374">
        <f>ROUND(J37/(1-D43),2)</f>
        <v>0</v>
      </c>
    </row>
    <row r="45" spans="1:12" ht="19.5" customHeight="1" x14ac:dyDescent="0.3">
      <c r="A45" s="713" t="str">
        <f>CONCATENATE("Valor do Custo Mensal - ",A7)</f>
        <v>Valor do Custo Mensal - Auxiliar Administrativo</v>
      </c>
      <c r="B45" s="713"/>
      <c r="C45" s="713"/>
      <c r="D45" s="713"/>
      <c r="E45" s="713"/>
      <c r="F45" s="373">
        <f>F44</f>
        <v>4558.42</v>
      </c>
      <c r="G45" s="373">
        <f>G44</f>
        <v>4558.42</v>
      </c>
      <c r="H45" s="373">
        <f>H44</f>
        <v>595.66</v>
      </c>
      <c r="I45" s="373">
        <f>I44</f>
        <v>62.18</v>
      </c>
      <c r="J45" s="374">
        <f>J44</f>
        <v>0</v>
      </c>
      <c r="K45" s="375"/>
      <c r="L45" s="375"/>
    </row>
    <row r="46" spans="1:12" ht="27.75" customHeight="1" x14ac:dyDescent="0.3">
      <c r="A46" s="714" t="s">
        <v>566</v>
      </c>
      <c r="B46" s="714"/>
      <c r="C46" s="714"/>
      <c r="D46" s="714"/>
      <c r="E46" s="714"/>
      <c r="F46" s="376">
        <f>(F45/F14)</f>
        <v>2.6197816091954023</v>
      </c>
      <c r="G46" s="376">
        <f>(G45/G14)</f>
        <v>2.6197816091954023</v>
      </c>
      <c r="H46" s="710" t="s">
        <v>567</v>
      </c>
      <c r="I46" s="710"/>
      <c r="J46" s="377">
        <v>0</v>
      </c>
    </row>
    <row r="47" spans="1:12" ht="19.5" customHeight="1" x14ac:dyDescent="0.3"/>
  </sheetData>
  <sheetProtection algorithmName="SHA-512" hashValue="3UzrYx0He6Zra6UU0XtRdEnGjdF5oZFwOv6ubipXCy11+hFhfg5gruqjP3lU89N+mt7trIoNGeghfVJE6866fA==" saltValue="Q0UR649rfO99xPP8Cmryn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AMJ33"/>
  <sheetViews>
    <sheetView showGridLines="0" zoomScale="95" zoomScaleNormal="95" workbookViewId="0">
      <selection activeCell="M13" sqref="M13"/>
    </sheetView>
  </sheetViews>
  <sheetFormatPr defaultColWidth="9.109375" defaultRowHeight="14.4" x14ac:dyDescent="0.3"/>
  <cols>
    <col min="1" max="1" width="7.33203125" style="442" customWidth="1"/>
    <col min="2" max="3" width="9.109375" style="442"/>
    <col min="4" max="4" width="33" style="442" customWidth="1"/>
    <col min="5" max="5" width="9.44140625" style="442" customWidth="1"/>
    <col min="6" max="6" width="12.44140625" style="442" customWidth="1"/>
    <col min="7" max="7" width="9.6640625" style="442" customWidth="1"/>
    <col min="8" max="8" width="12.5546875" style="442" customWidth="1"/>
    <col min="9" max="1024" width="9.109375" style="442"/>
  </cols>
  <sheetData>
    <row r="1" spans="1:12" x14ac:dyDescent="0.3">
      <c r="A1" s="92"/>
      <c r="B1" s="93" t="str">
        <f>INSTRUÇÕES!B1</f>
        <v>Tribunal Regional Federal da 6ª Região</v>
      </c>
      <c r="C1" s="93"/>
      <c r="D1" s="93"/>
      <c r="E1" s="93"/>
      <c r="F1" s="93"/>
      <c r="G1" s="93"/>
      <c r="H1" s="93"/>
    </row>
    <row r="2" spans="1:12" x14ac:dyDescent="0.3">
      <c r="A2" s="94"/>
      <c r="B2" s="95" t="str">
        <f>INSTRUÇÕES!B2</f>
        <v>Seção Judiciária de Minas Gerais</v>
      </c>
      <c r="C2" s="95"/>
      <c r="D2" s="95"/>
      <c r="E2" s="95"/>
      <c r="F2" s="95"/>
      <c r="G2" s="95"/>
      <c r="H2" s="95"/>
    </row>
    <row r="3" spans="1:12" x14ac:dyDescent="0.3">
      <c r="A3" s="94"/>
      <c r="B3" s="96" t="str">
        <f>INSTRUÇÕES!B3</f>
        <v>Subseção Judiciária de Viçosa</v>
      </c>
      <c r="C3" s="323"/>
      <c r="D3" s="323"/>
      <c r="E3" s="323"/>
      <c r="F3" s="323"/>
      <c r="G3" s="323"/>
      <c r="H3" s="323"/>
    </row>
    <row r="4" spans="1:12" s="444" customFormat="1" ht="32.25" customHeight="1" x14ac:dyDescent="0.3">
      <c r="A4" s="715" t="s">
        <v>569</v>
      </c>
      <c r="B4" s="715"/>
      <c r="C4" s="715"/>
      <c r="D4" s="715"/>
      <c r="E4" s="715"/>
      <c r="F4" s="715"/>
      <c r="G4" s="715"/>
      <c r="H4" s="715"/>
      <c r="I4" s="443"/>
      <c r="J4" s="443"/>
      <c r="K4" s="443"/>
      <c r="L4" s="443"/>
    </row>
    <row r="5" spans="1:12" s="447" customFormat="1" ht="41.25" customHeight="1" x14ac:dyDescent="0.3">
      <c r="A5" s="716" t="s">
        <v>570</v>
      </c>
      <c r="B5" s="716"/>
      <c r="C5" s="716"/>
      <c r="D5" s="716"/>
      <c r="E5" s="717" t="s">
        <v>559</v>
      </c>
      <c r="F5" s="445" t="str">
        <f>Dados!C7</f>
        <v>Servente de Limpeza 40% Insalubridade</v>
      </c>
      <c r="G5" s="446" t="str">
        <f>Dados!C8</f>
        <v>Servente de Limpeza acúmulo de função Copeira</v>
      </c>
      <c r="H5" s="446" t="str">
        <f>Dados!C9</f>
        <v>Auxiliar Administrativo</v>
      </c>
    </row>
    <row r="6" spans="1:12" s="449" customFormat="1" ht="22.5" customHeight="1" x14ac:dyDescent="0.3">
      <c r="A6" s="448" t="s">
        <v>571</v>
      </c>
      <c r="B6" s="718" t="s">
        <v>325</v>
      </c>
      <c r="C6" s="718"/>
      <c r="D6" s="718"/>
      <c r="E6" s="717"/>
      <c r="F6" s="719" t="s">
        <v>572</v>
      </c>
      <c r="G6" s="719"/>
      <c r="H6" s="719"/>
    </row>
    <row r="7" spans="1:12" ht="14.25" customHeight="1" x14ac:dyDescent="0.3">
      <c r="A7" s="450">
        <v>1</v>
      </c>
      <c r="B7" s="720" t="s">
        <v>573</v>
      </c>
      <c r="C7" s="720"/>
      <c r="D7" s="720"/>
      <c r="E7" s="720"/>
      <c r="F7" s="451">
        <f>Dados!M7</f>
        <v>1995.2</v>
      </c>
      <c r="G7" s="451">
        <f>Dados!M8</f>
        <v>1429.64</v>
      </c>
      <c r="H7" s="451">
        <f>Dados!M9</f>
        <v>1740</v>
      </c>
    </row>
    <row r="8" spans="1:12" x14ac:dyDescent="0.3">
      <c r="A8" s="452" t="s">
        <v>574</v>
      </c>
      <c r="B8" s="721" t="s">
        <v>326</v>
      </c>
      <c r="C8" s="721"/>
      <c r="D8" s="721"/>
      <c r="E8" s="453">
        <f>Encargos!C39</f>
        <v>9.0899999999999995E-2</v>
      </c>
      <c r="F8" s="454">
        <f>ROUND(F7*$E$8,2)</f>
        <v>181.36</v>
      </c>
      <c r="G8" s="454">
        <f>ROUND(G7*$E$8,2)</f>
        <v>129.94999999999999</v>
      </c>
      <c r="H8" s="454">
        <f>ROUND(H7*$E$8,2)</f>
        <v>158.16999999999999</v>
      </c>
    </row>
    <row r="9" spans="1:12" x14ac:dyDescent="0.3">
      <c r="A9" s="455" t="s">
        <v>575</v>
      </c>
      <c r="B9" s="722" t="s">
        <v>332</v>
      </c>
      <c r="C9" s="722"/>
      <c r="D9" s="722"/>
      <c r="E9" s="456">
        <f>E8*Encargos!C18</f>
        <v>3.6178200000000008E-2</v>
      </c>
      <c r="F9" s="457">
        <f>ROUND(F7*$E$9,2)</f>
        <v>72.180000000000007</v>
      </c>
      <c r="G9" s="457">
        <f>ROUND(G7*$E$9,2)</f>
        <v>51.72</v>
      </c>
      <c r="H9" s="457">
        <f>ROUND(H7*$E$9,2)</f>
        <v>62.95</v>
      </c>
    </row>
    <row r="10" spans="1:12" ht="12.75" customHeight="1" x14ac:dyDescent="0.3">
      <c r="A10" s="723" t="s">
        <v>576</v>
      </c>
      <c r="B10" s="723"/>
      <c r="C10" s="723"/>
      <c r="D10" s="723"/>
      <c r="E10" s="458">
        <f>SUM(E8:E9)</f>
        <v>0.1270782</v>
      </c>
      <c r="F10" s="459">
        <f>SUM(F8:F9)</f>
        <v>253.54000000000002</v>
      </c>
      <c r="G10" s="459">
        <f>SUM(G8:G9)</f>
        <v>181.67</v>
      </c>
      <c r="H10" s="459">
        <f>SUM(H8:H9)</f>
        <v>221.12</v>
      </c>
    </row>
    <row r="11" spans="1:12" ht="12.75" customHeight="1" x14ac:dyDescent="0.3">
      <c r="A11" s="723" t="s">
        <v>577</v>
      </c>
      <c r="B11" s="723"/>
      <c r="C11" s="723"/>
      <c r="D11" s="723"/>
      <c r="E11" s="723"/>
      <c r="F11" s="459">
        <f>F10*12</f>
        <v>3042.4800000000005</v>
      </c>
      <c r="G11" s="459">
        <f>G10*12</f>
        <v>2180.04</v>
      </c>
      <c r="H11" s="459">
        <f>H10*12</f>
        <v>2653.44</v>
      </c>
    </row>
    <row r="12" spans="1:12" x14ac:dyDescent="0.3">
      <c r="A12" s="460">
        <v>2</v>
      </c>
      <c r="B12" s="461" t="s">
        <v>578</v>
      </c>
      <c r="C12" s="461"/>
      <c r="D12" s="461"/>
      <c r="E12" s="461"/>
      <c r="F12" s="724" t="s">
        <v>485</v>
      </c>
      <c r="G12" s="724"/>
      <c r="H12" s="724"/>
    </row>
    <row r="13" spans="1:12" x14ac:dyDescent="0.3">
      <c r="A13" s="462" t="s">
        <v>574</v>
      </c>
      <c r="B13" s="725" t="s">
        <v>579</v>
      </c>
      <c r="C13" s="725"/>
      <c r="D13" s="725"/>
      <c r="E13" s="463"/>
      <c r="F13" s="464">
        <f>'Servente Insalubre'!$F$23</f>
        <v>475.2</v>
      </c>
      <c r="G13" s="464">
        <f>'Servente acúmulo função Copeira'!$F$23</f>
        <v>475.2</v>
      </c>
      <c r="H13" s="464">
        <f>'Auxiliar Administrativo'!$F$23</f>
        <v>475.2</v>
      </c>
    </row>
    <row r="14" spans="1:12" x14ac:dyDescent="0.3">
      <c r="A14" s="462" t="s">
        <v>580</v>
      </c>
      <c r="B14" s="725" t="s">
        <v>581</v>
      </c>
      <c r="C14" s="725"/>
      <c r="D14" s="725"/>
      <c r="E14" s="463"/>
      <c r="F14" s="464">
        <f>'Servente Insalubre'!$F$22</f>
        <v>70.72</v>
      </c>
      <c r="G14" s="464">
        <f>'Servente acúmulo função Copeira'!$F$22</f>
        <v>70.72</v>
      </c>
      <c r="H14" s="464">
        <f>'Auxiliar Administrativo'!$F$22</f>
        <v>49.6</v>
      </c>
    </row>
    <row r="15" spans="1:12" x14ac:dyDescent="0.3">
      <c r="A15" s="462" t="s">
        <v>582</v>
      </c>
      <c r="B15" s="463" t="s">
        <v>583</v>
      </c>
      <c r="C15" s="463"/>
      <c r="D15" s="463"/>
      <c r="E15" s="463"/>
      <c r="F15" s="464">
        <v>0</v>
      </c>
      <c r="G15" s="464">
        <v>0</v>
      </c>
      <c r="H15" s="464">
        <v>0</v>
      </c>
    </row>
    <row r="16" spans="1:12" x14ac:dyDescent="0.3">
      <c r="A16" s="726" t="s">
        <v>584</v>
      </c>
      <c r="B16" s="726"/>
      <c r="C16" s="726"/>
      <c r="D16" s="726"/>
      <c r="E16" s="726"/>
      <c r="F16" s="465">
        <f>SUM(F13:F15)</f>
        <v>545.91999999999996</v>
      </c>
      <c r="G16" s="465">
        <f>SUM(G13:G15)</f>
        <v>545.91999999999996</v>
      </c>
      <c r="H16" s="465">
        <f>SUM(H13:H15)</f>
        <v>524.79999999999995</v>
      </c>
    </row>
    <row r="17" spans="1:8" ht="12.75" customHeight="1" x14ac:dyDescent="0.3">
      <c r="A17" s="460">
        <v>5</v>
      </c>
      <c r="B17" s="727" t="s">
        <v>585</v>
      </c>
      <c r="C17" s="727"/>
      <c r="D17" s="727"/>
      <c r="E17" s="466" t="s">
        <v>559</v>
      </c>
      <c r="F17" s="724" t="s">
        <v>485</v>
      </c>
      <c r="G17" s="724"/>
      <c r="H17" s="724"/>
    </row>
    <row r="18" spans="1:8" ht="12.75" customHeight="1" x14ac:dyDescent="0.3">
      <c r="A18" s="462" t="s">
        <v>574</v>
      </c>
      <c r="B18" s="728" t="s">
        <v>586</v>
      </c>
      <c r="C18" s="728"/>
      <c r="D18" s="728"/>
      <c r="E18" s="467">
        <f>Dados!$G$42</f>
        <v>0.03</v>
      </c>
      <c r="F18" s="468">
        <f>ROUND(($E$18*F31),2)</f>
        <v>107.65</v>
      </c>
      <c r="G18" s="468">
        <f>ROUND(($E$18*G31),2)</f>
        <v>81.78</v>
      </c>
      <c r="H18" s="468">
        <f>ROUND(($E$18*H31),2)</f>
        <v>95.35</v>
      </c>
    </row>
    <row r="19" spans="1:8" ht="12.75" customHeight="1" x14ac:dyDescent="0.3">
      <c r="A19" s="462" t="s">
        <v>580</v>
      </c>
      <c r="B19" s="728" t="s">
        <v>235</v>
      </c>
      <c r="C19" s="728"/>
      <c r="D19" s="728"/>
      <c r="E19" s="467">
        <f>Dados!$G$43</f>
        <v>6.7900000000000002E-2</v>
      </c>
      <c r="F19" s="468">
        <f>ROUND(($E$19*(F18+F31)),2)</f>
        <v>250.96</v>
      </c>
      <c r="G19" s="468">
        <f>ROUND(($E$19*(G18+G31)),2)</f>
        <v>190.65</v>
      </c>
      <c r="H19" s="468">
        <f>ROUND(($E$19*(H18+H31)),2)</f>
        <v>222.28</v>
      </c>
    </row>
    <row r="20" spans="1:8" ht="12.75" customHeight="1" x14ac:dyDescent="0.3">
      <c r="A20" s="469" t="s">
        <v>582</v>
      </c>
      <c r="B20" s="729" t="s">
        <v>587</v>
      </c>
      <c r="C20" s="729"/>
      <c r="D20" s="729"/>
      <c r="E20" s="470">
        <f>SUM(E21:E24)</f>
        <v>0.1225</v>
      </c>
      <c r="F20" s="471">
        <f>ROUND((((F31+F18+F19)/(1-$E$20))-(F31+F18+F19)),2)</f>
        <v>551.01</v>
      </c>
      <c r="G20" s="471">
        <f>ROUND((((G31+G18+G19)/(1-$E$20))-(G31+G18+G19)),2)</f>
        <v>418.58</v>
      </c>
      <c r="H20" s="471">
        <f>ROUND((((H31+H18+H19)/(1-$E$20))-(H31+H18+H19)),2)</f>
        <v>488.03</v>
      </c>
    </row>
    <row r="21" spans="1:8" ht="12.75" customHeight="1" x14ac:dyDescent="0.3">
      <c r="A21" s="472" t="s">
        <v>588</v>
      </c>
      <c r="B21" s="728" t="s">
        <v>589</v>
      </c>
      <c r="C21" s="728"/>
      <c r="D21" s="728"/>
      <c r="E21" s="467">
        <f>Dados!G50+Dados!G51</f>
        <v>9.2499999999999999E-2</v>
      </c>
      <c r="F21" s="468">
        <f>ROUND($E$21*F33,2)</f>
        <v>416.07</v>
      </c>
      <c r="G21" s="468">
        <f>ROUND($E$21*G33,2)</f>
        <v>316.07</v>
      </c>
      <c r="H21" s="468">
        <f>ROUND($E$21*H33,2)</f>
        <v>368.51</v>
      </c>
    </row>
    <row r="22" spans="1:8" ht="12.75" customHeight="1" x14ac:dyDescent="0.3">
      <c r="A22" s="462" t="s">
        <v>590</v>
      </c>
      <c r="B22" s="728" t="s">
        <v>591</v>
      </c>
      <c r="C22" s="728"/>
      <c r="D22" s="728"/>
      <c r="E22" s="467">
        <v>0</v>
      </c>
      <c r="F22" s="468">
        <f>ROUND($E$22*F33,2)</f>
        <v>0</v>
      </c>
      <c r="G22" s="468">
        <f>ROUND($E$22*G33,2)</f>
        <v>0</v>
      </c>
      <c r="H22" s="468">
        <f>ROUND($E$22*H33,2)</f>
        <v>0</v>
      </c>
    </row>
    <row r="23" spans="1:8" ht="12.75" customHeight="1" x14ac:dyDescent="0.3">
      <c r="A23" s="462" t="s">
        <v>592</v>
      </c>
      <c r="B23" s="728" t="s">
        <v>593</v>
      </c>
      <c r="C23" s="728"/>
      <c r="D23" s="728"/>
      <c r="E23" s="467">
        <f>Dados!G52</f>
        <v>0.03</v>
      </c>
      <c r="F23" s="468">
        <f>ROUND($E$23*F33,2)</f>
        <v>134.94</v>
      </c>
      <c r="G23" s="468">
        <f>ROUND($E$23*G33,2)</f>
        <v>102.51</v>
      </c>
      <c r="H23" s="468">
        <f>ROUND($E$23*H33,2)</f>
        <v>119.52</v>
      </c>
    </row>
    <row r="24" spans="1:8" x14ac:dyDescent="0.3">
      <c r="A24" s="462" t="s">
        <v>594</v>
      </c>
      <c r="B24" s="728" t="str">
        <f>Dados!B53</f>
        <v>Outros (inserir somente com a justificativa legal)</v>
      </c>
      <c r="C24" s="728"/>
      <c r="D24" s="728"/>
      <c r="E24" s="467">
        <f>Dados!G53</f>
        <v>0</v>
      </c>
      <c r="F24" s="468">
        <f>ROUND($E$24*F33,2)</f>
        <v>0</v>
      </c>
      <c r="G24" s="468">
        <f>ROUND($E$24*G33,2)</f>
        <v>0</v>
      </c>
      <c r="H24" s="468">
        <f>ROUND($E$24*H33,2)</f>
        <v>0</v>
      </c>
    </row>
    <row r="25" spans="1:8" x14ac:dyDescent="0.3">
      <c r="A25" s="473" t="s">
        <v>595</v>
      </c>
      <c r="B25" s="474"/>
      <c r="C25" s="474"/>
      <c r="D25" s="474"/>
      <c r="E25" s="474"/>
      <c r="F25" s="475">
        <f>SUM(F18:F20)</f>
        <v>909.62</v>
      </c>
      <c r="G25" s="475">
        <f>SUM(G18:G20)</f>
        <v>691.01</v>
      </c>
      <c r="H25" s="475">
        <f>SUM(H18:H20)</f>
        <v>805.66</v>
      </c>
    </row>
    <row r="26" spans="1:8" ht="19.5" customHeight="1" x14ac:dyDescent="0.3">
      <c r="A26" s="731" t="s">
        <v>596</v>
      </c>
      <c r="B26" s="731"/>
      <c r="C26" s="731"/>
      <c r="D26" s="731"/>
      <c r="E26" s="731"/>
      <c r="F26" s="731"/>
      <c r="G26" s="731"/>
      <c r="H26" s="731"/>
    </row>
    <row r="27" spans="1:8" ht="18" customHeight="1" x14ac:dyDescent="0.3">
      <c r="A27" s="732" t="s">
        <v>597</v>
      </c>
      <c r="B27" s="732"/>
      <c r="C27" s="732"/>
      <c r="D27" s="732"/>
      <c r="E27" s="732"/>
      <c r="F27" s="732"/>
      <c r="G27" s="732"/>
      <c r="H27" s="732"/>
    </row>
    <row r="28" spans="1:8" ht="14.25" customHeight="1" x14ac:dyDescent="0.3">
      <c r="A28" s="476" t="s">
        <v>598</v>
      </c>
      <c r="B28" s="477"/>
      <c r="C28" s="477"/>
      <c r="D28" s="477"/>
      <c r="E28" s="477"/>
      <c r="F28" s="733" t="s">
        <v>485</v>
      </c>
      <c r="G28" s="733"/>
      <c r="H28" s="733"/>
    </row>
    <row r="29" spans="1:8" x14ac:dyDescent="0.3">
      <c r="A29" s="455" t="s">
        <v>574</v>
      </c>
      <c r="B29" s="478" t="s">
        <v>599</v>
      </c>
      <c r="C29" s="478"/>
      <c r="D29" s="478"/>
      <c r="E29" s="478"/>
      <c r="F29" s="479">
        <f>F11</f>
        <v>3042.4800000000005</v>
      </c>
      <c r="G29" s="479">
        <f>G11</f>
        <v>2180.04</v>
      </c>
      <c r="H29" s="479">
        <f>H11</f>
        <v>2653.44</v>
      </c>
    </row>
    <row r="30" spans="1:8" x14ac:dyDescent="0.3">
      <c r="A30" s="455" t="s">
        <v>580</v>
      </c>
      <c r="B30" s="478" t="s">
        <v>578</v>
      </c>
      <c r="C30" s="478"/>
      <c r="D30" s="478"/>
      <c r="E30" s="478"/>
      <c r="F30" s="479">
        <f>F16</f>
        <v>545.91999999999996</v>
      </c>
      <c r="G30" s="479">
        <f>G16</f>
        <v>545.91999999999996</v>
      </c>
      <c r="H30" s="479">
        <f>H16</f>
        <v>524.79999999999995</v>
      </c>
    </row>
    <row r="31" spans="1:8" x14ac:dyDescent="0.3">
      <c r="A31" s="730" t="s">
        <v>600</v>
      </c>
      <c r="B31" s="730"/>
      <c r="C31" s="730"/>
      <c r="D31" s="730"/>
      <c r="E31" s="480"/>
      <c r="F31" s="481">
        <f>SUM(F29:F30)</f>
        <v>3588.4000000000005</v>
      </c>
      <c r="G31" s="481">
        <f>SUM(G29:G30)</f>
        <v>2725.96</v>
      </c>
      <c r="H31" s="481">
        <f>SUM(H29:H30)</f>
        <v>3178.24</v>
      </c>
    </row>
    <row r="32" spans="1:8" x14ac:dyDescent="0.3">
      <c r="A32" s="482" t="s">
        <v>601</v>
      </c>
      <c r="B32" s="483" t="s">
        <v>602</v>
      </c>
      <c r="C32" s="483"/>
      <c r="D32" s="483"/>
      <c r="E32" s="483"/>
      <c r="F32" s="484">
        <f>F25</f>
        <v>909.62</v>
      </c>
      <c r="G32" s="484">
        <f>G25</f>
        <v>691.01</v>
      </c>
      <c r="H32" s="484">
        <f>H25</f>
        <v>805.66</v>
      </c>
    </row>
    <row r="33" spans="1:8" ht="19.5" customHeight="1" x14ac:dyDescent="0.3">
      <c r="A33" s="485" t="s">
        <v>603</v>
      </c>
      <c r="B33" s="486"/>
      <c r="C33" s="486"/>
      <c r="D33" s="486"/>
      <c r="E33" s="486"/>
      <c r="F33" s="487">
        <f>SUM(F31:F32)</f>
        <v>4498.0200000000004</v>
      </c>
      <c r="G33" s="487">
        <f>SUM(G31:G32)</f>
        <v>3416.9700000000003</v>
      </c>
      <c r="H33" s="487">
        <f>SUM(H31:H32)</f>
        <v>3983.8999999999996</v>
      </c>
    </row>
  </sheetData>
  <sheetProtection algorithmName="SHA-512" hashValue="G2GG8fqXxL4VnxoQLG37mkV2jCLIim/kUdniwo2A8NUeHozDaMJU2GUKgIRgxkxr+ilgYweAlLjMG31cymZgBA==" saltValue="3tIiQU9OoGhWSRdt1/LkVQ==" spinCount="100000" sheet="1" objects="1" scenarios="1"/>
  <mergeCells count="27">
    <mergeCell ref="A31:D31"/>
    <mergeCell ref="B23:D23"/>
    <mergeCell ref="B24:D24"/>
    <mergeCell ref="A26:H26"/>
    <mergeCell ref="A27:H27"/>
    <mergeCell ref="F28:H28"/>
    <mergeCell ref="B18:D18"/>
    <mergeCell ref="B19:D19"/>
    <mergeCell ref="B20:D20"/>
    <mergeCell ref="B21:D21"/>
    <mergeCell ref="B22:D22"/>
    <mergeCell ref="F12:H12"/>
    <mergeCell ref="B13:D13"/>
    <mergeCell ref="B14:D14"/>
    <mergeCell ref="A16:E16"/>
    <mergeCell ref="B17:D17"/>
    <mergeCell ref="F17:H17"/>
    <mergeCell ref="B7:E7"/>
    <mergeCell ref="B8:D8"/>
    <mergeCell ref="B9:D9"/>
    <mergeCell ref="A10:D10"/>
    <mergeCell ref="A11:E11"/>
    <mergeCell ref="A4:H4"/>
    <mergeCell ref="A5:D5"/>
    <mergeCell ref="E5:E6"/>
    <mergeCell ref="B6:D6"/>
    <mergeCell ref="F6:H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95" zoomScaleNormal="95"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95"/>
      <c r="B1" s="95" t="s">
        <v>90</v>
      </c>
    </row>
    <row r="2" spans="1:35" x14ac:dyDescent="0.3">
      <c r="A2" s="95"/>
      <c r="B2" s="95" t="s">
        <v>91</v>
      </c>
    </row>
    <row r="3" spans="1:35" x14ac:dyDescent="0.3">
      <c r="A3" s="323"/>
      <c r="B3" s="96" t="str">
        <f>INSTRUÇÕES!B3</f>
        <v>Subseção Judiciária de Viçosa</v>
      </c>
    </row>
    <row r="4" spans="1:35" ht="6" customHeight="1" x14ac:dyDescent="0.3"/>
    <row r="5" spans="1:35" ht="6" customHeight="1" x14ac:dyDescent="0.3"/>
    <row r="6" spans="1:35" ht="15.75" customHeight="1" x14ac:dyDescent="0.3">
      <c r="B6" s="734" t="s">
        <v>255</v>
      </c>
      <c r="C6" s="734"/>
      <c r="D6" s="734"/>
      <c r="E6" s="734"/>
      <c r="F6" s="734"/>
      <c r="G6" s="734"/>
      <c r="I6" s="734" t="s">
        <v>259</v>
      </c>
      <c r="J6" s="734"/>
      <c r="K6" s="734"/>
      <c r="L6" s="734"/>
      <c r="M6" s="734"/>
      <c r="N6" s="734"/>
      <c r="P6" s="734" t="s">
        <v>260</v>
      </c>
      <c r="Q6" s="734"/>
      <c r="R6" s="734"/>
      <c r="S6" s="734"/>
      <c r="T6" s="734"/>
      <c r="U6" s="734"/>
      <c r="W6" s="734" t="s">
        <v>261</v>
      </c>
      <c r="X6" s="734"/>
      <c r="Y6" s="734"/>
      <c r="Z6" s="734"/>
      <c r="AA6" s="734"/>
      <c r="AB6" s="734"/>
      <c r="AD6" s="734" t="s">
        <v>262</v>
      </c>
      <c r="AE6" s="734"/>
      <c r="AF6" s="734"/>
      <c r="AG6" s="734"/>
      <c r="AH6" s="734"/>
      <c r="AI6" s="734"/>
    </row>
    <row r="7" spans="1:35" x14ac:dyDescent="0.3">
      <c r="B7" s="488" t="s">
        <v>604</v>
      </c>
      <c r="C7" s="735"/>
      <c r="D7" s="735"/>
      <c r="E7" s="735"/>
      <c r="F7" s="735"/>
      <c r="G7" s="735"/>
      <c r="I7" s="488" t="s">
        <v>604</v>
      </c>
      <c r="J7" s="735"/>
      <c r="K7" s="735"/>
      <c r="L7" s="735"/>
      <c r="M7" s="735"/>
      <c r="N7" s="735"/>
      <c r="P7" s="488" t="s">
        <v>604</v>
      </c>
      <c r="Q7" s="735"/>
      <c r="R7" s="735"/>
      <c r="S7" s="735"/>
      <c r="T7" s="735"/>
      <c r="U7" s="735"/>
      <c r="W7" s="488" t="s">
        <v>604</v>
      </c>
      <c r="X7" s="735"/>
      <c r="Y7" s="735"/>
      <c r="Z7" s="735"/>
      <c r="AA7" s="735"/>
      <c r="AB7" s="735"/>
      <c r="AD7" s="488" t="s">
        <v>604</v>
      </c>
      <c r="AE7" s="735"/>
      <c r="AF7" s="735"/>
      <c r="AG7" s="735"/>
      <c r="AH7" s="735"/>
      <c r="AI7" s="735"/>
    </row>
    <row r="8" spans="1:35" ht="25.5" customHeight="1" x14ac:dyDescent="0.3">
      <c r="B8" s="736" t="s">
        <v>605</v>
      </c>
      <c r="C8" s="736"/>
      <c r="D8" s="489" t="s">
        <v>606</v>
      </c>
      <c r="E8" s="489" t="s">
        <v>607</v>
      </c>
      <c r="F8" s="489" t="s">
        <v>608</v>
      </c>
      <c r="G8" s="489" t="s">
        <v>609</v>
      </c>
      <c r="I8" s="736" t="s">
        <v>605</v>
      </c>
      <c r="J8" s="736"/>
      <c r="K8" s="489" t="s">
        <v>606</v>
      </c>
      <c r="L8" s="489" t="s">
        <v>607</v>
      </c>
      <c r="M8" s="489" t="s">
        <v>608</v>
      </c>
      <c r="N8" s="489" t="s">
        <v>609</v>
      </c>
      <c r="P8" s="736" t="s">
        <v>605</v>
      </c>
      <c r="Q8" s="736"/>
      <c r="R8" s="489" t="s">
        <v>606</v>
      </c>
      <c r="S8" s="489" t="s">
        <v>607</v>
      </c>
      <c r="T8" s="489" t="s">
        <v>608</v>
      </c>
      <c r="U8" s="489" t="s">
        <v>609</v>
      </c>
      <c r="W8" s="736" t="s">
        <v>605</v>
      </c>
      <c r="X8" s="736"/>
      <c r="Y8" s="489" t="s">
        <v>606</v>
      </c>
      <c r="Z8" s="489" t="s">
        <v>607</v>
      </c>
      <c r="AA8" s="489" t="s">
        <v>608</v>
      </c>
      <c r="AB8" s="489" t="s">
        <v>609</v>
      </c>
      <c r="AD8" s="736" t="s">
        <v>605</v>
      </c>
      <c r="AE8" s="736"/>
      <c r="AF8" s="489" t="s">
        <v>606</v>
      </c>
      <c r="AG8" s="489" t="s">
        <v>607</v>
      </c>
      <c r="AH8" s="489" t="s">
        <v>608</v>
      </c>
      <c r="AI8" s="489" t="s">
        <v>609</v>
      </c>
    </row>
    <row r="9" spans="1:35" x14ac:dyDescent="0.3">
      <c r="B9" s="490" t="s">
        <v>610</v>
      </c>
      <c r="C9" s="490" t="s">
        <v>611</v>
      </c>
      <c r="D9" s="490" t="s">
        <v>612</v>
      </c>
      <c r="E9" s="490"/>
      <c r="F9" s="490" t="s">
        <v>613</v>
      </c>
      <c r="G9" s="491">
        <v>100</v>
      </c>
      <c r="I9" s="490" t="s">
        <v>610</v>
      </c>
      <c r="J9" s="490" t="s">
        <v>611</v>
      </c>
      <c r="K9" s="490" t="s">
        <v>612</v>
      </c>
      <c r="L9" s="490"/>
      <c r="M9" s="490" t="s">
        <v>613</v>
      </c>
      <c r="N9" s="491">
        <v>100</v>
      </c>
      <c r="P9" s="490" t="s">
        <v>610</v>
      </c>
      <c r="Q9" s="490" t="s">
        <v>611</v>
      </c>
      <c r="R9" s="490" t="s">
        <v>612</v>
      </c>
      <c r="S9" s="490"/>
      <c r="T9" s="490" t="s">
        <v>613</v>
      </c>
      <c r="U9" s="491">
        <v>100</v>
      </c>
      <c r="W9" s="490" t="s">
        <v>610</v>
      </c>
      <c r="X9" s="490" t="s">
        <v>611</v>
      </c>
      <c r="Y9" s="490" t="s">
        <v>612</v>
      </c>
      <c r="Z9" s="490"/>
      <c r="AA9" s="490" t="s">
        <v>613</v>
      </c>
      <c r="AB9" s="491">
        <v>100</v>
      </c>
      <c r="AD9" s="490" t="s">
        <v>610</v>
      </c>
      <c r="AE9" s="490" t="s">
        <v>611</v>
      </c>
      <c r="AF9" s="490" t="s">
        <v>612</v>
      </c>
      <c r="AG9" s="490"/>
      <c r="AH9" s="490" t="s">
        <v>613</v>
      </c>
      <c r="AI9" s="491">
        <v>100</v>
      </c>
    </row>
    <row r="10" spans="1:35" x14ac:dyDescent="0.3">
      <c r="B10" s="490">
        <v>2023</v>
      </c>
      <c r="C10" s="492" t="s">
        <v>614</v>
      </c>
      <c r="D10" s="493"/>
      <c r="E10" s="494">
        <v>0</v>
      </c>
      <c r="F10" s="493">
        <f t="shared" ref="F10:F22" si="0">D10/30*E10</f>
        <v>0</v>
      </c>
      <c r="G10" s="495">
        <f t="shared" ref="G10:G22" si="1">(G9*F10)+G9</f>
        <v>100</v>
      </c>
      <c r="I10" s="490">
        <f t="shared" ref="I10:I22" si="2">B10+1</f>
        <v>2024</v>
      </c>
      <c r="J10" s="492" t="str">
        <f>$C$10</f>
        <v>AGO</v>
      </c>
      <c r="K10" s="493"/>
      <c r="L10" s="494">
        <f>$E$10</f>
        <v>0</v>
      </c>
      <c r="M10" s="493">
        <f t="shared" ref="M10:M22" si="3">K10/30*L10</f>
        <v>0</v>
      </c>
      <c r="N10" s="495">
        <f t="shared" ref="N10:N22" si="4">(N9*M10)+N9</f>
        <v>100</v>
      </c>
      <c r="P10" s="490">
        <f t="shared" ref="P10:P22" si="5">I10+1</f>
        <v>2025</v>
      </c>
      <c r="Q10" s="492" t="str">
        <f>$C$10</f>
        <v>AGO</v>
      </c>
      <c r="R10" s="493"/>
      <c r="S10" s="494">
        <f>$E$10</f>
        <v>0</v>
      </c>
      <c r="T10" s="493">
        <f t="shared" ref="T10:T22" si="6">R10/30*S10</f>
        <v>0</v>
      </c>
      <c r="U10" s="495">
        <f t="shared" ref="U10:U22" si="7">(U9*T10)+U9</f>
        <v>100</v>
      </c>
      <c r="W10" s="490">
        <f t="shared" ref="W10:W22" si="8">P10+1</f>
        <v>2026</v>
      </c>
      <c r="X10" s="492" t="str">
        <f>$C$10</f>
        <v>AGO</v>
      </c>
      <c r="Y10" s="493"/>
      <c r="Z10" s="494">
        <f>$E$10</f>
        <v>0</v>
      </c>
      <c r="AA10" s="493">
        <f t="shared" ref="AA10:AA22" si="9">Y10/30*Z10</f>
        <v>0</v>
      </c>
      <c r="AB10" s="495">
        <f t="shared" ref="AB10:AB22" si="10">(AB9*AA10)+AB9</f>
        <v>100</v>
      </c>
      <c r="AD10" s="490">
        <f t="shared" ref="AD10:AD22" si="11">W10+1</f>
        <v>2027</v>
      </c>
      <c r="AE10" s="492" t="str">
        <f>$C$10</f>
        <v>AGO</v>
      </c>
      <c r="AF10" s="493"/>
      <c r="AG10" s="494">
        <f>$E$10</f>
        <v>0</v>
      </c>
      <c r="AH10" s="493">
        <f t="shared" ref="AH10:AH22" si="12">AF10/30*AG10</f>
        <v>0</v>
      </c>
      <c r="AI10" s="495">
        <f t="shared" ref="AI10:AI22" si="13">(AI9*AH10)+AI9</f>
        <v>100</v>
      </c>
    </row>
    <row r="11" spans="1:35" x14ac:dyDescent="0.3">
      <c r="B11" s="490">
        <v>2023</v>
      </c>
      <c r="C11" s="492" t="s">
        <v>615</v>
      </c>
      <c r="D11" s="493"/>
      <c r="E11" s="494"/>
      <c r="F11" s="493">
        <f t="shared" si="0"/>
        <v>0</v>
      </c>
      <c r="G11" s="495">
        <f t="shared" si="1"/>
        <v>100</v>
      </c>
      <c r="I11" s="490">
        <f t="shared" si="2"/>
        <v>2024</v>
      </c>
      <c r="J11" s="492" t="str">
        <f>$C$11</f>
        <v>SET</v>
      </c>
      <c r="K11" s="493"/>
      <c r="L11" s="494"/>
      <c r="M11" s="493">
        <f t="shared" si="3"/>
        <v>0</v>
      </c>
      <c r="N11" s="495">
        <f t="shared" si="4"/>
        <v>100</v>
      </c>
      <c r="P11" s="490">
        <f t="shared" si="5"/>
        <v>2025</v>
      </c>
      <c r="Q11" s="492" t="str">
        <f>$C$11</f>
        <v>SET</v>
      </c>
      <c r="R11" s="493"/>
      <c r="S11" s="494"/>
      <c r="T11" s="493">
        <f t="shared" si="6"/>
        <v>0</v>
      </c>
      <c r="U11" s="495">
        <f t="shared" si="7"/>
        <v>100</v>
      </c>
      <c r="W11" s="490">
        <f t="shared" si="8"/>
        <v>2026</v>
      </c>
      <c r="X11" s="492" t="str">
        <f>$C$11</f>
        <v>SET</v>
      </c>
      <c r="Y11" s="493"/>
      <c r="Z11" s="494"/>
      <c r="AA11" s="493">
        <f t="shared" si="9"/>
        <v>0</v>
      </c>
      <c r="AB11" s="495">
        <f t="shared" si="10"/>
        <v>100</v>
      </c>
      <c r="AD11" s="490">
        <f t="shared" si="11"/>
        <v>2027</v>
      </c>
      <c r="AE11" s="492" t="str">
        <f>$C$11</f>
        <v>SET</v>
      </c>
      <c r="AF11" s="493"/>
      <c r="AG11" s="494"/>
      <c r="AH11" s="493">
        <f t="shared" si="12"/>
        <v>0</v>
      </c>
      <c r="AI11" s="495">
        <f t="shared" si="13"/>
        <v>100</v>
      </c>
    </row>
    <row r="12" spans="1:35" x14ac:dyDescent="0.3">
      <c r="B12" s="490">
        <v>2023</v>
      </c>
      <c r="C12" s="492" t="s">
        <v>616</v>
      </c>
      <c r="D12" s="493"/>
      <c r="E12" s="494"/>
      <c r="F12" s="493">
        <f t="shared" si="0"/>
        <v>0</v>
      </c>
      <c r="G12" s="495">
        <f t="shared" si="1"/>
        <v>100</v>
      </c>
      <c r="I12" s="490">
        <f t="shared" si="2"/>
        <v>2024</v>
      </c>
      <c r="J12" s="492" t="str">
        <f>$C$12</f>
        <v>OUT</v>
      </c>
      <c r="K12" s="493"/>
      <c r="L12" s="494"/>
      <c r="M12" s="493">
        <f t="shared" si="3"/>
        <v>0</v>
      </c>
      <c r="N12" s="495">
        <f t="shared" si="4"/>
        <v>100</v>
      </c>
      <c r="P12" s="490">
        <f t="shared" si="5"/>
        <v>2025</v>
      </c>
      <c r="Q12" s="492" t="str">
        <f>$C$12</f>
        <v>OUT</v>
      </c>
      <c r="R12" s="493"/>
      <c r="S12" s="494"/>
      <c r="T12" s="493">
        <f t="shared" si="6"/>
        <v>0</v>
      </c>
      <c r="U12" s="495">
        <f t="shared" si="7"/>
        <v>100</v>
      </c>
      <c r="W12" s="490">
        <f t="shared" si="8"/>
        <v>2026</v>
      </c>
      <c r="X12" s="492" t="str">
        <f>$C$12</f>
        <v>OUT</v>
      </c>
      <c r="Y12" s="493"/>
      <c r="Z12" s="494"/>
      <c r="AA12" s="493">
        <f t="shared" si="9"/>
        <v>0</v>
      </c>
      <c r="AB12" s="495">
        <f t="shared" si="10"/>
        <v>100</v>
      </c>
      <c r="AD12" s="490">
        <f t="shared" si="11"/>
        <v>2027</v>
      </c>
      <c r="AE12" s="492" t="str">
        <f>$C$12</f>
        <v>OUT</v>
      </c>
      <c r="AF12" s="493"/>
      <c r="AG12" s="494"/>
      <c r="AH12" s="493">
        <f t="shared" si="12"/>
        <v>0</v>
      </c>
      <c r="AI12" s="495">
        <f t="shared" si="13"/>
        <v>100</v>
      </c>
    </row>
    <row r="13" spans="1:35" x14ac:dyDescent="0.3">
      <c r="B13" s="490">
        <v>2023</v>
      </c>
      <c r="C13" s="492" t="s">
        <v>617</v>
      </c>
      <c r="D13" s="493"/>
      <c r="E13" s="494"/>
      <c r="F13" s="493">
        <f t="shared" si="0"/>
        <v>0</v>
      </c>
      <c r="G13" s="495">
        <f t="shared" si="1"/>
        <v>100</v>
      </c>
      <c r="I13" s="490">
        <f t="shared" si="2"/>
        <v>2024</v>
      </c>
      <c r="J13" s="492" t="str">
        <f>$C$13</f>
        <v>NOV</v>
      </c>
      <c r="K13" s="493"/>
      <c r="L13" s="494"/>
      <c r="M13" s="493">
        <f t="shared" si="3"/>
        <v>0</v>
      </c>
      <c r="N13" s="495">
        <f t="shared" si="4"/>
        <v>100</v>
      </c>
      <c r="P13" s="490">
        <f t="shared" si="5"/>
        <v>2025</v>
      </c>
      <c r="Q13" s="492" t="str">
        <f>$C$13</f>
        <v>NOV</v>
      </c>
      <c r="R13" s="493"/>
      <c r="S13" s="494"/>
      <c r="T13" s="493">
        <f t="shared" si="6"/>
        <v>0</v>
      </c>
      <c r="U13" s="495">
        <f t="shared" si="7"/>
        <v>100</v>
      </c>
      <c r="W13" s="490">
        <f t="shared" si="8"/>
        <v>2026</v>
      </c>
      <c r="X13" s="492" t="str">
        <f>$C$13</f>
        <v>NOV</v>
      </c>
      <c r="Y13" s="493"/>
      <c r="Z13" s="494"/>
      <c r="AA13" s="493">
        <f t="shared" si="9"/>
        <v>0</v>
      </c>
      <c r="AB13" s="495">
        <f t="shared" si="10"/>
        <v>100</v>
      </c>
      <c r="AD13" s="490">
        <f t="shared" si="11"/>
        <v>2027</v>
      </c>
      <c r="AE13" s="492" t="str">
        <f>$C$13</f>
        <v>NOV</v>
      </c>
      <c r="AF13" s="493"/>
      <c r="AG13" s="494"/>
      <c r="AH13" s="493">
        <f t="shared" si="12"/>
        <v>0</v>
      </c>
      <c r="AI13" s="495">
        <f t="shared" si="13"/>
        <v>100</v>
      </c>
    </row>
    <row r="14" spans="1:35" x14ac:dyDescent="0.3">
      <c r="B14" s="490">
        <v>2023</v>
      </c>
      <c r="C14" s="492" t="s">
        <v>618</v>
      </c>
      <c r="D14" s="493"/>
      <c r="E14" s="494"/>
      <c r="F14" s="493">
        <f t="shared" si="0"/>
        <v>0</v>
      </c>
      <c r="G14" s="495">
        <f t="shared" si="1"/>
        <v>100</v>
      </c>
      <c r="I14" s="490">
        <f t="shared" si="2"/>
        <v>2024</v>
      </c>
      <c r="J14" s="492" t="str">
        <f>$C$14</f>
        <v>DEZ</v>
      </c>
      <c r="K14" s="493"/>
      <c r="L14" s="494"/>
      <c r="M14" s="493">
        <f t="shared" si="3"/>
        <v>0</v>
      </c>
      <c r="N14" s="495">
        <f t="shared" si="4"/>
        <v>100</v>
      </c>
      <c r="P14" s="490">
        <f t="shared" si="5"/>
        <v>2025</v>
      </c>
      <c r="Q14" s="492" t="str">
        <f>$C$14</f>
        <v>DEZ</v>
      </c>
      <c r="R14" s="493"/>
      <c r="S14" s="494"/>
      <c r="T14" s="493">
        <f t="shared" si="6"/>
        <v>0</v>
      </c>
      <c r="U14" s="495">
        <f t="shared" si="7"/>
        <v>100</v>
      </c>
      <c r="W14" s="490">
        <f t="shared" si="8"/>
        <v>2026</v>
      </c>
      <c r="X14" s="492" t="str">
        <f>$C$14</f>
        <v>DEZ</v>
      </c>
      <c r="Y14" s="493"/>
      <c r="Z14" s="494"/>
      <c r="AA14" s="493">
        <f t="shared" si="9"/>
        <v>0</v>
      </c>
      <c r="AB14" s="495">
        <f t="shared" si="10"/>
        <v>100</v>
      </c>
      <c r="AD14" s="490">
        <f t="shared" si="11"/>
        <v>2027</v>
      </c>
      <c r="AE14" s="492" t="str">
        <f>$C$14</f>
        <v>DEZ</v>
      </c>
      <c r="AF14" s="493"/>
      <c r="AG14" s="494"/>
      <c r="AH14" s="493">
        <f t="shared" si="12"/>
        <v>0</v>
      </c>
      <c r="AI14" s="495">
        <f t="shared" si="13"/>
        <v>100</v>
      </c>
    </row>
    <row r="15" spans="1:35" x14ac:dyDescent="0.3">
      <c r="B15" s="490">
        <v>2023</v>
      </c>
      <c r="C15" s="492" t="s">
        <v>618</v>
      </c>
      <c r="D15" s="493"/>
      <c r="E15" s="494"/>
      <c r="F15" s="493">
        <f t="shared" si="0"/>
        <v>0</v>
      </c>
      <c r="G15" s="495">
        <f t="shared" si="1"/>
        <v>100</v>
      </c>
      <c r="I15" s="490">
        <f t="shared" si="2"/>
        <v>2024</v>
      </c>
      <c r="J15" s="492" t="str">
        <f>$C$15</f>
        <v>DEZ</v>
      </c>
      <c r="K15" s="493"/>
      <c r="L15" s="494"/>
      <c r="M15" s="493">
        <f t="shared" si="3"/>
        <v>0</v>
      </c>
      <c r="N15" s="495">
        <f t="shared" si="4"/>
        <v>100</v>
      </c>
      <c r="P15" s="490">
        <f t="shared" si="5"/>
        <v>2025</v>
      </c>
      <c r="Q15" s="492" t="str">
        <f>$C$15</f>
        <v>DEZ</v>
      </c>
      <c r="R15" s="493"/>
      <c r="S15" s="494"/>
      <c r="T15" s="493">
        <f t="shared" si="6"/>
        <v>0</v>
      </c>
      <c r="U15" s="495">
        <f t="shared" si="7"/>
        <v>100</v>
      </c>
      <c r="W15" s="490">
        <f t="shared" si="8"/>
        <v>2026</v>
      </c>
      <c r="X15" s="492" t="str">
        <f>$C$15</f>
        <v>DEZ</v>
      </c>
      <c r="Y15" s="493"/>
      <c r="Z15" s="494"/>
      <c r="AA15" s="493">
        <f t="shared" si="9"/>
        <v>0</v>
      </c>
      <c r="AB15" s="495">
        <f t="shared" si="10"/>
        <v>100</v>
      </c>
      <c r="AD15" s="490">
        <f t="shared" si="11"/>
        <v>2027</v>
      </c>
      <c r="AE15" s="492" t="str">
        <f>$C$15</f>
        <v>DEZ</v>
      </c>
      <c r="AF15" s="493"/>
      <c r="AG15" s="494"/>
      <c r="AH15" s="493">
        <f t="shared" si="12"/>
        <v>0</v>
      </c>
      <c r="AI15" s="495">
        <f t="shared" si="13"/>
        <v>100</v>
      </c>
    </row>
    <row r="16" spans="1:35" x14ac:dyDescent="0.3">
      <c r="B16" s="490">
        <v>2024</v>
      </c>
      <c r="C16" s="496" t="s">
        <v>619</v>
      </c>
      <c r="D16" s="497"/>
      <c r="E16" s="498"/>
      <c r="F16" s="493">
        <f t="shared" si="0"/>
        <v>0</v>
      </c>
      <c r="G16" s="495">
        <f t="shared" si="1"/>
        <v>100</v>
      </c>
      <c r="I16" s="490">
        <f t="shared" si="2"/>
        <v>2025</v>
      </c>
      <c r="J16" s="492" t="str">
        <f>$C$16</f>
        <v>JAN</v>
      </c>
      <c r="K16" s="497"/>
      <c r="L16" s="494"/>
      <c r="M16" s="493">
        <f t="shared" si="3"/>
        <v>0</v>
      </c>
      <c r="N16" s="495">
        <f t="shared" si="4"/>
        <v>100</v>
      </c>
      <c r="P16" s="490">
        <f t="shared" si="5"/>
        <v>2026</v>
      </c>
      <c r="Q16" s="492" t="str">
        <f>$C$16</f>
        <v>JAN</v>
      </c>
      <c r="R16" s="497"/>
      <c r="S16" s="494"/>
      <c r="T16" s="493">
        <f t="shared" si="6"/>
        <v>0</v>
      </c>
      <c r="U16" s="495">
        <f t="shared" si="7"/>
        <v>100</v>
      </c>
      <c r="W16" s="490">
        <f t="shared" si="8"/>
        <v>2027</v>
      </c>
      <c r="X16" s="492" t="str">
        <f>$C$16</f>
        <v>JAN</v>
      </c>
      <c r="Y16" s="497"/>
      <c r="Z16" s="494"/>
      <c r="AA16" s="493">
        <f t="shared" si="9"/>
        <v>0</v>
      </c>
      <c r="AB16" s="495">
        <f t="shared" si="10"/>
        <v>100</v>
      </c>
      <c r="AD16" s="490">
        <f t="shared" si="11"/>
        <v>2028</v>
      </c>
      <c r="AE16" s="492" t="str">
        <f>$C$16</f>
        <v>JAN</v>
      </c>
      <c r="AF16" s="497"/>
      <c r="AG16" s="494"/>
      <c r="AH16" s="493">
        <f t="shared" si="12"/>
        <v>0</v>
      </c>
      <c r="AI16" s="495">
        <f t="shared" si="13"/>
        <v>100</v>
      </c>
    </row>
    <row r="17" spans="2:35" x14ac:dyDescent="0.3">
      <c r="B17" s="490">
        <v>2024</v>
      </c>
      <c r="C17" s="492" t="s">
        <v>620</v>
      </c>
      <c r="D17" s="493"/>
      <c r="E17" s="494"/>
      <c r="F17" s="493">
        <f t="shared" si="0"/>
        <v>0</v>
      </c>
      <c r="G17" s="495">
        <f t="shared" si="1"/>
        <v>100</v>
      </c>
      <c r="I17" s="490">
        <f t="shared" si="2"/>
        <v>2025</v>
      </c>
      <c r="J17" s="492" t="str">
        <f>$C$17</f>
        <v>FEV</v>
      </c>
      <c r="K17" s="493"/>
      <c r="L17" s="494"/>
      <c r="M17" s="493">
        <f t="shared" si="3"/>
        <v>0</v>
      </c>
      <c r="N17" s="495">
        <f t="shared" si="4"/>
        <v>100</v>
      </c>
      <c r="P17" s="490">
        <f t="shared" si="5"/>
        <v>2026</v>
      </c>
      <c r="Q17" s="492" t="str">
        <f>$C$17</f>
        <v>FEV</v>
      </c>
      <c r="R17" s="493"/>
      <c r="S17" s="494"/>
      <c r="T17" s="493">
        <f t="shared" si="6"/>
        <v>0</v>
      </c>
      <c r="U17" s="495">
        <f t="shared" si="7"/>
        <v>100</v>
      </c>
      <c r="W17" s="490">
        <f t="shared" si="8"/>
        <v>2027</v>
      </c>
      <c r="X17" s="492" t="str">
        <f>$C$17</f>
        <v>FEV</v>
      </c>
      <c r="Y17" s="493"/>
      <c r="Z17" s="494"/>
      <c r="AA17" s="493">
        <f t="shared" si="9"/>
        <v>0</v>
      </c>
      <c r="AB17" s="495">
        <f t="shared" si="10"/>
        <v>100</v>
      </c>
      <c r="AD17" s="490">
        <f t="shared" si="11"/>
        <v>2028</v>
      </c>
      <c r="AE17" s="492" t="str">
        <f>$C$17</f>
        <v>FEV</v>
      </c>
      <c r="AF17" s="493"/>
      <c r="AG17" s="494"/>
      <c r="AH17" s="493">
        <f t="shared" si="12"/>
        <v>0</v>
      </c>
      <c r="AI17" s="495">
        <f t="shared" si="13"/>
        <v>100</v>
      </c>
    </row>
    <row r="18" spans="2:35" x14ac:dyDescent="0.3">
      <c r="B18" s="490">
        <v>2024</v>
      </c>
      <c r="C18" s="496" t="s">
        <v>621</v>
      </c>
      <c r="D18" s="493"/>
      <c r="E18" s="494"/>
      <c r="F18" s="493">
        <f t="shared" si="0"/>
        <v>0</v>
      </c>
      <c r="G18" s="495">
        <f t="shared" si="1"/>
        <v>100</v>
      </c>
      <c r="I18" s="490">
        <f t="shared" si="2"/>
        <v>2025</v>
      </c>
      <c r="J18" s="492" t="str">
        <f>$C$18</f>
        <v>MAR</v>
      </c>
      <c r="K18" s="493"/>
      <c r="L18" s="494"/>
      <c r="M18" s="493">
        <f t="shared" si="3"/>
        <v>0</v>
      </c>
      <c r="N18" s="495">
        <f t="shared" si="4"/>
        <v>100</v>
      </c>
      <c r="P18" s="490">
        <f t="shared" si="5"/>
        <v>2026</v>
      </c>
      <c r="Q18" s="492" t="str">
        <f>$C$18</f>
        <v>MAR</v>
      </c>
      <c r="R18" s="493"/>
      <c r="S18" s="494"/>
      <c r="T18" s="493">
        <f t="shared" si="6"/>
        <v>0</v>
      </c>
      <c r="U18" s="495">
        <f t="shared" si="7"/>
        <v>100</v>
      </c>
      <c r="W18" s="490">
        <f t="shared" si="8"/>
        <v>2027</v>
      </c>
      <c r="X18" s="492" t="str">
        <f>$C$18</f>
        <v>MAR</v>
      </c>
      <c r="Y18" s="493"/>
      <c r="Z18" s="494"/>
      <c r="AA18" s="493">
        <f t="shared" si="9"/>
        <v>0</v>
      </c>
      <c r="AB18" s="495">
        <f t="shared" si="10"/>
        <v>100</v>
      </c>
      <c r="AD18" s="490">
        <f t="shared" si="11"/>
        <v>2028</v>
      </c>
      <c r="AE18" s="492" t="str">
        <f>$C$18</f>
        <v>MAR</v>
      </c>
      <c r="AF18" s="493"/>
      <c r="AG18" s="494"/>
      <c r="AH18" s="493">
        <f t="shared" si="12"/>
        <v>0</v>
      </c>
      <c r="AI18" s="495">
        <f t="shared" si="13"/>
        <v>100</v>
      </c>
    </row>
    <row r="19" spans="2:35" x14ac:dyDescent="0.3">
      <c r="B19" s="490">
        <v>2024</v>
      </c>
      <c r="C19" s="492" t="s">
        <v>622</v>
      </c>
      <c r="D19" s="493"/>
      <c r="E19" s="494"/>
      <c r="F19" s="493">
        <f t="shared" si="0"/>
        <v>0</v>
      </c>
      <c r="G19" s="495">
        <f t="shared" si="1"/>
        <v>100</v>
      </c>
      <c r="I19" s="490">
        <f t="shared" si="2"/>
        <v>2025</v>
      </c>
      <c r="J19" s="492" t="str">
        <f>$C$19</f>
        <v>ABR</v>
      </c>
      <c r="K19" s="493"/>
      <c r="L19" s="494"/>
      <c r="M19" s="493">
        <f t="shared" si="3"/>
        <v>0</v>
      </c>
      <c r="N19" s="495">
        <f t="shared" si="4"/>
        <v>100</v>
      </c>
      <c r="P19" s="490">
        <f t="shared" si="5"/>
        <v>2026</v>
      </c>
      <c r="Q19" s="492" t="str">
        <f>$C$19</f>
        <v>ABR</v>
      </c>
      <c r="R19" s="493"/>
      <c r="S19" s="494"/>
      <c r="T19" s="493">
        <f t="shared" si="6"/>
        <v>0</v>
      </c>
      <c r="U19" s="495">
        <f t="shared" si="7"/>
        <v>100</v>
      </c>
      <c r="W19" s="490">
        <f t="shared" si="8"/>
        <v>2027</v>
      </c>
      <c r="X19" s="492" t="str">
        <f>$C$19</f>
        <v>ABR</v>
      </c>
      <c r="Y19" s="493"/>
      <c r="Z19" s="494"/>
      <c r="AA19" s="493">
        <f t="shared" si="9"/>
        <v>0</v>
      </c>
      <c r="AB19" s="495">
        <f t="shared" si="10"/>
        <v>100</v>
      </c>
      <c r="AD19" s="490">
        <f t="shared" si="11"/>
        <v>2028</v>
      </c>
      <c r="AE19" s="492" t="str">
        <f>$C$19</f>
        <v>ABR</v>
      </c>
      <c r="AF19" s="493"/>
      <c r="AG19" s="494"/>
      <c r="AH19" s="493">
        <f t="shared" si="12"/>
        <v>0</v>
      </c>
      <c r="AI19" s="495">
        <f t="shared" si="13"/>
        <v>100</v>
      </c>
    </row>
    <row r="20" spans="2:35" x14ac:dyDescent="0.3">
      <c r="B20" s="490">
        <v>2024</v>
      </c>
      <c r="C20" s="496" t="s">
        <v>623</v>
      </c>
      <c r="D20" s="493"/>
      <c r="E20" s="494"/>
      <c r="F20" s="493">
        <f t="shared" si="0"/>
        <v>0</v>
      </c>
      <c r="G20" s="495">
        <f t="shared" si="1"/>
        <v>100</v>
      </c>
      <c r="I20" s="490">
        <f t="shared" si="2"/>
        <v>2025</v>
      </c>
      <c r="J20" s="492" t="str">
        <f>$C$20</f>
        <v>MAI</v>
      </c>
      <c r="K20" s="493"/>
      <c r="L20" s="494"/>
      <c r="M20" s="493">
        <f t="shared" si="3"/>
        <v>0</v>
      </c>
      <c r="N20" s="495">
        <f t="shared" si="4"/>
        <v>100</v>
      </c>
      <c r="P20" s="490">
        <f t="shared" si="5"/>
        <v>2026</v>
      </c>
      <c r="Q20" s="492" t="str">
        <f>$C$20</f>
        <v>MAI</v>
      </c>
      <c r="R20" s="493"/>
      <c r="S20" s="494"/>
      <c r="T20" s="493">
        <f t="shared" si="6"/>
        <v>0</v>
      </c>
      <c r="U20" s="495">
        <f t="shared" si="7"/>
        <v>100</v>
      </c>
      <c r="W20" s="490">
        <f t="shared" si="8"/>
        <v>2027</v>
      </c>
      <c r="X20" s="492" t="str">
        <f>$C$20</f>
        <v>MAI</v>
      </c>
      <c r="Y20" s="493"/>
      <c r="Z20" s="494"/>
      <c r="AA20" s="493">
        <f t="shared" si="9"/>
        <v>0</v>
      </c>
      <c r="AB20" s="495">
        <f t="shared" si="10"/>
        <v>100</v>
      </c>
      <c r="AD20" s="490">
        <f t="shared" si="11"/>
        <v>2028</v>
      </c>
      <c r="AE20" s="492" t="str">
        <f>$C$20</f>
        <v>MAI</v>
      </c>
      <c r="AF20" s="493"/>
      <c r="AG20" s="494"/>
      <c r="AH20" s="493">
        <f t="shared" si="12"/>
        <v>0</v>
      </c>
      <c r="AI20" s="495">
        <f t="shared" si="13"/>
        <v>100</v>
      </c>
    </row>
    <row r="21" spans="2:35" x14ac:dyDescent="0.3">
      <c r="B21" s="490">
        <v>2024</v>
      </c>
      <c r="C21" s="492" t="s">
        <v>624</v>
      </c>
      <c r="D21" s="493"/>
      <c r="E21" s="494"/>
      <c r="F21" s="493">
        <f t="shared" si="0"/>
        <v>0</v>
      </c>
      <c r="G21" s="495">
        <f t="shared" si="1"/>
        <v>100</v>
      </c>
      <c r="I21" s="490">
        <f t="shared" si="2"/>
        <v>2025</v>
      </c>
      <c r="J21" s="492" t="str">
        <f>$C$21</f>
        <v>JUN</v>
      </c>
      <c r="K21" s="493"/>
      <c r="L21" s="494"/>
      <c r="M21" s="493">
        <f t="shared" si="3"/>
        <v>0</v>
      </c>
      <c r="N21" s="495">
        <f t="shared" si="4"/>
        <v>100</v>
      </c>
      <c r="P21" s="490">
        <f t="shared" si="5"/>
        <v>2026</v>
      </c>
      <c r="Q21" s="492" t="str">
        <f>$C$21</f>
        <v>JUN</v>
      </c>
      <c r="R21" s="493"/>
      <c r="S21" s="494"/>
      <c r="T21" s="493">
        <f t="shared" si="6"/>
        <v>0</v>
      </c>
      <c r="U21" s="495">
        <f t="shared" si="7"/>
        <v>100</v>
      </c>
      <c r="W21" s="490">
        <f t="shared" si="8"/>
        <v>2027</v>
      </c>
      <c r="X21" s="492" t="str">
        <f>$C$21</f>
        <v>JUN</v>
      </c>
      <c r="Y21" s="493"/>
      <c r="Z21" s="494"/>
      <c r="AA21" s="493">
        <f t="shared" si="9"/>
        <v>0</v>
      </c>
      <c r="AB21" s="495">
        <f t="shared" si="10"/>
        <v>100</v>
      </c>
      <c r="AD21" s="490">
        <f t="shared" si="11"/>
        <v>2028</v>
      </c>
      <c r="AE21" s="492" t="str">
        <f>$C$21</f>
        <v>JUN</v>
      </c>
      <c r="AF21" s="493"/>
      <c r="AG21" s="494"/>
      <c r="AH21" s="493">
        <f t="shared" si="12"/>
        <v>0</v>
      </c>
      <c r="AI21" s="495">
        <f t="shared" si="13"/>
        <v>100</v>
      </c>
    </row>
    <row r="22" spans="2:35" x14ac:dyDescent="0.3">
      <c r="B22" s="490">
        <v>2024</v>
      </c>
      <c r="C22" s="496" t="s">
        <v>625</v>
      </c>
      <c r="D22" s="493"/>
      <c r="E22" s="494">
        <v>0</v>
      </c>
      <c r="F22" s="493">
        <f t="shared" si="0"/>
        <v>0</v>
      </c>
      <c r="G22" s="495">
        <f t="shared" si="1"/>
        <v>100</v>
      </c>
      <c r="I22" s="490">
        <f t="shared" si="2"/>
        <v>2025</v>
      </c>
      <c r="J22" s="492" t="str">
        <f>$C$22</f>
        <v>JUL</v>
      </c>
      <c r="K22" s="493"/>
      <c r="L22" s="494">
        <f>$E$22</f>
        <v>0</v>
      </c>
      <c r="M22" s="493">
        <f t="shared" si="3"/>
        <v>0</v>
      </c>
      <c r="N22" s="495">
        <f t="shared" si="4"/>
        <v>100</v>
      </c>
      <c r="P22" s="490">
        <f t="shared" si="5"/>
        <v>2026</v>
      </c>
      <c r="Q22" s="492" t="str">
        <f>$C$22</f>
        <v>JUL</v>
      </c>
      <c r="R22" s="493"/>
      <c r="S22" s="494">
        <f>$E$22</f>
        <v>0</v>
      </c>
      <c r="T22" s="493">
        <f t="shared" si="6"/>
        <v>0</v>
      </c>
      <c r="U22" s="495">
        <f t="shared" si="7"/>
        <v>100</v>
      </c>
      <c r="W22" s="490">
        <f t="shared" si="8"/>
        <v>2027</v>
      </c>
      <c r="X22" s="492" t="str">
        <f>$C$22</f>
        <v>JUL</v>
      </c>
      <c r="Y22" s="493"/>
      <c r="Z22" s="494">
        <f>$E$22</f>
        <v>0</v>
      </c>
      <c r="AA22" s="493">
        <f t="shared" si="9"/>
        <v>0</v>
      </c>
      <c r="AB22" s="495">
        <f t="shared" si="10"/>
        <v>100</v>
      </c>
      <c r="AD22" s="490">
        <f t="shared" si="11"/>
        <v>2028</v>
      </c>
      <c r="AE22" s="492" t="str">
        <f>$C$22</f>
        <v>JUL</v>
      </c>
      <c r="AF22" s="493"/>
      <c r="AG22" s="494">
        <f>$E$22</f>
        <v>0</v>
      </c>
      <c r="AH22" s="493">
        <f t="shared" si="12"/>
        <v>0</v>
      </c>
      <c r="AI22" s="495">
        <f t="shared" si="13"/>
        <v>100</v>
      </c>
    </row>
    <row r="23" spans="2:35" x14ac:dyDescent="0.3">
      <c r="B23" s="737" t="s">
        <v>626</v>
      </c>
      <c r="C23" s="737"/>
      <c r="D23" s="737"/>
      <c r="E23" s="737"/>
      <c r="F23" s="737"/>
      <c r="G23" s="499">
        <f>ROUND(((G22-G9)/G9),4)</f>
        <v>0</v>
      </c>
      <c r="I23" s="737" t="s">
        <v>626</v>
      </c>
      <c r="J23" s="737"/>
      <c r="K23" s="737"/>
      <c r="L23" s="737"/>
      <c r="M23" s="737"/>
      <c r="N23" s="499">
        <f>ROUND(((N22-N9)/N9),4)</f>
        <v>0</v>
      </c>
      <c r="P23" s="737" t="s">
        <v>626</v>
      </c>
      <c r="Q23" s="737"/>
      <c r="R23" s="737"/>
      <c r="S23" s="737"/>
      <c r="T23" s="737"/>
      <c r="U23" s="499">
        <f>ROUND(((U22-U9)/U9),4)</f>
        <v>0</v>
      </c>
      <c r="W23" s="737" t="s">
        <v>626</v>
      </c>
      <c r="X23" s="737"/>
      <c r="Y23" s="737"/>
      <c r="Z23" s="737"/>
      <c r="AA23" s="737"/>
      <c r="AB23" s="499">
        <f>ROUND(((AB22-AB9)/AB9),4)</f>
        <v>0</v>
      </c>
      <c r="AD23" s="737" t="s">
        <v>626</v>
      </c>
      <c r="AE23" s="737"/>
      <c r="AF23" s="737"/>
      <c r="AG23" s="737"/>
      <c r="AH23" s="737"/>
      <c r="AI23" s="499">
        <f>ROUND(((AI22-AI9)/AI9),4)</f>
        <v>0</v>
      </c>
    </row>
  </sheetData>
  <sheetProtection password="C494"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J78"/>
  <sheetViews>
    <sheetView showGridLines="0" zoomScale="95" zoomScaleNormal="95" workbookViewId="0">
      <selection activeCell="A4" sqref="A4:X4"/>
    </sheetView>
  </sheetViews>
  <sheetFormatPr defaultColWidth="9.109375" defaultRowHeight="14.4" x14ac:dyDescent="0.3"/>
  <cols>
    <col min="1" max="1" width="6.33203125" style="90" customWidth="1"/>
    <col min="2" max="2" width="8.6640625" style="91" customWidth="1"/>
    <col min="3" max="3" width="4" style="77" customWidth="1"/>
    <col min="4" max="23" width="9.109375" style="77"/>
    <col min="24" max="24" width="10.6640625" style="77" customWidth="1"/>
    <col min="25" max="256" width="9.109375" style="77"/>
    <col min="257" max="257" width="4.5546875" style="77" customWidth="1"/>
    <col min="258" max="258" width="11.109375" style="77" customWidth="1"/>
    <col min="259" max="259" width="4" style="77" customWidth="1"/>
    <col min="260" max="512" width="9.109375" style="77"/>
    <col min="513" max="513" width="4.5546875" style="77" customWidth="1"/>
    <col min="514" max="514" width="11.109375" style="77" customWidth="1"/>
    <col min="515" max="515" width="4" style="77" customWidth="1"/>
    <col min="516" max="768" width="9.109375" style="77"/>
    <col min="769" max="769" width="4.5546875" style="77" customWidth="1"/>
    <col min="770" max="770" width="11.109375" style="77" customWidth="1"/>
    <col min="771" max="771" width="4" style="77" customWidth="1"/>
    <col min="772" max="1024" width="9.109375" style="77"/>
  </cols>
  <sheetData>
    <row r="1" spans="1:24" x14ac:dyDescent="0.3">
      <c r="A1" s="92"/>
      <c r="B1" s="93" t="s">
        <v>90</v>
      </c>
    </row>
    <row r="2" spans="1:24" x14ac:dyDescent="0.3">
      <c r="A2" s="94"/>
      <c r="B2" s="95" t="s">
        <v>91</v>
      </c>
    </row>
    <row r="3" spans="1:24" x14ac:dyDescent="0.3">
      <c r="A3" s="94"/>
      <c r="B3" s="96" t="s">
        <v>92</v>
      </c>
    </row>
    <row r="4" spans="1:24" s="97" customFormat="1" ht="15.6" x14ac:dyDescent="0.3">
      <c r="A4" s="596" t="s">
        <v>93</v>
      </c>
      <c r="B4" s="596"/>
      <c r="C4" s="596"/>
      <c r="D4" s="596"/>
      <c r="E4" s="596"/>
      <c r="F4" s="596"/>
      <c r="G4" s="596"/>
      <c r="H4" s="596"/>
      <c r="I4" s="596"/>
      <c r="J4" s="596"/>
      <c r="K4" s="596"/>
      <c r="L4" s="596"/>
      <c r="M4" s="596"/>
      <c r="N4" s="596"/>
      <c r="O4" s="596"/>
      <c r="P4" s="596"/>
      <c r="Q4" s="596"/>
      <c r="R4" s="596"/>
      <c r="S4" s="596"/>
      <c r="T4" s="596"/>
      <c r="U4" s="596"/>
      <c r="V4" s="596"/>
      <c r="W4" s="596"/>
      <c r="X4" s="596"/>
    </row>
    <row r="5" spans="1:24" ht="12" customHeight="1" x14ac:dyDescent="0.3"/>
    <row r="6" spans="1:24" x14ac:dyDescent="0.3">
      <c r="A6" s="98" t="s">
        <v>94</v>
      </c>
      <c r="B6" s="99" t="s">
        <v>95</v>
      </c>
    </row>
    <row r="7" spans="1:24" ht="7.5" customHeight="1" x14ac:dyDescent="0.3"/>
    <row r="8" spans="1:24" x14ac:dyDescent="0.3">
      <c r="B8" s="100"/>
      <c r="C8" s="91" t="s">
        <v>96</v>
      </c>
    </row>
    <row r="10" spans="1:24" x14ac:dyDescent="0.3">
      <c r="A10" s="98" t="s">
        <v>97</v>
      </c>
      <c r="B10" s="91" t="s">
        <v>98</v>
      </c>
    </row>
    <row r="12" spans="1:24" x14ac:dyDescent="0.3">
      <c r="A12" s="98" t="s">
        <v>99</v>
      </c>
      <c r="B12" s="91" t="s">
        <v>100</v>
      </c>
    </row>
    <row r="13" spans="1:24" x14ac:dyDescent="0.3">
      <c r="A13" s="98"/>
      <c r="B13" s="91" t="s">
        <v>101</v>
      </c>
    </row>
    <row r="14" spans="1:24" s="102" customFormat="1" ht="17.25" customHeight="1" x14ac:dyDescent="0.3">
      <c r="A14" s="98"/>
      <c r="B14" s="101" t="s">
        <v>102</v>
      </c>
    </row>
    <row r="15" spans="1:24" ht="7.5" customHeight="1" x14ac:dyDescent="0.3"/>
    <row r="16" spans="1:24" x14ac:dyDescent="0.3">
      <c r="B16" s="103" t="s">
        <v>103</v>
      </c>
      <c r="C16" s="104" t="s">
        <v>104</v>
      </c>
      <c r="D16" s="104"/>
      <c r="E16" s="104"/>
      <c r="F16" s="104"/>
      <c r="G16" s="104"/>
    </row>
    <row r="18" spans="3:4" x14ac:dyDescent="0.3">
      <c r="C18" s="105" t="s">
        <v>105</v>
      </c>
      <c r="D18" s="105" t="s">
        <v>106</v>
      </c>
    </row>
    <row r="19" spans="3:4" x14ac:dyDescent="0.3">
      <c r="D19" s="77" t="s">
        <v>107</v>
      </c>
    </row>
    <row r="20" spans="3:4" x14ac:dyDescent="0.3">
      <c r="D20" s="77" t="s">
        <v>108</v>
      </c>
    </row>
    <row r="21" spans="3:4" x14ac:dyDescent="0.3">
      <c r="C21" s="105"/>
      <c r="D21" s="77" t="s">
        <v>109</v>
      </c>
    </row>
    <row r="22" spans="3:4" x14ac:dyDescent="0.3">
      <c r="D22" s="77" t="s">
        <v>110</v>
      </c>
    </row>
    <row r="23" spans="3:4" x14ac:dyDescent="0.3">
      <c r="D23" s="77" t="s">
        <v>111</v>
      </c>
    </row>
    <row r="24" spans="3:4" x14ac:dyDescent="0.3">
      <c r="D24" s="77" t="s">
        <v>112</v>
      </c>
    </row>
    <row r="25" spans="3:4" x14ac:dyDescent="0.3">
      <c r="D25" s="77" t="s">
        <v>113</v>
      </c>
    </row>
    <row r="26" spans="3:4" x14ac:dyDescent="0.3">
      <c r="D26" s="77" t="s">
        <v>114</v>
      </c>
    </row>
    <row r="27" spans="3:4" x14ac:dyDescent="0.3">
      <c r="D27" s="77" t="s">
        <v>115</v>
      </c>
    </row>
    <row r="28" spans="3:4" x14ac:dyDescent="0.3">
      <c r="D28" s="77" t="s">
        <v>116</v>
      </c>
    </row>
    <row r="29" spans="3:4" x14ac:dyDescent="0.3">
      <c r="D29" s="77" t="s">
        <v>117</v>
      </c>
    </row>
    <row r="30" spans="3:4" x14ac:dyDescent="0.3">
      <c r="D30" s="77" t="s">
        <v>118</v>
      </c>
    </row>
    <row r="31" spans="3:4" x14ac:dyDescent="0.3">
      <c r="D31" s="77" t="s">
        <v>119</v>
      </c>
    </row>
    <row r="32" spans="3:4" x14ac:dyDescent="0.3">
      <c r="D32" s="77" t="s">
        <v>120</v>
      </c>
    </row>
    <row r="33" spans="3:8" x14ac:dyDescent="0.3">
      <c r="D33" s="77" t="s">
        <v>121</v>
      </c>
    </row>
    <row r="34" spans="3:8" x14ac:dyDescent="0.3">
      <c r="D34" s="77" t="s">
        <v>122</v>
      </c>
    </row>
    <row r="35" spans="3:8" x14ac:dyDescent="0.3">
      <c r="D35" s="77" t="s">
        <v>123</v>
      </c>
    </row>
    <row r="36" spans="3:8" x14ac:dyDescent="0.3">
      <c r="D36" s="77" t="s">
        <v>124</v>
      </c>
    </row>
    <row r="37" spans="3:8" x14ac:dyDescent="0.3">
      <c r="D37" s="77" t="s">
        <v>125</v>
      </c>
    </row>
    <row r="38" spans="3:8" x14ac:dyDescent="0.3">
      <c r="D38" s="77" t="s">
        <v>126</v>
      </c>
    </row>
    <row r="39" spans="3:8" x14ac:dyDescent="0.3">
      <c r="D39" s="77" t="s">
        <v>127</v>
      </c>
    </row>
    <row r="40" spans="3:8" x14ac:dyDescent="0.3">
      <c r="D40" s="77" t="s">
        <v>128</v>
      </c>
    </row>
    <row r="41" spans="3:8" x14ac:dyDescent="0.3">
      <c r="D41" s="77" t="s">
        <v>129</v>
      </c>
    </row>
    <row r="42" spans="3:8" x14ac:dyDescent="0.3">
      <c r="D42" s="104" t="s">
        <v>130</v>
      </c>
      <c r="E42" s="104"/>
      <c r="F42" s="104"/>
      <c r="G42" s="104"/>
      <c r="H42" s="104"/>
    </row>
    <row r="44" spans="3:8" x14ac:dyDescent="0.3">
      <c r="C44" s="105" t="s">
        <v>131</v>
      </c>
      <c r="D44" s="105" t="s">
        <v>132</v>
      </c>
    </row>
    <row r="45" spans="3:8" x14ac:dyDescent="0.3">
      <c r="D45" s="77" t="s">
        <v>133</v>
      </c>
    </row>
    <row r="46" spans="3:8" x14ac:dyDescent="0.3">
      <c r="D46" s="77" t="s">
        <v>134</v>
      </c>
    </row>
    <row r="47" spans="3:8" x14ac:dyDescent="0.3">
      <c r="D47" s="104" t="s">
        <v>130</v>
      </c>
      <c r="E47" s="104"/>
      <c r="F47" s="104"/>
      <c r="G47" s="104"/>
      <c r="H47" s="104"/>
    </row>
    <row r="49" spans="3:8" x14ac:dyDescent="0.3">
      <c r="C49" s="105" t="s">
        <v>135</v>
      </c>
      <c r="D49" s="105" t="s">
        <v>136</v>
      </c>
    </row>
    <row r="50" spans="3:8" x14ac:dyDescent="0.3">
      <c r="D50" s="77" t="s">
        <v>137</v>
      </c>
    </row>
    <row r="51" spans="3:8" x14ac:dyDescent="0.3">
      <c r="D51" s="77" t="s">
        <v>138</v>
      </c>
    </row>
    <row r="52" spans="3:8" x14ac:dyDescent="0.3">
      <c r="E52" s="77" t="s">
        <v>139</v>
      </c>
    </row>
    <row r="53" spans="3:8" x14ac:dyDescent="0.3">
      <c r="E53" s="77" t="s">
        <v>140</v>
      </c>
    </row>
    <row r="54" spans="3:8" x14ac:dyDescent="0.3">
      <c r="D54" s="77" t="s">
        <v>141</v>
      </c>
    </row>
    <row r="55" spans="3:8" x14ac:dyDescent="0.3">
      <c r="D55" s="104" t="s">
        <v>130</v>
      </c>
      <c r="E55" s="104"/>
      <c r="F55" s="104"/>
      <c r="G55" s="104"/>
      <c r="H55" s="104"/>
    </row>
    <row r="57" spans="3:8" x14ac:dyDescent="0.3">
      <c r="C57" s="105" t="s">
        <v>142</v>
      </c>
      <c r="D57" s="105" t="s">
        <v>143</v>
      </c>
    </row>
    <row r="58" spans="3:8" x14ac:dyDescent="0.3">
      <c r="D58" s="77" t="s">
        <v>144</v>
      </c>
    </row>
    <row r="59" spans="3:8" x14ac:dyDescent="0.3">
      <c r="D59" s="104" t="s">
        <v>130</v>
      </c>
      <c r="E59" s="104"/>
      <c r="F59" s="104"/>
      <c r="G59" s="104"/>
      <c r="H59" s="104"/>
    </row>
    <row r="61" spans="3:8" x14ac:dyDescent="0.3">
      <c r="C61" s="105" t="s">
        <v>145</v>
      </c>
      <c r="D61" s="105" t="s">
        <v>146</v>
      </c>
    </row>
    <row r="62" spans="3:8" x14ac:dyDescent="0.3">
      <c r="D62" s="77" t="s">
        <v>147</v>
      </c>
    </row>
    <row r="63" spans="3:8" x14ac:dyDescent="0.3">
      <c r="D63" s="77" t="s">
        <v>148</v>
      </c>
    </row>
    <row r="64" spans="3:8" x14ac:dyDescent="0.3">
      <c r="D64" s="104" t="s">
        <v>130</v>
      </c>
      <c r="E64" s="104"/>
      <c r="F64" s="104"/>
      <c r="G64" s="104"/>
      <c r="H64" s="104"/>
    </row>
    <row r="65" spans="1:7" ht="19.5" customHeight="1" x14ac:dyDescent="0.3"/>
    <row r="66" spans="1:7" x14ac:dyDescent="0.3">
      <c r="A66" s="98" t="s">
        <v>149</v>
      </c>
      <c r="B66" s="91" t="s">
        <v>150</v>
      </c>
    </row>
    <row r="67" spans="1:7" x14ac:dyDescent="0.3">
      <c r="A67" s="98"/>
      <c r="B67" s="91" t="s">
        <v>101</v>
      </c>
    </row>
    <row r="68" spans="1:7" s="102" customFormat="1" ht="18" customHeight="1" x14ac:dyDescent="0.3">
      <c r="A68" s="90"/>
      <c r="B68" s="98" t="s">
        <v>151</v>
      </c>
      <c r="C68" s="102" t="s">
        <v>152</v>
      </c>
    </row>
    <row r="69" spans="1:7" x14ac:dyDescent="0.3">
      <c r="B69" s="103" t="s">
        <v>153</v>
      </c>
      <c r="C69" s="106" t="s">
        <v>154</v>
      </c>
      <c r="D69" s="106"/>
      <c r="E69" s="106"/>
      <c r="F69" s="106"/>
      <c r="G69" s="106"/>
    </row>
    <row r="70" spans="1:7" ht="24.75" customHeight="1" x14ac:dyDescent="0.3"/>
    <row r="71" spans="1:7" s="102" customFormat="1" ht="15" customHeight="1" x14ac:dyDescent="0.3">
      <c r="A71" s="98" t="s">
        <v>155</v>
      </c>
      <c r="B71" s="107" t="s">
        <v>156</v>
      </c>
    </row>
    <row r="72" spans="1:7" s="102" customFormat="1" ht="15.75" customHeight="1" x14ac:dyDescent="0.3">
      <c r="A72" s="90"/>
      <c r="B72" s="98" t="s">
        <v>157</v>
      </c>
      <c r="C72" s="108" t="s">
        <v>158</v>
      </c>
    </row>
    <row r="73" spans="1:7" x14ac:dyDescent="0.3">
      <c r="B73" s="103" t="s">
        <v>159</v>
      </c>
      <c r="C73" s="109" t="s">
        <v>160</v>
      </c>
      <c r="D73" s="109"/>
      <c r="E73" s="109"/>
      <c r="F73" s="109"/>
    </row>
    <row r="74" spans="1:7" ht="24.75" customHeight="1" x14ac:dyDescent="0.3"/>
    <row r="75" spans="1:7" x14ac:dyDescent="0.3">
      <c r="A75" s="98" t="s">
        <v>161</v>
      </c>
      <c r="B75" s="91" t="s">
        <v>162</v>
      </c>
    </row>
    <row r="76" spans="1:7" s="102" customFormat="1" ht="16.5" customHeight="1" x14ac:dyDescent="0.3">
      <c r="A76" s="90"/>
      <c r="B76" s="98" t="s">
        <v>163</v>
      </c>
      <c r="C76" s="108" t="s">
        <v>164</v>
      </c>
    </row>
    <row r="77" spans="1:7" s="102" customFormat="1" ht="14.25" customHeight="1" x14ac:dyDescent="0.3">
      <c r="A77" s="90"/>
      <c r="B77" s="98" t="s">
        <v>165</v>
      </c>
      <c r="C77" s="110" t="s">
        <v>154</v>
      </c>
      <c r="D77" s="110"/>
      <c r="E77" s="110"/>
      <c r="F77" s="110"/>
      <c r="G77" s="110"/>
    </row>
    <row r="78" spans="1:7" s="102" customFormat="1" ht="23.25" customHeight="1" x14ac:dyDescent="0.3">
      <c r="A78" s="90"/>
      <c r="B78" s="98"/>
      <c r="C78" s="111"/>
      <c r="D78" s="111"/>
      <c r="E78" s="111"/>
      <c r="F78" s="111"/>
      <c r="G78" s="111"/>
    </row>
  </sheetData>
  <sheetProtection algorithmName="SHA-512" hashValue="v+VCPw75MRVPFZflDE2OZd5DmpzTwoqG/BRib/PtvbcZQ+kx7+TE0oGPx6mnb0JP+mFcuafNBzszrLT2Y28Xzw==" saltValue="Mz4mRGH8QLYA9/3Ts3oa7A==" spinCount="100000" sheet="1" objects="1" scenarios="1"/>
  <mergeCells count="1">
    <mergeCell ref="A4:X4"/>
  </mergeCells>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198"/>
  <sheetViews>
    <sheetView showGridLines="0" zoomScale="95" zoomScaleNormal="95" workbookViewId="0">
      <selection activeCell="H12" sqref="H12"/>
    </sheetView>
  </sheetViews>
  <sheetFormatPr defaultColWidth="9.109375" defaultRowHeight="14.4" x14ac:dyDescent="0.3"/>
  <cols>
    <col min="1" max="1" width="9.88671875" style="1" customWidth="1"/>
    <col min="2" max="2" width="10.44140625" style="1" customWidth="1"/>
    <col min="3" max="3" width="43.10937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12.5546875" style="1" customWidth="1"/>
    <col min="15" max="15" width="14.88671875" style="1" customWidth="1"/>
    <col min="16" max="17" width="13.5546875" style="1" customWidth="1"/>
    <col min="18" max="18" width="15" style="1" customWidth="1"/>
    <col min="19" max="254" width="9.109375" style="1"/>
    <col min="255" max="255" width="9.88671875" style="1" customWidth="1"/>
    <col min="256" max="256" width="10.44140625" style="1" customWidth="1"/>
    <col min="257" max="257" width="39.33203125" style="1" customWidth="1"/>
    <col min="258" max="258" width="15" style="1" customWidth="1"/>
    <col min="259" max="259" width="11" style="1" customWidth="1"/>
    <col min="260" max="260" width="11.109375" style="1" customWidth="1"/>
    <col min="261" max="261" width="12.88671875" style="1" customWidth="1"/>
    <col min="262" max="262" width="13.109375" style="1" customWidth="1"/>
    <col min="263" max="266" width="14.109375" style="1" customWidth="1"/>
    <col min="267" max="267" width="14.44140625" style="1" customWidth="1"/>
    <col min="268" max="268" width="9.6640625" style="1" customWidth="1"/>
    <col min="269" max="269" width="12.6640625" style="1" customWidth="1"/>
    <col min="270" max="272" width="13.5546875" style="1" customWidth="1"/>
    <col min="273" max="273" width="12.109375" style="1" customWidth="1"/>
    <col min="274" max="274" width="15" style="1" customWidth="1"/>
    <col min="275" max="510" width="9.109375" style="1"/>
    <col min="511" max="511" width="9.88671875" style="1" customWidth="1"/>
    <col min="512" max="512" width="10.44140625" style="1" customWidth="1"/>
    <col min="513" max="513" width="39.33203125" style="1" customWidth="1"/>
    <col min="514" max="514" width="15" style="1" customWidth="1"/>
    <col min="515" max="515" width="11" style="1" customWidth="1"/>
    <col min="516" max="516" width="11.109375" style="1" customWidth="1"/>
    <col min="517" max="517" width="12.88671875" style="1" customWidth="1"/>
    <col min="518" max="518" width="13.109375" style="1" customWidth="1"/>
    <col min="519" max="522" width="14.109375" style="1" customWidth="1"/>
    <col min="523" max="523" width="14.44140625" style="1" customWidth="1"/>
    <col min="524" max="524" width="9.6640625" style="1" customWidth="1"/>
    <col min="525" max="525" width="12.6640625" style="1" customWidth="1"/>
    <col min="526" max="528" width="13.5546875" style="1" customWidth="1"/>
    <col min="529" max="529" width="12.109375" style="1" customWidth="1"/>
    <col min="530" max="530" width="15" style="1" customWidth="1"/>
    <col min="531" max="766" width="9.109375" style="1"/>
    <col min="767" max="767" width="9.88671875" style="1" customWidth="1"/>
    <col min="768" max="768" width="10.44140625" style="1" customWidth="1"/>
    <col min="769" max="769" width="39.33203125" style="1" customWidth="1"/>
    <col min="770" max="770" width="15" style="1" customWidth="1"/>
    <col min="771" max="771" width="11" style="1" customWidth="1"/>
    <col min="772" max="772" width="11.109375" style="1" customWidth="1"/>
    <col min="773" max="773" width="12.88671875" style="1" customWidth="1"/>
    <col min="774" max="774" width="13.109375" style="1" customWidth="1"/>
    <col min="775" max="778" width="14.109375" style="1" customWidth="1"/>
    <col min="779" max="779" width="14.44140625" style="1" customWidth="1"/>
    <col min="780" max="780" width="9.6640625" style="1" customWidth="1"/>
    <col min="781" max="781" width="12.6640625" style="1" customWidth="1"/>
    <col min="782" max="784" width="13.5546875" style="1" customWidth="1"/>
    <col min="785" max="785" width="12.109375" style="1" customWidth="1"/>
    <col min="786" max="786" width="15" style="1" customWidth="1"/>
    <col min="787" max="1022" width="9.109375" style="1"/>
    <col min="1023" max="1023" width="9.88671875" style="1" customWidth="1"/>
    <col min="1024" max="1024" width="10.44140625" style="1" customWidth="1"/>
  </cols>
  <sheetData>
    <row r="1" spans="1:20" x14ac:dyDescent="0.3">
      <c r="A1" s="112"/>
      <c r="B1" s="113" t="str">
        <f>INSTRUÇÕES!B1</f>
        <v>Tribunal Regional Federal da 6ª Região</v>
      </c>
      <c r="D1" s="77"/>
      <c r="E1" s="77"/>
      <c r="F1" s="77"/>
      <c r="G1" s="77"/>
      <c r="H1" s="77"/>
      <c r="I1" s="77"/>
      <c r="J1" s="114"/>
      <c r="K1" s="114"/>
      <c r="L1" s="77"/>
      <c r="M1" s="77"/>
      <c r="N1" s="77"/>
    </row>
    <row r="2" spans="1:20" x14ac:dyDescent="0.3">
      <c r="A2" s="112"/>
      <c r="B2" s="113" t="str">
        <f>INSTRUÇÕES!B2</f>
        <v>Seção Judiciária de Minas Gerais</v>
      </c>
      <c r="D2" s="77"/>
      <c r="E2" s="77"/>
      <c r="F2" s="77"/>
      <c r="G2" s="77"/>
      <c r="H2" s="77"/>
      <c r="I2" s="77"/>
      <c r="J2" s="114"/>
      <c r="K2" s="114"/>
      <c r="L2" s="77"/>
      <c r="M2" s="77"/>
      <c r="N2" s="77"/>
    </row>
    <row r="3" spans="1:20" ht="18" x14ac:dyDescent="0.3">
      <c r="A3" s="112"/>
      <c r="B3" s="113" t="str">
        <f>INSTRUÇÕES!B3</f>
        <v>Subseção Judiciária de Viçosa</v>
      </c>
      <c r="D3" s="77"/>
      <c r="E3" s="115" t="s">
        <v>166</v>
      </c>
      <c r="F3" s="77"/>
      <c r="G3" s="77"/>
      <c r="H3" s="77"/>
      <c r="I3" s="77"/>
      <c r="J3" s="114"/>
      <c r="K3" s="114"/>
      <c r="L3" s="77"/>
      <c r="M3" s="77"/>
      <c r="N3" s="77"/>
      <c r="Q3" s="116"/>
    </row>
    <row r="4" spans="1:20" s="17" customFormat="1" ht="24.75" customHeight="1" x14ac:dyDescent="0.3">
      <c r="A4" s="117" t="str">
        <f>CONCATENATE("Sindicato utilizado - ",E13,". Vigência: ",E15,". Sendo a data base da categoria ",E16,". Com número de registro no MTE ",E14,".")</f>
        <v>Sindicato utilizado - SINSERTH x SINTAPPI. Vigência: 2024/2025. Sendo a data base da categoria 01° de Abril. Com número de registro no MTE MG002103/2024.</v>
      </c>
      <c r="B4" s="117"/>
      <c r="C4" s="118"/>
      <c r="D4" s="119"/>
      <c r="E4" s="117"/>
      <c r="F4" s="120"/>
      <c r="G4" s="120"/>
      <c r="H4" s="120"/>
      <c r="I4" s="120"/>
      <c r="J4" s="120"/>
      <c r="K4" s="120"/>
      <c r="L4" s="120"/>
      <c r="M4" s="120"/>
      <c r="N4" s="120"/>
      <c r="O4" s="120"/>
      <c r="P4" s="120"/>
      <c r="Q4" s="120"/>
      <c r="R4" s="120"/>
    </row>
    <row r="5" spans="1:20" s="17" customFormat="1" ht="66.75" customHeight="1" x14ac:dyDescent="0.3">
      <c r="A5" s="597" t="s">
        <v>167</v>
      </c>
      <c r="B5" s="597" t="s">
        <v>168</v>
      </c>
      <c r="C5" s="597" t="s">
        <v>25</v>
      </c>
      <c r="D5" s="597" t="s">
        <v>169</v>
      </c>
      <c r="E5" s="597" t="s">
        <v>170</v>
      </c>
      <c r="F5" s="597" t="s">
        <v>171</v>
      </c>
      <c r="G5" s="597" t="s">
        <v>172</v>
      </c>
      <c r="H5" s="597" t="s">
        <v>173</v>
      </c>
      <c r="I5" s="597" t="s">
        <v>174</v>
      </c>
      <c r="J5" s="597" t="s">
        <v>175</v>
      </c>
      <c r="K5" s="597" t="s">
        <v>176</v>
      </c>
      <c r="L5" s="597" t="s">
        <v>177</v>
      </c>
      <c r="M5" s="598" t="s">
        <v>178</v>
      </c>
      <c r="N5" s="121" t="s">
        <v>179</v>
      </c>
      <c r="O5" s="121" t="s">
        <v>180</v>
      </c>
      <c r="P5" s="121" t="s">
        <v>181</v>
      </c>
      <c r="Q5" s="121" t="s">
        <v>182</v>
      </c>
      <c r="R5" s="597" t="s">
        <v>183</v>
      </c>
      <c r="T5" s="123"/>
    </row>
    <row r="6" spans="1:20" s="17" customFormat="1" ht="28.8" x14ac:dyDescent="0.3">
      <c r="A6" s="597"/>
      <c r="B6" s="597"/>
      <c r="C6" s="597"/>
      <c r="D6" s="597"/>
      <c r="E6" s="597"/>
      <c r="F6" s="597"/>
      <c r="G6" s="597"/>
      <c r="H6" s="597"/>
      <c r="I6" s="597"/>
      <c r="J6" s="597"/>
      <c r="K6" s="597"/>
      <c r="L6" s="597"/>
      <c r="M6" s="598"/>
      <c r="N6" s="124" t="s">
        <v>184</v>
      </c>
      <c r="O6" s="125">
        <f>B7+B8</f>
        <v>2</v>
      </c>
      <c r="P6" s="125">
        <f>B8</f>
        <v>1</v>
      </c>
      <c r="Q6" s="125">
        <v>2</v>
      </c>
      <c r="R6" s="597"/>
      <c r="T6" s="123"/>
    </row>
    <row r="7" spans="1:20" s="17" customFormat="1" ht="24.75" customHeight="1" x14ac:dyDescent="0.3">
      <c r="A7" s="599" t="s">
        <v>185</v>
      </c>
      <c r="B7" s="125">
        <v>1</v>
      </c>
      <c r="C7" s="126" t="s">
        <v>186</v>
      </c>
      <c r="D7" s="125">
        <v>200</v>
      </c>
      <c r="E7" s="127">
        <v>1526.8</v>
      </c>
      <c r="F7" s="128">
        <f>ROUND(((E7/220)*D7),2)</f>
        <v>1388</v>
      </c>
      <c r="G7" s="129">
        <v>0.4</v>
      </c>
      <c r="H7" s="128">
        <f>G7*G26</f>
        <v>607.20000000000005</v>
      </c>
      <c r="I7" s="36">
        <v>0</v>
      </c>
      <c r="J7" s="36">
        <v>0</v>
      </c>
      <c r="K7" s="36"/>
      <c r="L7" s="36">
        <v>0</v>
      </c>
      <c r="M7" s="130">
        <f>F7+H7+L7</f>
        <v>1995.2</v>
      </c>
      <c r="N7" s="128">
        <f>Uniformes!$H$14</f>
        <v>32.54</v>
      </c>
      <c r="O7" s="128">
        <f>ROUND((Materiais!K42/$O$6),2)</f>
        <v>1241.05</v>
      </c>
      <c r="P7" s="128"/>
      <c r="Q7" s="128">
        <f>ROUND((Equipamentos!$G$13/$Q$6),2)</f>
        <v>7.55</v>
      </c>
      <c r="R7" s="131">
        <v>2</v>
      </c>
      <c r="T7" s="123"/>
    </row>
    <row r="8" spans="1:20" s="17" customFormat="1" ht="21" customHeight="1" x14ac:dyDescent="0.3">
      <c r="A8" s="600"/>
      <c r="B8" s="125">
        <v>1</v>
      </c>
      <c r="C8" s="126" t="s">
        <v>627</v>
      </c>
      <c r="D8" s="125">
        <v>200</v>
      </c>
      <c r="E8" s="127">
        <v>1526.8</v>
      </c>
      <c r="F8" s="128">
        <f>ROUND(((E8/220)*D8),2)</f>
        <v>1388</v>
      </c>
      <c r="G8" s="132">
        <v>0</v>
      </c>
      <c r="H8" s="36">
        <v>0</v>
      </c>
      <c r="I8" s="133">
        <v>0.12</v>
      </c>
      <c r="J8" s="503">
        <v>0.25</v>
      </c>
      <c r="K8" s="134">
        <f>F8</f>
        <v>1388</v>
      </c>
      <c r="L8" s="135">
        <f>ROUND((K8*I8*J8),2)</f>
        <v>41.64</v>
      </c>
      <c r="M8" s="130">
        <f>F8+H8+L8</f>
        <v>1429.64</v>
      </c>
      <c r="N8" s="128">
        <f>Uniformes!$H$14+Uniformes!H20</f>
        <v>35.799999999999997</v>
      </c>
      <c r="O8" s="128">
        <f>ROUND((Materiais!K42/$O$6),2)</f>
        <v>1241.05</v>
      </c>
      <c r="P8" s="128">
        <f>Materiais!K54/P6</f>
        <v>80.16</v>
      </c>
      <c r="Q8" s="128">
        <f>ROUND((Equipamentos!$G$13/$Q$6),2)</f>
        <v>7.55</v>
      </c>
      <c r="R8" s="131">
        <v>2</v>
      </c>
      <c r="T8" s="123"/>
    </row>
    <row r="9" spans="1:20" s="17" customFormat="1" ht="24" customHeight="1" x14ac:dyDescent="0.3">
      <c r="A9" s="504" t="s">
        <v>187</v>
      </c>
      <c r="B9" s="125">
        <v>2</v>
      </c>
      <c r="C9" s="126" t="s">
        <v>188</v>
      </c>
      <c r="D9" s="125">
        <v>200</v>
      </c>
      <c r="E9" s="127">
        <v>1914</v>
      </c>
      <c r="F9" s="128">
        <f>ROUND(((E9/220)*D9),2)</f>
        <v>1740</v>
      </c>
      <c r="G9" s="132">
        <v>0</v>
      </c>
      <c r="H9" s="36">
        <v>0</v>
      </c>
      <c r="I9" s="136"/>
      <c r="J9" s="136"/>
      <c r="K9" s="137"/>
      <c r="L9" s="135">
        <f>ROUND((K9*I9*J9),2)</f>
        <v>0</v>
      </c>
      <c r="M9" s="130">
        <f>F9+H9+L9</f>
        <v>1740</v>
      </c>
      <c r="N9" s="128">
        <f>Uniformes!H27</f>
        <v>35.22</v>
      </c>
      <c r="O9" s="128"/>
      <c r="P9" s="128"/>
      <c r="Q9" s="128"/>
      <c r="R9" s="131">
        <v>1</v>
      </c>
      <c r="T9" s="123"/>
    </row>
    <row r="10" spans="1:20" ht="34.5" customHeight="1" x14ac:dyDescent="0.3">
      <c r="A10" s="138" t="s">
        <v>189</v>
      </c>
      <c r="B10" s="2"/>
      <c r="C10" s="2"/>
      <c r="D10" s="138"/>
      <c r="F10" s="138"/>
      <c r="G10" s="138" t="s">
        <v>190</v>
      </c>
      <c r="H10" s="138"/>
      <c r="I10" s="138"/>
      <c r="J10" s="138"/>
      <c r="K10" s="117"/>
      <c r="L10" s="139" t="s">
        <v>191</v>
      </c>
      <c r="M10" s="140">
        <f>SUM(M7:M9)</f>
        <v>5164.84</v>
      </c>
      <c r="N10" s="117"/>
      <c r="O10" s="117"/>
      <c r="P10" s="117"/>
      <c r="Q10" s="117"/>
      <c r="R10" s="117"/>
    </row>
    <row r="11" spans="1:20" ht="24.75" customHeight="1" x14ac:dyDescent="0.3">
      <c r="A11" s="601" t="s">
        <v>192</v>
      </c>
      <c r="B11" s="601"/>
      <c r="C11" s="601"/>
      <c r="D11" s="601"/>
      <c r="E11" s="601"/>
      <c r="F11" s="601"/>
      <c r="G11" s="601"/>
      <c r="N11" s="117"/>
      <c r="O11" s="117"/>
      <c r="P11" s="117"/>
      <c r="Q11" s="117"/>
      <c r="R11" s="117"/>
    </row>
    <row r="12" spans="1:20" ht="24" customHeight="1" x14ac:dyDescent="0.3">
      <c r="A12" s="142">
        <v>1</v>
      </c>
      <c r="B12" s="602" t="s">
        <v>193</v>
      </c>
      <c r="C12" s="602"/>
      <c r="D12" s="602"/>
      <c r="E12" s="603" t="s">
        <v>636</v>
      </c>
      <c r="F12" s="603"/>
      <c r="G12" s="603"/>
      <c r="H12" s="14" t="s">
        <v>637</v>
      </c>
      <c r="N12" s="117"/>
      <c r="O12" s="117"/>
      <c r="P12" s="117"/>
      <c r="Q12" s="117"/>
      <c r="R12" s="50"/>
    </row>
    <row r="13" spans="1:20" ht="24" customHeight="1" x14ac:dyDescent="0.3">
      <c r="A13" s="142">
        <v>2</v>
      </c>
      <c r="B13" s="602" t="s">
        <v>194</v>
      </c>
      <c r="C13" s="602"/>
      <c r="D13" s="602"/>
      <c r="E13" s="603" t="s">
        <v>195</v>
      </c>
      <c r="F13" s="603"/>
      <c r="G13" s="603"/>
      <c r="H13" s="14" t="s">
        <v>196</v>
      </c>
      <c r="N13" s="117"/>
      <c r="O13" s="117"/>
      <c r="P13" s="117"/>
      <c r="Q13" s="117"/>
      <c r="R13" s="50"/>
    </row>
    <row r="14" spans="1:20" ht="24" customHeight="1" x14ac:dyDescent="0.3">
      <c r="A14" s="142">
        <v>3</v>
      </c>
      <c r="B14" s="602" t="s">
        <v>197</v>
      </c>
      <c r="C14" s="602"/>
      <c r="D14" s="602"/>
      <c r="E14" s="603" t="s">
        <v>198</v>
      </c>
      <c r="F14" s="603"/>
      <c r="G14" s="603"/>
      <c r="H14" s="14" t="s">
        <v>638</v>
      </c>
      <c r="N14" s="117"/>
      <c r="O14" s="117"/>
      <c r="P14" s="117"/>
      <c r="Q14" s="117"/>
      <c r="R14" s="50"/>
    </row>
    <row r="15" spans="1:20" ht="24" customHeight="1" x14ac:dyDescent="0.3">
      <c r="A15" s="142">
        <v>4</v>
      </c>
      <c r="B15" s="602" t="s">
        <v>199</v>
      </c>
      <c r="C15" s="602"/>
      <c r="D15" s="602"/>
      <c r="E15" s="604" t="s">
        <v>200</v>
      </c>
      <c r="F15" s="603"/>
      <c r="G15" s="603"/>
      <c r="H15" s="14" t="s">
        <v>639</v>
      </c>
      <c r="N15" s="117"/>
      <c r="O15" s="117"/>
      <c r="P15" s="117"/>
      <c r="Q15" s="117"/>
      <c r="R15" s="50"/>
    </row>
    <row r="16" spans="1:20" ht="24" customHeight="1" x14ac:dyDescent="0.3">
      <c r="A16" s="142">
        <v>5</v>
      </c>
      <c r="B16" s="602" t="s">
        <v>201</v>
      </c>
      <c r="C16" s="602"/>
      <c r="D16" s="602"/>
      <c r="E16" s="603" t="s">
        <v>202</v>
      </c>
      <c r="F16" s="603"/>
      <c r="G16" s="603"/>
      <c r="H16" s="14" t="s">
        <v>640</v>
      </c>
      <c r="N16" s="117"/>
      <c r="O16" s="117"/>
      <c r="P16" s="117"/>
      <c r="Q16" s="117"/>
      <c r="R16" s="50"/>
    </row>
    <row r="17" spans="1:17" s="1" customFormat="1" ht="12.75" customHeight="1" x14ac:dyDescent="0.3">
      <c r="A17" s="143"/>
      <c r="H17" s="14"/>
    </row>
    <row r="18" spans="1:17" s="50" customFormat="1" ht="24.75" customHeight="1" x14ac:dyDescent="0.3">
      <c r="A18" s="601" t="s">
        <v>203</v>
      </c>
      <c r="B18" s="601"/>
      <c r="C18" s="601"/>
      <c r="D18" s="601"/>
      <c r="E18" s="601"/>
      <c r="F18" s="601"/>
      <c r="G18" s="601"/>
      <c r="H18" s="14"/>
      <c r="I18" s="117"/>
      <c r="J18" s="117"/>
      <c r="K18" s="117"/>
      <c r="L18" s="117"/>
      <c r="M18" s="117"/>
      <c r="N18" s="117"/>
      <c r="O18" s="117"/>
      <c r="P18" s="117"/>
      <c r="Q18" s="117"/>
    </row>
    <row r="19" spans="1:17" s="1" customFormat="1" ht="24" customHeight="1" x14ac:dyDescent="0.3">
      <c r="A19" s="142" t="s">
        <v>204</v>
      </c>
      <c r="B19" s="602" t="s">
        <v>205</v>
      </c>
      <c r="C19" s="602"/>
      <c r="D19" s="602"/>
      <c r="E19" s="602"/>
      <c r="F19" s="602"/>
      <c r="G19" s="129">
        <f>Encargos!C57</f>
        <v>0.76400000000000001</v>
      </c>
      <c r="H19" s="14"/>
    </row>
    <row r="20" spans="1:17" s="1" customFormat="1" ht="12.75" customHeight="1" x14ac:dyDescent="0.3">
      <c r="A20" s="143"/>
      <c r="G20" s="2"/>
      <c r="H20" s="14"/>
    </row>
    <row r="21" spans="1:17" s="1" customFormat="1" ht="24.75" customHeight="1" x14ac:dyDescent="0.3">
      <c r="A21" s="88">
        <v>1</v>
      </c>
      <c r="B21" s="602" t="s">
        <v>206</v>
      </c>
      <c r="C21" s="602"/>
      <c r="D21" s="602"/>
      <c r="E21" s="602"/>
      <c r="F21" s="602"/>
      <c r="G21" s="144">
        <f>G22*G23</f>
        <v>0.06</v>
      </c>
      <c r="H21" s="14"/>
    </row>
    <row r="22" spans="1:17" s="1" customFormat="1" ht="24.75" customHeight="1" x14ac:dyDescent="0.3">
      <c r="A22" s="88">
        <v>2</v>
      </c>
      <c r="B22" s="602" t="s">
        <v>207</v>
      </c>
      <c r="C22" s="602"/>
      <c r="D22" s="602"/>
      <c r="E22" s="602"/>
      <c r="F22" s="602"/>
      <c r="G22" s="145">
        <v>0.03</v>
      </c>
      <c r="H22" s="14" t="s">
        <v>208</v>
      </c>
    </row>
    <row r="23" spans="1:17" s="1" customFormat="1" ht="24.75" customHeight="1" x14ac:dyDescent="0.3">
      <c r="A23" s="88">
        <v>3</v>
      </c>
      <c r="B23" s="602" t="s">
        <v>209</v>
      </c>
      <c r="C23" s="602"/>
      <c r="D23" s="602"/>
      <c r="E23" s="602"/>
      <c r="F23" s="602"/>
      <c r="G23" s="146">
        <v>2</v>
      </c>
      <c r="H23" s="14" t="s">
        <v>210</v>
      </c>
    </row>
    <row r="24" spans="1:17" s="1" customFormat="1" ht="12.75" customHeight="1" x14ac:dyDescent="0.3">
      <c r="A24" s="143"/>
      <c r="B24" s="117"/>
      <c r="C24" s="117"/>
      <c r="D24" s="117"/>
      <c r="E24" s="117"/>
      <c r="F24" s="117"/>
      <c r="H24" s="14"/>
    </row>
    <row r="25" spans="1:17" s="1" customFormat="1" ht="24.75" customHeight="1" x14ac:dyDescent="0.3">
      <c r="A25" s="601" t="s">
        <v>211</v>
      </c>
      <c r="B25" s="601"/>
      <c r="C25" s="601"/>
      <c r="D25" s="601"/>
      <c r="E25" s="601"/>
      <c r="F25" s="601"/>
      <c r="G25" s="601"/>
      <c r="H25" s="14"/>
    </row>
    <row r="26" spans="1:17" s="1" customFormat="1" ht="24.75" customHeight="1" x14ac:dyDescent="0.3">
      <c r="A26" s="88">
        <v>1</v>
      </c>
      <c r="B26" s="602" t="s">
        <v>212</v>
      </c>
      <c r="C26" s="602"/>
      <c r="D26" s="602"/>
      <c r="E26" s="602"/>
      <c r="F26" s="602"/>
      <c r="G26" s="127">
        <v>1518</v>
      </c>
      <c r="H26" s="14" t="s">
        <v>213</v>
      </c>
    </row>
    <row r="27" spans="1:17" s="1" customFormat="1" ht="12.75" customHeight="1" x14ac:dyDescent="0.3">
      <c r="A27" s="147"/>
      <c r="B27" s="148"/>
      <c r="C27" s="148"/>
      <c r="D27" s="148"/>
      <c r="E27" s="148"/>
      <c r="F27" s="148"/>
      <c r="G27" s="149"/>
      <c r="H27" s="14"/>
    </row>
    <row r="28" spans="1:17" s="50" customFormat="1" ht="24.75" customHeight="1" x14ac:dyDescent="0.3">
      <c r="A28" s="601" t="s">
        <v>214</v>
      </c>
      <c r="B28" s="601"/>
      <c r="C28" s="601"/>
      <c r="D28" s="601"/>
      <c r="E28" s="601"/>
      <c r="F28" s="601"/>
      <c r="G28" s="601"/>
      <c r="H28" s="14"/>
      <c r="I28" s="1"/>
      <c r="J28" s="1"/>
      <c r="K28" s="117"/>
      <c r="L28" s="117"/>
      <c r="M28" s="117"/>
      <c r="N28" s="117"/>
      <c r="O28" s="117"/>
      <c r="P28" s="117"/>
      <c r="Q28" s="117"/>
    </row>
    <row r="29" spans="1:17" s="1" customFormat="1" ht="26.25" customHeight="1" x14ac:dyDescent="0.3">
      <c r="A29" s="142">
        <v>1</v>
      </c>
      <c r="B29" s="602" t="s">
        <v>215</v>
      </c>
      <c r="C29" s="602"/>
      <c r="D29" s="602"/>
      <c r="E29" s="602"/>
      <c r="F29" s="602"/>
      <c r="G29" s="146">
        <v>7.2</v>
      </c>
      <c r="H29" s="14" t="s">
        <v>216</v>
      </c>
    </row>
    <row r="30" spans="1:17" s="1" customFormat="1" ht="26.25" customHeight="1" x14ac:dyDescent="0.3">
      <c r="A30" s="150">
        <v>2</v>
      </c>
      <c r="B30" s="602" t="s">
        <v>217</v>
      </c>
      <c r="C30" s="602"/>
      <c r="D30" s="602"/>
      <c r="E30" s="602"/>
      <c r="F30" s="602"/>
      <c r="G30" s="146"/>
      <c r="H30" s="14" t="s">
        <v>216</v>
      </c>
    </row>
    <row r="31" spans="1:17" s="1" customFormat="1" ht="26.25" customHeight="1" x14ac:dyDescent="0.3">
      <c r="A31" s="605">
        <v>3</v>
      </c>
      <c r="B31" s="606" t="s">
        <v>218</v>
      </c>
      <c r="C31" s="606"/>
      <c r="D31" s="607" t="s">
        <v>219</v>
      </c>
      <c r="E31" s="607"/>
      <c r="F31" s="607"/>
      <c r="G31" s="151">
        <v>3.5</v>
      </c>
      <c r="H31" s="152" t="s">
        <v>220</v>
      </c>
      <c r="I31" s="117"/>
      <c r="O31" s="52"/>
    </row>
    <row r="32" spans="1:17" s="1" customFormat="1" ht="26.25" customHeight="1" x14ac:dyDescent="0.3">
      <c r="A32" s="605"/>
      <c r="B32" s="606"/>
      <c r="C32" s="606"/>
      <c r="D32" s="607" t="s">
        <v>221</v>
      </c>
      <c r="E32" s="607"/>
      <c r="F32" s="607"/>
      <c r="G32" s="151">
        <v>2</v>
      </c>
      <c r="H32" s="152" t="s">
        <v>222</v>
      </c>
      <c r="I32" s="117"/>
      <c r="O32" s="52"/>
    </row>
    <row r="33" spans="1:17" s="1" customFormat="1" ht="26.25" customHeight="1" x14ac:dyDescent="0.3">
      <c r="A33" s="605"/>
      <c r="B33" s="606"/>
      <c r="C33" s="606"/>
      <c r="D33" s="607" t="s">
        <v>223</v>
      </c>
      <c r="E33" s="607"/>
      <c r="F33" s="607"/>
      <c r="G33" s="153">
        <v>22</v>
      </c>
      <c r="H33" s="14" t="s">
        <v>224</v>
      </c>
      <c r="I33" s="117"/>
      <c r="O33" s="52"/>
    </row>
    <row r="34" spans="1:17" ht="26.25" customHeight="1" x14ac:dyDescent="0.3">
      <c r="A34" s="605"/>
      <c r="B34" s="606"/>
      <c r="C34" s="606"/>
      <c r="D34" s="608" t="s">
        <v>225</v>
      </c>
      <c r="E34" s="608"/>
      <c r="F34" s="608"/>
      <c r="G34" s="154">
        <v>0.06</v>
      </c>
      <c r="H34" s="152" t="s">
        <v>226</v>
      </c>
      <c r="O34" s="52"/>
    </row>
    <row r="35" spans="1:17" s="1" customFormat="1" ht="26.25" customHeight="1" x14ac:dyDescent="0.3">
      <c r="A35" s="605">
        <v>4</v>
      </c>
      <c r="B35" s="606" t="s">
        <v>227</v>
      </c>
      <c r="C35" s="606"/>
      <c r="D35" s="607" t="s">
        <v>228</v>
      </c>
      <c r="E35" s="607"/>
      <c r="F35" s="607"/>
      <c r="G35" s="146">
        <v>27</v>
      </c>
      <c r="H35" s="152" t="s">
        <v>229</v>
      </c>
      <c r="I35" s="117"/>
    </row>
    <row r="36" spans="1:17" ht="26.25" customHeight="1" x14ac:dyDescent="0.3">
      <c r="A36" s="605"/>
      <c r="B36" s="606"/>
      <c r="C36" s="606"/>
      <c r="D36" s="607" t="s">
        <v>223</v>
      </c>
      <c r="E36" s="607"/>
      <c r="F36" s="607"/>
      <c r="G36" s="153">
        <f>G33</f>
        <v>22</v>
      </c>
      <c r="H36" s="14" t="s">
        <v>224</v>
      </c>
      <c r="I36" s="155"/>
      <c r="J36" s="155"/>
      <c r="K36" s="117"/>
      <c r="O36" s="52"/>
    </row>
    <row r="37" spans="1:17" s="1" customFormat="1" ht="26.25" customHeight="1" x14ac:dyDescent="0.3">
      <c r="A37" s="605"/>
      <c r="B37" s="606"/>
      <c r="C37" s="606"/>
      <c r="D37" s="608" t="s">
        <v>225</v>
      </c>
      <c r="E37" s="608"/>
      <c r="F37" s="608"/>
      <c r="G37" s="145">
        <v>0.2</v>
      </c>
      <c r="H37" s="152" t="s">
        <v>226</v>
      </c>
      <c r="O37" s="52"/>
    </row>
    <row r="38" spans="1:17" s="1" customFormat="1" ht="26.25" customHeight="1" x14ac:dyDescent="0.3">
      <c r="A38" s="142">
        <v>5</v>
      </c>
      <c r="B38" s="609" t="s">
        <v>230</v>
      </c>
      <c r="C38" s="609"/>
      <c r="D38" s="609"/>
      <c r="E38" s="609"/>
      <c r="F38" s="609"/>
      <c r="G38" s="146">
        <v>0</v>
      </c>
      <c r="H38" s="14" t="s">
        <v>231</v>
      </c>
      <c r="O38" s="52"/>
    </row>
    <row r="39" spans="1:17" s="1" customFormat="1" ht="26.25" customHeight="1" x14ac:dyDescent="0.3">
      <c r="A39" s="142">
        <v>6</v>
      </c>
      <c r="B39" s="609" t="s">
        <v>230</v>
      </c>
      <c r="C39" s="609"/>
      <c r="D39" s="609"/>
      <c r="E39" s="609"/>
      <c r="F39" s="609"/>
      <c r="G39" s="146">
        <v>0</v>
      </c>
      <c r="H39" s="14" t="s">
        <v>231</v>
      </c>
    </row>
    <row r="40" spans="1:17" s="1" customFormat="1" ht="12.75" customHeight="1" x14ac:dyDescent="0.3">
      <c r="H40" s="14"/>
    </row>
    <row r="41" spans="1:17" s="50" customFormat="1" ht="24.75" customHeight="1" x14ac:dyDescent="0.3">
      <c r="A41" s="601" t="s">
        <v>232</v>
      </c>
      <c r="B41" s="601"/>
      <c r="C41" s="601"/>
      <c r="D41" s="601"/>
      <c r="E41" s="601"/>
      <c r="F41" s="601"/>
      <c r="G41" s="601"/>
      <c r="H41" s="14"/>
      <c r="I41" s="117"/>
      <c r="J41" s="117"/>
      <c r="K41" s="117"/>
      <c r="L41" s="117"/>
      <c r="M41" s="117"/>
      <c r="N41" s="117"/>
      <c r="O41" s="117"/>
      <c r="P41" s="117"/>
      <c r="Q41" s="117"/>
    </row>
    <row r="42" spans="1:17" s="1" customFormat="1" ht="24.75" customHeight="1" x14ac:dyDescent="0.3">
      <c r="A42" s="142">
        <v>1</v>
      </c>
      <c r="B42" s="602" t="s">
        <v>233</v>
      </c>
      <c r="C42" s="602"/>
      <c r="D42" s="602"/>
      <c r="E42" s="602"/>
      <c r="F42" s="602"/>
      <c r="G42" s="145">
        <v>0.03</v>
      </c>
      <c r="H42" s="14" t="s">
        <v>234</v>
      </c>
    </row>
    <row r="43" spans="1:17" s="1" customFormat="1" ht="24.75" customHeight="1" x14ac:dyDescent="0.3">
      <c r="A43" s="142">
        <v>2</v>
      </c>
      <c r="B43" s="602" t="s">
        <v>235</v>
      </c>
      <c r="C43" s="602"/>
      <c r="D43" s="602"/>
      <c r="E43" s="602"/>
      <c r="F43" s="602"/>
      <c r="G43" s="145">
        <v>6.7900000000000002E-2</v>
      </c>
      <c r="H43" s="14" t="s">
        <v>234</v>
      </c>
    </row>
    <row r="44" spans="1:17" s="1" customFormat="1" ht="12.75" customHeight="1" x14ac:dyDescent="0.3">
      <c r="H44" s="14"/>
    </row>
    <row r="45" spans="1:17" s="50" customFormat="1" ht="24.75" customHeight="1" x14ac:dyDescent="0.3">
      <c r="A45" s="601" t="s">
        <v>236</v>
      </c>
      <c r="B45" s="601"/>
      <c r="C45" s="601"/>
      <c r="D45" s="601"/>
      <c r="E45" s="601"/>
      <c r="F45" s="601"/>
      <c r="G45" s="601"/>
      <c r="H45" s="14"/>
      <c r="I45" s="117"/>
      <c r="J45" s="117"/>
      <c r="K45" s="117"/>
      <c r="L45" s="117"/>
      <c r="M45" s="117"/>
      <c r="N45" s="117"/>
      <c r="O45" s="117"/>
      <c r="P45" s="117"/>
      <c r="Q45" s="117"/>
    </row>
    <row r="46" spans="1:17" s="50" customFormat="1" ht="24.75" customHeight="1" x14ac:dyDescent="0.3">
      <c r="A46" s="598" t="s">
        <v>237</v>
      </c>
      <c r="B46" s="598"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598"/>
      <c r="D46" s="598"/>
      <c r="E46" s="598"/>
      <c r="F46" s="598"/>
      <c r="G46" s="598"/>
      <c r="H46" s="14"/>
      <c r="I46" s="117"/>
      <c r="J46" s="117"/>
      <c r="K46" s="117"/>
      <c r="L46" s="117"/>
      <c r="M46" s="117"/>
      <c r="N46" s="117"/>
      <c r="O46" s="117"/>
      <c r="P46" s="117"/>
      <c r="Q46" s="117"/>
    </row>
    <row r="47" spans="1:17" s="50" customFormat="1" ht="24.75" customHeight="1" x14ac:dyDescent="0.3">
      <c r="A47" s="598"/>
      <c r="B47" s="598"/>
      <c r="C47" s="598"/>
      <c r="D47" s="598"/>
      <c r="E47" s="598"/>
      <c r="F47" s="598"/>
      <c r="G47" s="598"/>
      <c r="H47" s="14"/>
      <c r="I47" s="117"/>
      <c r="J47" s="117"/>
      <c r="K47" s="117"/>
      <c r="L47" s="117"/>
      <c r="M47" s="117"/>
      <c r="N47" s="117"/>
      <c r="O47" s="117"/>
      <c r="P47" s="117"/>
      <c r="Q47" s="117"/>
    </row>
    <row r="48" spans="1:17" s="50" customFormat="1" ht="24.75" customHeight="1" x14ac:dyDescent="0.3">
      <c r="A48" s="598"/>
      <c r="B48" s="598"/>
      <c r="C48" s="598"/>
      <c r="D48" s="598"/>
      <c r="E48" s="598"/>
      <c r="F48" s="598"/>
      <c r="G48" s="598"/>
      <c r="H48" s="14"/>
      <c r="I48" s="117"/>
      <c r="J48" s="117"/>
      <c r="K48" s="117"/>
      <c r="L48" s="117"/>
      <c r="M48" s="117"/>
      <c r="N48" s="117"/>
      <c r="O48" s="117"/>
      <c r="P48" s="117"/>
      <c r="Q48" s="117"/>
    </row>
    <row r="49" spans="1:17" s="1" customFormat="1" ht="24" customHeight="1" x14ac:dyDescent="0.3">
      <c r="A49" s="142">
        <v>1</v>
      </c>
      <c r="B49" s="602" t="s">
        <v>238</v>
      </c>
      <c r="C49" s="602"/>
      <c r="D49" s="602"/>
      <c r="E49" s="602"/>
      <c r="F49" s="610" t="s">
        <v>239</v>
      </c>
      <c r="G49" s="610"/>
      <c r="H49" s="14" t="s">
        <v>240</v>
      </c>
      <c r="Q49" s="156"/>
    </row>
    <row r="50" spans="1:17" s="1" customFormat="1" ht="24" customHeight="1" x14ac:dyDescent="0.3">
      <c r="A50" s="142">
        <v>2</v>
      </c>
      <c r="B50" s="602" t="s">
        <v>241</v>
      </c>
      <c r="C50" s="602"/>
      <c r="D50" s="602"/>
      <c r="E50" s="602"/>
      <c r="F50" s="602"/>
      <c r="G50" s="145">
        <v>7.5999999999999998E-2</v>
      </c>
      <c r="H50" s="14" t="s">
        <v>242</v>
      </c>
    </row>
    <row r="51" spans="1:17" s="1" customFormat="1" ht="24" customHeight="1" x14ac:dyDescent="0.3">
      <c r="A51" s="142">
        <v>3</v>
      </c>
      <c r="B51" s="602" t="s">
        <v>243</v>
      </c>
      <c r="C51" s="602"/>
      <c r="D51" s="602"/>
      <c r="E51" s="602"/>
      <c r="F51" s="602"/>
      <c r="G51" s="145">
        <v>1.6500000000000001E-2</v>
      </c>
      <c r="H51" s="14" t="s">
        <v>242</v>
      </c>
    </row>
    <row r="52" spans="1:17" s="1" customFormat="1" ht="24" customHeight="1" x14ac:dyDescent="0.3">
      <c r="A52" s="142">
        <v>4</v>
      </c>
      <c r="B52" s="602" t="s">
        <v>244</v>
      </c>
      <c r="C52" s="602"/>
      <c r="D52" s="602"/>
      <c r="E52" s="602"/>
      <c r="F52" s="602"/>
      <c r="G52" s="145">
        <v>0.03</v>
      </c>
      <c r="H52" s="14" t="s">
        <v>245</v>
      </c>
    </row>
    <row r="53" spans="1:17" s="1" customFormat="1" ht="24" customHeight="1" x14ac:dyDescent="0.3">
      <c r="A53" s="142">
        <v>5</v>
      </c>
      <c r="B53" s="609" t="s">
        <v>230</v>
      </c>
      <c r="C53" s="609"/>
      <c r="D53" s="609"/>
      <c r="E53" s="609"/>
      <c r="F53" s="609"/>
      <c r="G53" s="145">
        <v>0</v>
      </c>
      <c r="H53" s="14" t="s">
        <v>246</v>
      </c>
    </row>
    <row r="54" spans="1:17" s="1" customFormat="1" ht="21.75" customHeight="1" x14ac:dyDescent="0.3">
      <c r="A54" s="142">
        <v>6</v>
      </c>
      <c r="B54" s="602" t="s">
        <v>247</v>
      </c>
      <c r="C54" s="602"/>
      <c r="D54" s="602"/>
      <c r="E54" s="602"/>
      <c r="F54" s="602"/>
      <c r="G54" s="129">
        <f>SUM(G50:G53)</f>
        <v>0.1225</v>
      </c>
      <c r="H54" s="14"/>
    </row>
    <row r="55" spans="1:17" ht="12.75" customHeight="1" x14ac:dyDescent="0.3"/>
    <row r="56" spans="1:17" s="1" customFormat="1" x14ac:dyDescent="0.3"/>
    <row r="57" spans="1:17" hidden="1" x14ac:dyDescent="0.3"/>
    <row r="58" spans="1:17" ht="66.75" hidden="1" customHeight="1" x14ac:dyDescent="0.3">
      <c r="A58" s="611" t="s">
        <v>248</v>
      </c>
      <c r="B58" s="611"/>
      <c r="C58" s="611"/>
      <c r="D58" s="611"/>
      <c r="E58" s="611"/>
      <c r="F58" s="611"/>
      <c r="G58" s="611"/>
      <c r="H58" s="611"/>
      <c r="I58" s="157" t="s">
        <v>249</v>
      </c>
      <c r="J58" s="122" t="s">
        <v>250</v>
      </c>
      <c r="K58" s="141" t="s">
        <v>249</v>
      </c>
      <c r="L58" s="141" t="s">
        <v>251</v>
      </c>
      <c r="M58" s="158" t="s">
        <v>252</v>
      </c>
      <c r="N58" s="122" t="s">
        <v>253</v>
      </c>
      <c r="O58" s="122" t="s">
        <v>254</v>
      </c>
      <c r="P58" s="159"/>
      <c r="Q58" s="159"/>
    </row>
    <row r="59" spans="1:17" ht="15" hidden="1" customHeight="1" x14ac:dyDescent="0.3">
      <c r="A59" s="605" t="s">
        <v>255</v>
      </c>
      <c r="B59" s="605"/>
      <c r="C59" s="142" t="s">
        <v>256</v>
      </c>
      <c r="D59" s="160">
        <f>IPCA!G23</f>
        <v>0</v>
      </c>
      <c r="E59" s="606" t="s">
        <v>257</v>
      </c>
      <c r="F59" s="606"/>
      <c r="G59" s="606"/>
      <c r="H59" s="606"/>
      <c r="I59" s="161" t="s">
        <v>258</v>
      </c>
      <c r="J59" s="162" t="s">
        <v>258</v>
      </c>
      <c r="K59" s="162" t="s">
        <v>258</v>
      </c>
      <c r="L59" s="162" t="s">
        <v>258</v>
      </c>
      <c r="M59" s="163">
        <f>ROUND((100%+D59),2)</f>
        <v>1</v>
      </c>
      <c r="N59" s="164"/>
      <c r="O59" s="165"/>
      <c r="P59" s="166"/>
      <c r="Q59" s="167"/>
    </row>
    <row r="60" spans="1:17" ht="15" hidden="1" customHeight="1" x14ac:dyDescent="0.3">
      <c r="A60" s="605" t="s">
        <v>259</v>
      </c>
      <c r="B60" s="605"/>
      <c r="C60" s="142" t="s">
        <v>256</v>
      </c>
      <c r="D60" s="160">
        <f>IPCA!N23</f>
        <v>0</v>
      </c>
      <c r="E60" s="606" t="s">
        <v>257</v>
      </c>
      <c r="F60" s="606"/>
      <c r="G60" s="606"/>
      <c r="H60" s="606"/>
      <c r="I60" s="161" t="s">
        <v>258</v>
      </c>
      <c r="J60" s="162" t="s">
        <v>258</v>
      </c>
      <c r="K60" s="162" t="s">
        <v>258</v>
      </c>
      <c r="L60" s="162" t="s">
        <v>258</v>
      </c>
      <c r="M60" s="163">
        <f>ROUND((100%+D60),2)</f>
        <v>1</v>
      </c>
      <c r="N60" s="164"/>
      <c r="O60" s="165"/>
      <c r="P60" s="166"/>
      <c r="Q60" s="167"/>
    </row>
    <row r="61" spans="1:17" ht="15" hidden="1" customHeight="1" x14ac:dyDescent="0.3">
      <c r="A61" s="605" t="s">
        <v>260</v>
      </c>
      <c r="B61" s="605"/>
      <c r="C61" s="142" t="s">
        <v>256</v>
      </c>
      <c r="D61" s="160">
        <f>IPCA!U23</f>
        <v>0</v>
      </c>
      <c r="E61" s="606" t="s">
        <v>257</v>
      </c>
      <c r="F61" s="606"/>
      <c r="G61" s="606"/>
      <c r="H61" s="606"/>
      <c r="I61" s="161" t="s">
        <v>258</v>
      </c>
      <c r="J61" s="162" t="s">
        <v>258</v>
      </c>
      <c r="K61" s="162" t="s">
        <v>258</v>
      </c>
      <c r="L61" s="162" t="s">
        <v>258</v>
      </c>
      <c r="M61" s="163">
        <f>ROUND((100%+D61),2)</f>
        <v>1</v>
      </c>
      <c r="N61" s="164"/>
      <c r="O61" s="165"/>
      <c r="P61" s="166"/>
      <c r="Q61" s="167"/>
    </row>
    <row r="62" spans="1:17" ht="15" hidden="1" customHeight="1" x14ac:dyDescent="0.3">
      <c r="A62" s="605" t="s">
        <v>261</v>
      </c>
      <c r="B62" s="605"/>
      <c r="C62" s="142" t="s">
        <v>256</v>
      </c>
      <c r="D62" s="160">
        <f>IPCA!AB23</f>
        <v>0</v>
      </c>
      <c r="E62" s="606" t="s">
        <v>257</v>
      </c>
      <c r="F62" s="606"/>
      <c r="G62" s="606"/>
      <c r="H62" s="606"/>
      <c r="I62" s="161" t="s">
        <v>258</v>
      </c>
      <c r="J62" s="162" t="s">
        <v>258</v>
      </c>
      <c r="K62" s="162" t="s">
        <v>258</v>
      </c>
      <c r="L62" s="162" t="s">
        <v>258</v>
      </c>
      <c r="M62" s="163">
        <f>ROUND((100%+D62),2)</f>
        <v>1</v>
      </c>
      <c r="N62" s="164"/>
      <c r="O62" s="165"/>
      <c r="P62" s="166"/>
      <c r="Q62" s="167"/>
    </row>
    <row r="63" spans="1:17" ht="15" hidden="1" customHeight="1" x14ac:dyDescent="0.3">
      <c r="A63" s="605" t="s">
        <v>262</v>
      </c>
      <c r="B63" s="605"/>
      <c r="C63" s="142" t="s">
        <v>256</v>
      </c>
      <c r="D63" s="160">
        <f>IPCA!AI23</f>
        <v>0</v>
      </c>
      <c r="E63" s="606" t="s">
        <v>257</v>
      </c>
      <c r="F63" s="606"/>
      <c r="G63" s="606"/>
      <c r="H63" s="606"/>
      <c r="I63" s="161" t="s">
        <v>258</v>
      </c>
      <c r="J63" s="162" t="s">
        <v>258</v>
      </c>
      <c r="K63" s="162" t="s">
        <v>258</v>
      </c>
      <c r="L63" s="162" t="s">
        <v>258</v>
      </c>
      <c r="M63" s="163">
        <f>ROUND((100%+D63),2)</f>
        <v>1</v>
      </c>
      <c r="N63" s="164"/>
      <c r="O63" s="165"/>
      <c r="P63" s="166"/>
      <c r="Q63" s="167"/>
    </row>
    <row r="64" spans="1:17" hidden="1" x14ac:dyDescent="0.3">
      <c r="B64" s="168"/>
      <c r="C64" s="168"/>
      <c r="D64" s="168"/>
      <c r="E64" s="168"/>
    </row>
    <row r="65" spans="1:11" ht="30" hidden="1" customHeight="1" x14ac:dyDescent="0.3">
      <c r="A65" s="598" t="s">
        <v>263</v>
      </c>
      <c r="B65" s="598"/>
      <c r="C65" s="598"/>
      <c r="D65" s="169" t="s">
        <v>264</v>
      </c>
      <c r="E65" s="168"/>
    </row>
    <row r="66" spans="1:11" ht="15.75" hidden="1" customHeight="1" x14ac:dyDescent="0.3">
      <c r="A66" s="598"/>
      <c r="B66" s="598"/>
      <c r="C66" s="598"/>
      <c r="D66" s="162" t="s">
        <v>265</v>
      </c>
      <c r="E66" s="168"/>
    </row>
    <row r="67" spans="1:11" ht="30" hidden="1" customHeight="1" x14ac:dyDescent="0.3">
      <c r="A67" s="598" t="s">
        <v>266</v>
      </c>
      <c r="B67" s="598"/>
      <c r="C67" s="598"/>
      <c r="D67" s="169" t="s">
        <v>264</v>
      </c>
      <c r="E67" s="168"/>
    </row>
    <row r="68" spans="1:11" ht="15.75" hidden="1" customHeight="1" x14ac:dyDescent="0.3">
      <c r="A68" s="598"/>
      <c r="B68" s="598"/>
      <c r="C68" s="598"/>
      <c r="D68" s="162" t="s">
        <v>265</v>
      </c>
      <c r="E68" s="168"/>
    </row>
    <row r="69" spans="1:11" ht="30" hidden="1" customHeight="1" x14ac:dyDescent="0.3">
      <c r="A69" s="598" t="s">
        <v>267</v>
      </c>
      <c r="B69" s="598"/>
      <c r="C69" s="598"/>
      <c r="D69" s="169" t="s">
        <v>264</v>
      </c>
      <c r="E69" s="168"/>
    </row>
    <row r="70" spans="1:11" ht="15.75" hidden="1" customHeight="1" x14ac:dyDescent="0.3">
      <c r="A70" s="598"/>
      <c r="B70" s="598"/>
      <c r="C70" s="598"/>
      <c r="D70" s="162" t="s">
        <v>265</v>
      </c>
      <c r="E70" s="168"/>
    </row>
    <row r="71" spans="1:11" ht="42.75" hidden="1" customHeight="1" x14ac:dyDescent="0.3">
      <c r="A71" s="598" t="s">
        <v>268</v>
      </c>
      <c r="B71" s="598"/>
      <c r="C71" s="598"/>
      <c r="D71" s="169" t="s">
        <v>264</v>
      </c>
      <c r="E71" s="170" t="s">
        <v>269</v>
      </c>
      <c r="F71" s="169" t="s">
        <v>270</v>
      </c>
      <c r="G71" s="169" t="s">
        <v>271</v>
      </c>
      <c r="H71" s="171" t="s">
        <v>272</v>
      </c>
      <c r="I71" s="172" t="s">
        <v>273</v>
      </c>
      <c r="J71" s="169" t="s">
        <v>274</v>
      </c>
      <c r="K71" s="168" t="s">
        <v>275</v>
      </c>
    </row>
    <row r="72" spans="1:11" ht="15.75" hidden="1" customHeight="1" x14ac:dyDescent="0.3">
      <c r="A72" s="598"/>
      <c r="B72" s="598"/>
      <c r="C72" s="598"/>
      <c r="D72" s="162" t="s">
        <v>265</v>
      </c>
      <c r="E72" s="173">
        <f>G29</f>
        <v>7.2</v>
      </c>
      <c r="F72" s="174">
        <f>ROUND(IF(Dados!$M$59="SIM",E72*Dados!$N$59,E72),2)</f>
        <v>7.2</v>
      </c>
      <c r="G72" s="174">
        <f>ROUND(IF(Dados!$M$60="SIM",F72*Dados!$N$60,F72),2)</f>
        <v>7.2</v>
      </c>
      <c r="H72" s="175">
        <f>ROUND(IF(Dados!$M$61="SIM",G72*Dados!$N$61,G72),2)</f>
        <v>7.2</v>
      </c>
      <c r="I72" s="176">
        <f>ROUND(IF(Dados!$M$62="SIM",H72*Dados!$N$62,H72),2)</f>
        <v>7.2</v>
      </c>
      <c r="J72" s="174">
        <f>ROUND(IF(Dados!$M$63="SIM",I72*Dados!$N$63,I72),2)</f>
        <v>7.2</v>
      </c>
      <c r="K72" s="2">
        <f>IF(D72="INICIAL",E72,IF(D72="1º IPCA",F72,IF(D72="2º IPCA",G72,IF(D72="3º IPCA",H72,IF(D72="4º IPCA",I72,IF(D72="5º IPCA",J72,))))))</f>
        <v>7.2</v>
      </c>
    </row>
    <row r="73" spans="1:11" hidden="1" x14ac:dyDescent="0.3">
      <c r="E73" s="168"/>
    </row>
    <row r="74" spans="1:11" ht="15.75" hidden="1" customHeight="1" x14ac:dyDescent="0.3">
      <c r="A74" s="612" t="s">
        <v>276</v>
      </c>
      <c r="B74" s="612"/>
      <c r="C74" s="612"/>
      <c r="D74" s="612"/>
      <c r="E74" s="612"/>
      <c r="F74" s="612"/>
      <c r="G74" s="612"/>
      <c r="H74" s="612"/>
    </row>
    <row r="75" spans="1:11" hidden="1" x14ac:dyDescent="0.3">
      <c r="A75" s="613" t="s">
        <v>277</v>
      </c>
      <c r="B75" s="613"/>
      <c r="C75" s="613"/>
      <c r="D75" s="613"/>
      <c r="E75" s="613"/>
      <c r="F75" s="614" t="s">
        <v>278</v>
      </c>
      <c r="G75" s="614"/>
      <c r="H75" s="177"/>
    </row>
    <row r="76" spans="1:11" ht="43.5" hidden="1" customHeight="1" x14ac:dyDescent="0.3">
      <c r="A76" s="615" t="s">
        <v>279</v>
      </c>
      <c r="B76" s="615"/>
      <c r="C76" s="615"/>
      <c r="D76" s="615"/>
      <c r="E76" s="615"/>
      <c r="F76" s="615"/>
      <c r="G76" s="615"/>
      <c r="H76" s="615"/>
    </row>
    <row r="77" spans="1:11" hidden="1" x14ac:dyDescent="0.3">
      <c r="A77" s="613" t="s">
        <v>280</v>
      </c>
      <c r="B77" s="613"/>
      <c r="C77" s="613"/>
      <c r="D77" s="613"/>
      <c r="E77" s="613"/>
      <c r="F77" s="614" t="s">
        <v>278</v>
      </c>
      <c r="G77" s="614"/>
      <c r="H77" s="177"/>
    </row>
    <row r="78" spans="1:11" ht="43.5" hidden="1" customHeight="1" x14ac:dyDescent="0.3">
      <c r="A78" s="616" t="s">
        <v>281</v>
      </c>
      <c r="B78" s="616"/>
      <c r="C78" s="616"/>
      <c r="D78" s="616"/>
      <c r="E78" s="616"/>
      <c r="F78" s="616"/>
      <c r="G78" s="616"/>
      <c r="H78" s="616"/>
    </row>
    <row r="79" spans="1:11" hidden="1" x14ac:dyDescent="0.3">
      <c r="A79" s="613" t="s">
        <v>282</v>
      </c>
      <c r="B79" s="613"/>
      <c r="C79" s="613"/>
      <c r="D79" s="613"/>
      <c r="E79" s="613"/>
      <c r="F79" s="614" t="s">
        <v>278</v>
      </c>
      <c r="G79" s="614"/>
      <c r="H79" s="177"/>
    </row>
    <row r="80" spans="1:11" ht="43.5" hidden="1" customHeight="1" x14ac:dyDescent="0.3">
      <c r="A80" s="615" t="s">
        <v>283</v>
      </c>
      <c r="B80" s="615"/>
      <c r="C80" s="615"/>
      <c r="D80" s="615"/>
      <c r="E80" s="615"/>
      <c r="F80" s="615"/>
      <c r="G80" s="615"/>
      <c r="H80" s="615"/>
    </row>
    <row r="81" spans="1:8" hidden="1" x14ac:dyDescent="0.3">
      <c r="A81" s="617" t="s">
        <v>284</v>
      </c>
      <c r="B81" s="617"/>
      <c r="C81" s="617"/>
      <c r="D81" s="617"/>
      <c r="E81" s="617"/>
      <c r="F81" s="614" t="s">
        <v>278</v>
      </c>
      <c r="G81" s="614"/>
      <c r="H81" s="178"/>
    </row>
    <row r="82" spans="1:8" ht="43.5" hidden="1" customHeight="1" x14ac:dyDescent="0.3">
      <c r="A82" s="615" t="s">
        <v>285</v>
      </c>
      <c r="B82" s="615"/>
      <c r="C82" s="615"/>
      <c r="D82" s="615"/>
      <c r="E82" s="615"/>
      <c r="F82" s="615"/>
      <c r="G82" s="615"/>
      <c r="H82" s="615"/>
    </row>
    <row r="83" spans="1:8" hidden="1" x14ac:dyDescent="0.3">
      <c r="A83" s="179"/>
    </row>
    <row r="84" spans="1:8" x14ac:dyDescent="0.3">
      <c r="A84" s="179"/>
    </row>
    <row r="85" spans="1:8" x14ac:dyDescent="0.3">
      <c r="A85" s="179"/>
    </row>
    <row r="86" spans="1:8" x14ac:dyDescent="0.3">
      <c r="A86" s="179"/>
    </row>
    <row r="87" spans="1:8" x14ac:dyDescent="0.3">
      <c r="A87" s="179"/>
    </row>
    <row r="88" spans="1:8" x14ac:dyDescent="0.3">
      <c r="A88" s="179"/>
    </row>
    <row r="89" spans="1:8" x14ac:dyDescent="0.3">
      <c r="A89" s="179"/>
    </row>
    <row r="90" spans="1:8" x14ac:dyDescent="0.3">
      <c r="A90" s="179"/>
    </row>
    <row r="91" spans="1:8" x14ac:dyDescent="0.3">
      <c r="A91" s="179"/>
    </row>
    <row r="92" spans="1:8" x14ac:dyDescent="0.3">
      <c r="A92" s="179"/>
    </row>
    <row r="93" spans="1:8" x14ac:dyDescent="0.3">
      <c r="A93" s="179"/>
    </row>
    <row r="94" spans="1:8" x14ac:dyDescent="0.3">
      <c r="A94" s="179"/>
    </row>
    <row r="95" spans="1:8" x14ac:dyDescent="0.3">
      <c r="A95" s="179"/>
    </row>
    <row r="96" spans="1:8" x14ac:dyDescent="0.3">
      <c r="A96" s="179"/>
    </row>
    <row r="97" spans="1:1" x14ac:dyDescent="0.3">
      <c r="A97" s="179"/>
    </row>
    <row r="98" spans="1:1" x14ac:dyDescent="0.3">
      <c r="A98" s="179"/>
    </row>
    <row r="99" spans="1:1" x14ac:dyDescent="0.3">
      <c r="A99" s="179"/>
    </row>
    <row r="100" spans="1:1" x14ac:dyDescent="0.3">
      <c r="A100" s="179"/>
    </row>
    <row r="101" spans="1:1" x14ac:dyDescent="0.3">
      <c r="A101" s="179"/>
    </row>
    <row r="102" spans="1:1" x14ac:dyDescent="0.3">
      <c r="A102" s="179"/>
    </row>
    <row r="103" spans="1:1" x14ac:dyDescent="0.3">
      <c r="A103" s="179"/>
    </row>
    <row r="104" spans="1:1" x14ac:dyDescent="0.3">
      <c r="A104" s="179"/>
    </row>
    <row r="105" spans="1:1" x14ac:dyDescent="0.3">
      <c r="A105" s="179"/>
    </row>
    <row r="106" spans="1:1" x14ac:dyDescent="0.3">
      <c r="A106" s="179"/>
    </row>
    <row r="107" spans="1:1" x14ac:dyDescent="0.3">
      <c r="A107" s="179"/>
    </row>
    <row r="108" spans="1:1" x14ac:dyDescent="0.3">
      <c r="A108" s="179"/>
    </row>
    <row r="109" spans="1:1" x14ac:dyDescent="0.3">
      <c r="A109" s="179"/>
    </row>
    <row r="110" spans="1:1" x14ac:dyDescent="0.3">
      <c r="A110" s="179"/>
    </row>
    <row r="111" spans="1:1" x14ac:dyDescent="0.3">
      <c r="A111" s="179"/>
    </row>
    <row r="112" spans="1:1" x14ac:dyDescent="0.3">
      <c r="A112" s="179"/>
    </row>
    <row r="113" spans="1:1" x14ac:dyDescent="0.3">
      <c r="A113" s="179"/>
    </row>
    <row r="114" spans="1:1" x14ac:dyDescent="0.3">
      <c r="A114" s="179"/>
    </row>
    <row r="115" spans="1:1" x14ac:dyDescent="0.3">
      <c r="A115" s="179"/>
    </row>
    <row r="116" spans="1:1" x14ac:dyDescent="0.3">
      <c r="A116" s="179"/>
    </row>
    <row r="117" spans="1:1" x14ac:dyDescent="0.3">
      <c r="A117" s="179"/>
    </row>
    <row r="118" spans="1:1" x14ac:dyDescent="0.3">
      <c r="A118" s="179"/>
    </row>
    <row r="119" spans="1:1" x14ac:dyDescent="0.3">
      <c r="A119" s="179"/>
    </row>
    <row r="120" spans="1:1" x14ac:dyDescent="0.3">
      <c r="A120" s="179"/>
    </row>
    <row r="121" spans="1:1" x14ac:dyDescent="0.3">
      <c r="A121" s="179"/>
    </row>
    <row r="122" spans="1:1" x14ac:dyDescent="0.3">
      <c r="A122" s="179"/>
    </row>
    <row r="123" spans="1:1" x14ac:dyDescent="0.3">
      <c r="A123" s="179"/>
    </row>
    <row r="124" spans="1:1" x14ac:dyDescent="0.3">
      <c r="A124" s="179"/>
    </row>
    <row r="125" spans="1:1" x14ac:dyDescent="0.3">
      <c r="A125" s="179"/>
    </row>
    <row r="126" spans="1:1" x14ac:dyDescent="0.3">
      <c r="A126" s="179"/>
    </row>
    <row r="127" spans="1:1" x14ac:dyDescent="0.3">
      <c r="A127" s="179"/>
    </row>
    <row r="128" spans="1:1" x14ac:dyDescent="0.3">
      <c r="A128" s="179"/>
    </row>
    <row r="129" spans="1:1" x14ac:dyDescent="0.3">
      <c r="A129" s="179"/>
    </row>
    <row r="130" spans="1:1" x14ac:dyDescent="0.3">
      <c r="A130" s="179"/>
    </row>
    <row r="131" spans="1:1" x14ac:dyDescent="0.3">
      <c r="A131" s="179"/>
    </row>
    <row r="132" spans="1:1" x14ac:dyDescent="0.3">
      <c r="A132" s="179"/>
    </row>
    <row r="133" spans="1:1" x14ac:dyDescent="0.3">
      <c r="A133" s="179"/>
    </row>
    <row r="134" spans="1:1" x14ac:dyDescent="0.3">
      <c r="A134" s="179"/>
    </row>
    <row r="135" spans="1:1" x14ac:dyDescent="0.3">
      <c r="A135" s="179"/>
    </row>
    <row r="136" spans="1:1" x14ac:dyDescent="0.3">
      <c r="A136" s="179"/>
    </row>
    <row r="137" spans="1:1" x14ac:dyDescent="0.3">
      <c r="A137" s="179"/>
    </row>
    <row r="138" spans="1:1" x14ac:dyDescent="0.3">
      <c r="A138" s="179"/>
    </row>
    <row r="139" spans="1:1" x14ac:dyDescent="0.3">
      <c r="A139" s="179"/>
    </row>
    <row r="140" spans="1:1" x14ac:dyDescent="0.3">
      <c r="A140" s="179"/>
    </row>
    <row r="141" spans="1:1" x14ac:dyDescent="0.3">
      <c r="A141" s="179"/>
    </row>
    <row r="142" spans="1:1" x14ac:dyDescent="0.3">
      <c r="A142" s="179"/>
    </row>
    <row r="143" spans="1:1" x14ac:dyDescent="0.3">
      <c r="A143" s="179"/>
    </row>
    <row r="144" spans="1:1" x14ac:dyDescent="0.3">
      <c r="A144" s="179"/>
    </row>
    <row r="145" spans="1:1" x14ac:dyDescent="0.3">
      <c r="A145" s="179"/>
    </row>
    <row r="146" spans="1:1" x14ac:dyDescent="0.3">
      <c r="A146" s="179"/>
    </row>
    <row r="147" spans="1:1" x14ac:dyDescent="0.3">
      <c r="A147" s="179"/>
    </row>
    <row r="148" spans="1:1" x14ac:dyDescent="0.3">
      <c r="A148" s="179"/>
    </row>
    <row r="149" spans="1:1" x14ac:dyDescent="0.3">
      <c r="A149" s="179"/>
    </row>
    <row r="150" spans="1:1" x14ac:dyDescent="0.3">
      <c r="A150" s="179"/>
    </row>
    <row r="151" spans="1:1" x14ac:dyDescent="0.3">
      <c r="A151" s="179"/>
    </row>
    <row r="152" spans="1:1" x14ac:dyDescent="0.3">
      <c r="A152" s="179"/>
    </row>
    <row r="153" spans="1:1" x14ac:dyDescent="0.3">
      <c r="A153" s="179"/>
    </row>
    <row r="154" spans="1:1" x14ac:dyDescent="0.3">
      <c r="A154" s="179"/>
    </row>
    <row r="155" spans="1:1" x14ac:dyDescent="0.3">
      <c r="A155" s="179"/>
    </row>
    <row r="156" spans="1:1" x14ac:dyDescent="0.3">
      <c r="A156" s="179"/>
    </row>
    <row r="157" spans="1:1" x14ac:dyDescent="0.3">
      <c r="A157" s="179"/>
    </row>
    <row r="158" spans="1:1" x14ac:dyDescent="0.3">
      <c r="A158" s="179"/>
    </row>
    <row r="159" spans="1:1" x14ac:dyDescent="0.3">
      <c r="A159" s="179"/>
    </row>
    <row r="160" spans="1:1" x14ac:dyDescent="0.3">
      <c r="A160" s="179"/>
    </row>
    <row r="161" spans="1:1" x14ac:dyDescent="0.3">
      <c r="A161" s="179"/>
    </row>
    <row r="162" spans="1:1" x14ac:dyDescent="0.3">
      <c r="A162" s="179"/>
    </row>
    <row r="163" spans="1:1" x14ac:dyDescent="0.3">
      <c r="A163" s="179"/>
    </row>
    <row r="164" spans="1:1" x14ac:dyDescent="0.3">
      <c r="A164" s="179"/>
    </row>
    <row r="165" spans="1:1" x14ac:dyDescent="0.3">
      <c r="A165" s="179"/>
    </row>
    <row r="166" spans="1:1" x14ac:dyDescent="0.3">
      <c r="A166" s="179"/>
    </row>
    <row r="167" spans="1:1" x14ac:dyDescent="0.3">
      <c r="A167" s="179"/>
    </row>
    <row r="168" spans="1:1" x14ac:dyDescent="0.3">
      <c r="A168" s="179"/>
    </row>
    <row r="169" spans="1:1" x14ac:dyDescent="0.3">
      <c r="A169" s="179"/>
    </row>
    <row r="170" spans="1:1" x14ac:dyDescent="0.3">
      <c r="A170" s="179"/>
    </row>
    <row r="171" spans="1:1" x14ac:dyDescent="0.3">
      <c r="A171" s="179"/>
    </row>
    <row r="172" spans="1:1" x14ac:dyDescent="0.3">
      <c r="A172" s="179"/>
    </row>
    <row r="173" spans="1:1" x14ac:dyDescent="0.3">
      <c r="A173" s="179"/>
    </row>
    <row r="174" spans="1:1" x14ac:dyDescent="0.3">
      <c r="A174" s="179"/>
    </row>
    <row r="175" spans="1:1" x14ac:dyDescent="0.3">
      <c r="A175" s="179"/>
    </row>
    <row r="176" spans="1:1" x14ac:dyDescent="0.3">
      <c r="A176" s="179"/>
    </row>
    <row r="177" spans="1:1" x14ac:dyDescent="0.3">
      <c r="A177" s="179"/>
    </row>
    <row r="178" spans="1:1" x14ac:dyDescent="0.3">
      <c r="A178" s="179"/>
    </row>
    <row r="179" spans="1:1" x14ac:dyDescent="0.3">
      <c r="A179" s="179"/>
    </row>
    <row r="180" spans="1:1" x14ac:dyDescent="0.3">
      <c r="A180" s="179"/>
    </row>
    <row r="181" spans="1:1" x14ac:dyDescent="0.3">
      <c r="A181" s="179"/>
    </row>
    <row r="182" spans="1:1" x14ac:dyDescent="0.3">
      <c r="A182" s="179"/>
    </row>
    <row r="183" spans="1:1" x14ac:dyDescent="0.3">
      <c r="A183" s="179"/>
    </row>
    <row r="184" spans="1:1" x14ac:dyDescent="0.3">
      <c r="A184" s="179"/>
    </row>
    <row r="185" spans="1:1" x14ac:dyDescent="0.3">
      <c r="A185" s="179"/>
    </row>
    <row r="186" spans="1:1" x14ac:dyDescent="0.3">
      <c r="A186" s="179"/>
    </row>
    <row r="187" spans="1:1" x14ac:dyDescent="0.3">
      <c r="A187" s="179"/>
    </row>
    <row r="188" spans="1:1" x14ac:dyDescent="0.3">
      <c r="A188" s="179"/>
    </row>
    <row r="189" spans="1:1" x14ac:dyDescent="0.3">
      <c r="A189" s="179"/>
    </row>
    <row r="190" spans="1:1" x14ac:dyDescent="0.3">
      <c r="A190" s="179"/>
    </row>
    <row r="191" spans="1:1" x14ac:dyDescent="0.3">
      <c r="A191" s="179"/>
    </row>
    <row r="192" spans="1:1" x14ac:dyDescent="0.3">
      <c r="A192" s="179"/>
    </row>
    <row r="193" spans="1:1" x14ac:dyDescent="0.3">
      <c r="A193" s="179"/>
    </row>
    <row r="194" spans="1:1" x14ac:dyDescent="0.3">
      <c r="A194" s="179"/>
    </row>
    <row r="195" spans="1:1" x14ac:dyDescent="0.3">
      <c r="A195" s="179"/>
    </row>
    <row r="196" spans="1:1" x14ac:dyDescent="0.3">
      <c r="A196" s="179"/>
    </row>
    <row r="197" spans="1:1" x14ac:dyDescent="0.3">
      <c r="A197" s="179"/>
    </row>
    <row r="198" spans="1:1" x14ac:dyDescent="0.3">
      <c r="A198" s="178"/>
    </row>
  </sheetData>
  <sheetProtection algorithmName="SHA-512" hashValue="QTNZAkbCocqqP1ydm3VCneP0x6sC8IunRQ18beQDwWP70a5wVslXqKTvqp16eLOM8rQXb/HrZQazri0Umt63Nw==" saltValue="lP76f65wIJMVvOswvXa+Dw==" spinCount="100000" sheet="1" objects="1" scenarios="1"/>
  <mergeCells count="90">
    <mergeCell ref="A82:H82"/>
    <mergeCell ref="A78:H78"/>
    <mergeCell ref="A79:E79"/>
    <mergeCell ref="F79:G79"/>
    <mergeCell ref="A80:H80"/>
    <mergeCell ref="A81:E81"/>
    <mergeCell ref="F81:G81"/>
    <mergeCell ref="A75:E75"/>
    <mergeCell ref="F75:G75"/>
    <mergeCell ref="A76:H76"/>
    <mergeCell ref="A77:E77"/>
    <mergeCell ref="F77:G77"/>
    <mergeCell ref="A65:C66"/>
    <mergeCell ref="A67:C68"/>
    <mergeCell ref="A69:C70"/>
    <mergeCell ref="A71:C72"/>
    <mergeCell ref="A74:H74"/>
    <mergeCell ref="A61:B61"/>
    <mergeCell ref="E61:H61"/>
    <mergeCell ref="A62:B62"/>
    <mergeCell ref="E62:H62"/>
    <mergeCell ref="A63:B63"/>
    <mergeCell ref="E63:H63"/>
    <mergeCell ref="A58:H58"/>
    <mergeCell ref="A59:B59"/>
    <mergeCell ref="E59:H59"/>
    <mergeCell ref="A60:B60"/>
    <mergeCell ref="E60:H60"/>
    <mergeCell ref="B50:F50"/>
    <mergeCell ref="B51:F51"/>
    <mergeCell ref="B52:F52"/>
    <mergeCell ref="B53:F53"/>
    <mergeCell ref="B54:F54"/>
    <mergeCell ref="A45:G45"/>
    <mergeCell ref="A46:A48"/>
    <mergeCell ref="B46:G48"/>
    <mergeCell ref="B49:E49"/>
    <mergeCell ref="F49:G49"/>
    <mergeCell ref="B38:F38"/>
    <mergeCell ref="B39:F39"/>
    <mergeCell ref="A41:G41"/>
    <mergeCell ref="B42:F42"/>
    <mergeCell ref="B43:F43"/>
    <mergeCell ref="A35:A37"/>
    <mergeCell ref="B35:C37"/>
    <mergeCell ref="D35:F35"/>
    <mergeCell ref="D36:F36"/>
    <mergeCell ref="D37:F37"/>
    <mergeCell ref="A31:A34"/>
    <mergeCell ref="B31:C34"/>
    <mergeCell ref="D31:F31"/>
    <mergeCell ref="D32:F32"/>
    <mergeCell ref="D33:F33"/>
    <mergeCell ref="D34:F34"/>
    <mergeCell ref="A25:G25"/>
    <mergeCell ref="B26:F26"/>
    <mergeCell ref="A28:G28"/>
    <mergeCell ref="B29:F29"/>
    <mergeCell ref="B30:F30"/>
    <mergeCell ref="A18:G18"/>
    <mergeCell ref="B19:F19"/>
    <mergeCell ref="B21:F21"/>
    <mergeCell ref="B22:F22"/>
    <mergeCell ref="B23:F23"/>
    <mergeCell ref="B14:D14"/>
    <mergeCell ref="E14:G14"/>
    <mergeCell ref="B15:D15"/>
    <mergeCell ref="E15:G15"/>
    <mergeCell ref="B16:D16"/>
    <mergeCell ref="E16:G16"/>
    <mergeCell ref="A7:A8"/>
    <mergeCell ref="A11:G11"/>
    <mergeCell ref="B12:D12"/>
    <mergeCell ref="E12:G12"/>
    <mergeCell ref="B13:D13"/>
    <mergeCell ref="E13:G13"/>
    <mergeCell ref="A5:A6"/>
    <mergeCell ref="B5:B6"/>
    <mergeCell ref="C5:C6"/>
    <mergeCell ref="D5:D6"/>
    <mergeCell ref="E5:E6"/>
    <mergeCell ref="K5:K6"/>
    <mergeCell ref="L5:L6"/>
    <mergeCell ref="M5:M6"/>
    <mergeCell ref="R5:R6"/>
    <mergeCell ref="F5:F6"/>
    <mergeCell ref="G5:G6"/>
    <mergeCell ref="H5:H6"/>
    <mergeCell ref="I5:I6"/>
    <mergeCell ref="J5:J6"/>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L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61"/>
  <sheetViews>
    <sheetView showGridLines="0" zoomScaleNormal="100" workbookViewId="0">
      <selection activeCell="C34" sqref="C34"/>
    </sheetView>
  </sheetViews>
  <sheetFormatPr defaultColWidth="9" defaultRowHeight="14.4" x14ac:dyDescent="0.3"/>
  <cols>
    <col min="2" max="2" width="55.5546875" customWidth="1"/>
    <col min="3" max="3" width="13.10937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s>
  <sheetData>
    <row r="1" spans="1:4" x14ac:dyDescent="0.3">
      <c r="A1" s="180"/>
      <c r="B1" s="181" t="str">
        <f>INSTRUÇÕES!B1</f>
        <v>Tribunal Regional Federal da 6ª Região</v>
      </c>
      <c r="C1" s="182"/>
    </row>
    <row r="2" spans="1:4" x14ac:dyDescent="0.3">
      <c r="A2" s="183"/>
      <c r="B2" s="113" t="str">
        <f>INSTRUÇÕES!B2</f>
        <v>Seção Judiciária de Minas Gerais</v>
      </c>
      <c r="C2" s="184"/>
    </row>
    <row r="3" spans="1:4" x14ac:dyDescent="0.3">
      <c r="A3" s="185"/>
      <c r="B3" s="113" t="str">
        <f>INSTRUÇÕES!B3</f>
        <v>Subseção Judiciária de Viçosa</v>
      </c>
      <c r="C3" s="184"/>
    </row>
    <row r="4" spans="1:4" ht="21.75" customHeight="1" x14ac:dyDescent="0.3">
      <c r="A4" s="618" t="s">
        <v>286</v>
      </c>
      <c r="B4" s="618"/>
      <c r="C4" s="618"/>
    </row>
    <row r="5" spans="1:4" ht="21.75" customHeight="1" x14ac:dyDescent="0.3">
      <c r="A5" s="618"/>
      <c r="B5" s="618"/>
      <c r="C5" s="618"/>
    </row>
    <row r="6" spans="1:4" ht="26.25" customHeight="1" x14ac:dyDescent="0.3">
      <c r="A6" s="619" t="s">
        <v>287</v>
      </c>
      <c r="B6" s="619"/>
      <c r="C6" s="619"/>
    </row>
    <row r="7" spans="1:4" x14ac:dyDescent="0.3">
      <c r="A7" s="620" t="s">
        <v>288</v>
      </c>
      <c r="B7" s="620"/>
      <c r="C7" s="620"/>
    </row>
    <row r="8" spans="1:4" ht="15.75" customHeight="1" x14ac:dyDescent="0.3">
      <c r="A8" s="186" t="s">
        <v>59</v>
      </c>
      <c r="B8" s="187" t="s">
        <v>289</v>
      </c>
      <c r="C8" s="188" t="s">
        <v>290</v>
      </c>
    </row>
    <row r="9" spans="1:4" ht="15.75" customHeight="1" x14ac:dyDescent="0.3">
      <c r="A9" s="189" t="s">
        <v>291</v>
      </c>
      <c r="B9" s="621" t="s">
        <v>292</v>
      </c>
      <c r="C9" s="621"/>
    </row>
    <row r="10" spans="1:4" ht="15.75" customHeight="1" x14ac:dyDescent="0.3">
      <c r="A10" s="190">
        <v>1</v>
      </c>
      <c r="B10" s="191" t="s">
        <v>293</v>
      </c>
      <c r="C10" s="192">
        <v>0.2</v>
      </c>
    </row>
    <row r="11" spans="1:4" ht="15.75" customHeight="1" x14ac:dyDescent="0.3">
      <c r="A11" s="190">
        <v>2</v>
      </c>
      <c r="B11" s="191" t="s">
        <v>294</v>
      </c>
      <c r="C11" s="192">
        <v>1.4999999999999999E-2</v>
      </c>
    </row>
    <row r="12" spans="1:4" ht="15.75" customHeight="1" x14ac:dyDescent="0.3">
      <c r="A12" s="190">
        <v>3</v>
      </c>
      <c r="B12" s="191" t="s">
        <v>295</v>
      </c>
      <c r="C12" s="192">
        <v>0.01</v>
      </c>
    </row>
    <row r="13" spans="1:4" ht="15.75" customHeight="1" x14ac:dyDescent="0.3">
      <c r="A13" s="190">
        <v>4</v>
      </c>
      <c r="B13" s="191" t="s">
        <v>296</v>
      </c>
      <c r="C13" s="192">
        <v>2E-3</v>
      </c>
    </row>
    <row r="14" spans="1:4" ht="15.75" customHeight="1" x14ac:dyDescent="0.3">
      <c r="A14" s="190">
        <v>5</v>
      </c>
      <c r="B14" s="191" t="s">
        <v>297</v>
      </c>
      <c r="C14" s="192">
        <v>2.5000000000000001E-2</v>
      </c>
    </row>
    <row r="15" spans="1:4" ht="15.75" customHeight="1" x14ac:dyDescent="0.3">
      <c r="A15" s="190">
        <v>6</v>
      </c>
      <c r="B15" s="191" t="s">
        <v>298</v>
      </c>
      <c r="C15" s="192">
        <v>0.08</v>
      </c>
    </row>
    <row r="16" spans="1:4" ht="15.75" customHeight="1" x14ac:dyDescent="0.3">
      <c r="A16" s="190">
        <v>7</v>
      </c>
      <c r="B16" s="191" t="s">
        <v>299</v>
      </c>
      <c r="C16" s="193">
        <f>Dados!G21</f>
        <v>0.06</v>
      </c>
      <c r="D16" s="194" t="s">
        <v>300</v>
      </c>
    </row>
    <row r="17" spans="1:3" ht="15.75" customHeight="1" x14ac:dyDescent="0.3">
      <c r="A17" s="190">
        <v>8</v>
      </c>
      <c r="B17" s="191" t="s">
        <v>301</v>
      </c>
      <c r="C17" s="192">
        <v>6.0000000000000001E-3</v>
      </c>
    </row>
    <row r="18" spans="1:3" ht="15.75" customHeight="1" x14ac:dyDescent="0.3">
      <c r="A18" s="622" t="s">
        <v>302</v>
      </c>
      <c r="B18" s="622"/>
      <c r="C18" s="195">
        <f>SUM(C10:C17)</f>
        <v>0.39800000000000008</v>
      </c>
    </row>
    <row r="19" spans="1:3" ht="15.75" customHeight="1" x14ac:dyDescent="0.3">
      <c r="A19" s="623" t="s">
        <v>303</v>
      </c>
      <c r="B19" s="623"/>
      <c r="C19" s="623"/>
    </row>
    <row r="20" spans="1:3" ht="15.75" customHeight="1" x14ac:dyDescent="0.3">
      <c r="A20" s="623" t="s">
        <v>304</v>
      </c>
      <c r="B20" s="623"/>
      <c r="C20" s="623"/>
    </row>
    <row r="21" spans="1:3" ht="15.75" customHeight="1" x14ac:dyDescent="0.3">
      <c r="A21" s="190">
        <v>9</v>
      </c>
      <c r="B21" s="196" t="s">
        <v>305</v>
      </c>
      <c r="C21" s="197">
        <f>ROUND((100%/11),4)</f>
        <v>9.0899999999999995E-2</v>
      </c>
    </row>
    <row r="22" spans="1:3" ht="15.75" customHeight="1" x14ac:dyDescent="0.3">
      <c r="A22" s="190">
        <v>10</v>
      </c>
      <c r="B22" s="196" t="s">
        <v>306</v>
      </c>
      <c r="C22" s="197">
        <f>ROUND((C21/3),4)</f>
        <v>3.0300000000000001E-2</v>
      </c>
    </row>
    <row r="23" spans="1:3" ht="15.75" customHeight="1" x14ac:dyDescent="0.3">
      <c r="A23" s="624" t="s">
        <v>307</v>
      </c>
      <c r="B23" s="624"/>
      <c r="C23" s="198">
        <f>SUM(C21:C22)</f>
        <v>0.1212</v>
      </c>
    </row>
    <row r="24" spans="1:3" ht="15.75" customHeight="1" x14ac:dyDescent="0.3">
      <c r="A24" s="625" t="s">
        <v>308</v>
      </c>
      <c r="B24" s="625"/>
      <c r="C24" s="193">
        <f>(C18*C23)</f>
        <v>4.8237600000000012E-2</v>
      </c>
    </row>
    <row r="25" spans="1:3" ht="15.75" customHeight="1" x14ac:dyDescent="0.3">
      <c r="A25" s="624" t="s">
        <v>309</v>
      </c>
      <c r="B25" s="624"/>
      <c r="C25" s="198">
        <f>SUM(C23:C24)</f>
        <v>0.16943760000000002</v>
      </c>
    </row>
    <row r="26" spans="1:3" ht="15.75" customHeight="1" x14ac:dyDescent="0.3">
      <c r="A26" s="189" t="s">
        <v>310</v>
      </c>
      <c r="B26" s="621" t="s">
        <v>311</v>
      </c>
      <c r="C26" s="621"/>
    </row>
    <row r="27" spans="1:3" ht="15.75" customHeight="1" x14ac:dyDescent="0.3">
      <c r="A27" s="190">
        <v>11</v>
      </c>
      <c r="B27" s="191" t="s">
        <v>312</v>
      </c>
      <c r="C27" s="192">
        <f>ROUND((0.0144*0.1*0.4509*6/12),4)</f>
        <v>2.9999999999999997E-4</v>
      </c>
    </row>
    <row r="28" spans="1:3" ht="15.75" customHeight="1" x14ac:dyDescent="0.3">
      <c r="A28" s="625" t="s">
        <v>313</v>
      </c>
      <c r="B28" s="625"/>
      <c r="C28" s="199">
        <f>C18*C27</f>
        <v>1.1940000000000002E-4</v>
      </c>
    </row>
    <row r="29" spans="1:3" ht="15.75" customHeight="1" x14ac:dyDescent="0.3">
      <c r="A29" s="624" t="s">
        <v>314</v>
      </c>
      <c r="B29" s="624"/>
      <c r="C29" s="200">
        <f>SUM(C27:C28)</f>
        <v>4.194E-4</v>
      </c>
    </row>
    <row r="30" spans="1:3" ht="15.75" customHeight="1" x14ac:dyDescent="0.3">
      <c r="A30" s="189" t="s">
        <v>315</v>
      </c>
      <c r="B30" s="621" t="s">
        <v>316</v>
      </c>
      <c r="C30" s="621"/>
    </row>
    <row r="31" spans="1:3" ht="15.75" customHeight="1" x14ac:dyDescent="0.3">
      <c r="A31" s="190">
        <v>12</v>
      </c>
      <c r="B31" s="191" t="s">
        <v>317</v>
      </c>
      <c r="C31" s="192">
        <f>ROUND((100%/12)*5%,4)</f>
        <v>4.1999999999999997E-3</v>
      </c>
    </row>
    <row r="32" spans="1:3" ht="15.75" customHeight="1" x14ac:dyDescent="0.3">
      <c r="A32" s="626" t="s">
        <v>318</v>
      </c>
      <c r="B32" s="626"/>
      <c r="C32" s="193">
        <f>C15*C31</f>
        <v>3.3599999999999998E-4</v>
      </c>
    </row>
    <row r="33" spans="1:8" ht="15.75" customHeight="1" x14ac:dyDescent="0.3">
      <c r="A33" s="190">
        <v>13</v>
      </c>
      <c r="B33" s="191" t="s">
        <v>319</v>
      </c>
      <c r="C33" s="197">
        <f>ROUND((C15*0.4*0.9*(1+1/11+1/11+(1/3*1/11))),5)</f>
        <v>3.4909999999999997E-2</v>
      </c>
    </row>
    <row r="34" spans="1:8" ht="15.75" customHeight="1" x14ac:dyDescent="0.3">
      <c r="A34" s="190">
        <v>14</v>
      </c>
      <c r="B34" s="191" t="s">
        <v>320</v>
      </c>
      <c r="C34" s="192">
        <f>ROUND((7/30/12)*0.02,4)</f>
        <v>4.0000000000000002E-4</v>
      </c>
    </row>
    <row r="35" spans="1:8" ht="15.75" customHeight="1" x14ac:dyDescent="0.3">
      <c r="A35" s="626" t="s">
        <v>321</v>
      </c>
      <c r="B35" s="626"/>
      <c r="C35" s="193">
        <f>ROUND((C34*C18),4)</f>
        <v>2.0000000000000001E-4</v>
      </c>
    </row>
    <row r="36" spans="1:8" ht="15.75" customHeight="1" x14ac:dyDescent="0.3">
      <c r="A36" s="190">
        <v>15</v>
      </c>
      <c r="B36" s="191" t="s">
        <v>322</v>
      </c>
      <c r="C36" s="193">
        <f>(0.4*C15/100)</f>
        <v>3.2000000000000003E-4</v>
      </c>
    </row>
    <row r="37" spans="1:8" ht="15.75" customHeight="1" x14ac:dyDescent="0.3">
      <c r="A37" s="627" t="s">
        <v>323</v>
      </c>
      <c r="B37" s="627"/>
      <c r="C37" s="198">
        <f>SUM(C31:C36)</f>
        <v>4.0365999999999992E-2</v>
      </c>
    </row>
    <row r="38" spans="1:8" ht="15.75" customHeight="1" x14ac:dyDescent="0.3">
      <c r="A38" s="189" t="s">
        <v>324</v>
      </c>
      <c r="B38" s="621" t="s">
        <v>325</v>
      </c>
      <c r="C38" s="621"/>
    </row>
    <row r="39" spans="1:8" ht="15.75" customHeight="1" x14ac:dyDescent="0.3">
      <c r="A39" s="190">
        <v>16</v>
      </c>
      <c r="B39" s="191" t="s">
        <v>326</v>
      </c>
      <c r="C39" s="197">
        <f>ROUND((100%/11),4)</f>
        <v>9.0899999999999995E-2</v>
      </c>
    </row>
    <row r="40" spans="1:8" ht="15.75" customHeight="1" x14ac:dyDescent="0.3">
      <c r="A40" s="190">
        <v>17</v>
      </c>
      <c r="B40" s="191" t="s">
        <v>327</v>
      </c>
      <c r="C40" s="192">
        <f>ROUND((5.96/30/12),4)</f>
        <v>1.66E-2</v>
      </c>
    </row>
    <row r="41" spans="1:8" ht="15.75" customHeight="1" x14ac:dyDescent="0.3">
      <c r="A41" s="190">
        <v>18</v>
      </c>
      <c r="B41" s="191" t="s">
        <v>328</v>
      </c>
      <c r="C41" s="192">
        <f>ROUND((5/30/12)*0.022,4)</f>
        <v>2.9999999999999997E-4</v>
      </c>
    </row>
    <row r="42" spans="1:8" ht="15.75" customHeight="1" x14ac:dyDescent="0.3">
      <c r="A42" s="190">
        <v>19</v>
      </c>
      <c r="B42" s="191" t="s">
        <v>329</v>
      </c>
      <c r="C42" s="192">
        <f>ROUND((1/30/12),4)</f>
        <v>2.8E-3</v>
      </c>
    </row>
    <row r="43" spans="1:8" ht="15.75" customHeight="1" x14ac:dyDescent="0.3">
      <c r="A43" s="190">
        <v>20</v>
      </c>
      <c r="B43" s="191" t="s">
        <v>330</v>
      </c>
      <c r="C43" s="192">
        <f>ROUND((15/30/12*0.0078),4)</f>
        <v>2.9999999999999997E-4</v>
      </c>
    </row>
    <row r="44" spans="1:8" ht="15.75" customHeight="1" x14ac:dyDescent="0.3">
      <c r="A44" s="627" t="s">
        <v>307</v>
      </c>
      <c r="B44" s="627"/>
      <c r="C44" s="198">
        <f>SUM(C39:C43)</f>
        <v>0.11089999999999998</v>
      </c>
      <c r="E44" s="628" t="s">
        <v>331</v>
      </c>
      <c r="F44" s="628"/>
      <c r="G44" s="628"/>
      <c r="H44" s="628"/>
    </row>
    <row r="45" spans="1:8" ht="15.75" customHeight="1" x14ac:dyDescent="0.3">
      <c r="A45" s="626" t="s">
        <v>332</v>
      </c>
      <c r="B45" s="626"/>
      <c r="C45" s="193">
        <f>C18*C44</f>
        <v>4.4138200000000002E-2</v>
      </c>
      <c r="E45" s="628"/>
      <c r="F45" s="628"/>
      <c r="G45" s="628"/>
      <c r="H45" s="628"/>
    </row>
    <row r="46" spans="1:8" ht="15" customHeight="1" x14ac:dyDescent="0.3">
      <c r="A46" s="627" t="s">
        <v>333</v>
      </c>
      <c r="B46" s="627"/>
      <c r="C46" s="198">
        <f>SUM(C44:C45)</f>
        <v>0.15503819999999999</v>
      </c>
      <c r="E46" s="629" t="s">
        <v>334</v>
      </c>
      <c r="F46" s="630" t="s">
        <v>335</v>
      </c>
      <c r="G46" s="630"/>
      <c r="H46" s="630"/>
    </row>
    <row r="47" spans="1:8" ht="15.75" customHeight="1" x14ac:dyDescent="0.3">
      <c r="A47" s="201" t="s">
        <v>336</v>
      </c>
      <c r="B47" s="202" t="s">
        <v>337</v>
      </c>
      <c r="C47" s="203" t="s">
        <v>204</v>
      </c>
      <c r="E47" s="629"/>
      <c r="F47" s="630" t="s">
        <v>338</v>
      </c>
      <c r="G47" s="630"/>
      <c r="H47" s="630"/>
    </row>
    <row r="48" spans="1:8" ht="15.75" customHeight="1" x14ac:dyDescent="0.3">
      <c r="A48" s="190">
        <v>21</v>
      </c>
      <c r="B48" s="191" t="s">
        <v>339</v>
      </c>
      <c r="C48" s="192">
        <f>1*1%/12</f>
        <v>8.3333333333333339E-4</v>
      </c>
      <c r="E48" s="204" t="s">
        <v>340</v>
      </c>
      <c r="F48" s="205" t="s">
        <v>341</v>
      </c>
      <c r="G48" s="205" t="s">
        <v>342</v>
      </c>
      <c r="H48" s="206" t="s">
        <v>343</v>
      </c>
    </row>
    <row r="49" spans="1:8" ht="15.75" customHeight="1" x14ac:dyDescent="0.3">
      <c r="A49" s="627" t="s">
        <v>344</v>
      </c>
      <c r="B49" s="627"/>
      <c r="C49" s="198">
        <f>SUM(C47:C48)</f>
        <v>8.3333333333333339E-4</v>
      </c>
      <c r="E49" s="204" t="s">
        <v>345</v>
      </c>
      <c r="F49" s="207">
        <v>0.34300000000000003</v>
      </c>
      <c r="G49" s="207">
        <v>0.39800000000000002</v>
      </c>
      <c r="H49" s="208">
        <f>$C$18</f>
        <v>0.39800000000000008</v>
      </c>
    </row>
    <row r="50" spans="1:8" ht="15.75" customHeight="1" x14ac:dyDescent="0.3">
      <c r="A50" s="631" t="s">
        <v>346</v>
      </c>
      <c r="B50" s="631"/>
      <c r="C50" s="631"/>
      <c r="E50" s="204" t="s">
        <v>347</v>
      </c>
      <c r="F50" s="207">
        <v>5.0000000000000001E-3</v>
      </c>
      <c r="G50" s="207">
        <v>0.06</v>
      </c>
      <c r="H50" s="208">
        <f>$C$16</f>
        <v>0.06</v>
      </c>
    </row>
    <row r="51" spans="1:8" ht="15.75" customHeight="1" x14ac:dyDescent="0.3">
      <c r="A51" s="626" t="s">
        <v>292</v>
      </c>
      <c r="B51" s="626"/>
      <c r="C51" s="193">
        <f>ROUND(C18,4)</f>
        <v>0.39800000000000002</v>
      </c>
      <c r="E51" s="209" t="s">
        <v>348</v>
      </c>
      <c r="F51" s="210">
        <f>$C$21</f>
        <v>9.0899999999999995E-2</v>
      </c>
      <c r="G51" s="210">
        <f>$F$51</f>
        <v>9.0899999999999995E-2</v>
      </c>
      <c r="H51" s="211">
        <f>$F$51</f>
        <v>9.0899999999999995E-2</v>
      </c>
    </row>
    <row r="52" spans="1:8" ht="15.75" customHeight="1" x14ac:dyDescent="0.3">
      <c r="A52" s="626" t="s">
        <v>349</v>
      </c>
      <c r="B52" s="626"/>
      <c r="C52" s="193">
        <f>ROUND(C25,4)</f>
        <v>0.1694</v>
      </c>
      <c r="E52" s="209" t="s">
        <v>350</v>
      </c>
      <c r="F52" s="210">
        <f>$C$39</f>
        <v>9.0899999999999995E-2</v>
      </c>
      <c r="G52" s="210">
        <f>$F$52</f>
        <v>9.0899999999999995E-2</v>
      </c>
      <c r="H52" s="211">
        <f>$F$52</f>
        <v>9.0899999999999995E-2</v>
      </c>
    </row>
    <row r="53" spans="1:8" ht="15.75" customHeight="1" x14ac:dyDescent="0.3">
      <c r="A53" s="626" t="s">
        <v>311</v>
      </c>
      <c r="B53" s="626"/>
      <c r="C53" s="193">
        <f>ROUND(C29,4)</f>
        <v>4.0000000000000002E-4</v>
      </c>
      <c r="E53" s="209" t="s">
        <v>351</v>
      </c>
      <c r="F53" s="210">
        <f>$C$22</f>
        <v>3.0300000000000001E-2</v>
      </c>
      <c r="G53" s="210">
        <f>$F$53</f>
        <v>3.0300000000000001E-2</v>
      </c>
      <c r="H53" s="211">
        <f>$F$53</f>
        <v>3.0300000000000001E-2</v>
      </c>
    </row>
    <row r="54" spans="1:8" ht="15.75" customHeight="1" x14ac:dyDescent="0.3">
      <c r="A54" s="626" t="s">
        <v>352</v>
      </c>
      <c r="B54" s="626"/>
      <c r="C54" s="193">
        <f>ROUND(C37,4)</f>
        <v>4.0399999999999998E-2</v>
      </c>
      <c r="E54" s="212" t="s">
        <v>307</v>
      </c>
      <c r="F54" s="213">
        <f>SUM(F51:F53)</f>
        <v>0.21209999999999998</v>
      </c>
      <c r="G54" s="213">
        <f>SUM(G51:G53)</f>
        <v>0.21209999999999998</v>
      </c>
      <c r="H54" s="214">
        <f>SUM(H51:H53)</f>
        <v>0.21209999999999998</v>
      </c>
    </row>
    <row r="55" spans="1:8" ht="15.75" customHeight="1" x14ac:dyDescent="0.3">
      <c r="A55" s="626" t="s">
        <v>353</v>
      </c>
      <c r="B55" s="626"/>
      <c r="C55" s="193">
        <f>ROUND(C46,4)</f>
        <v>0.155</v>
      </c>
      <c r="E55" s="209" t="s">
        <v>354</v>
      </c>
      <c r="F55" s="210">
        <f>F54*F49</f>
        <v>7.2750300000000004E-2</v>
      </c>
      <c r="G55" s="210">
        <f>G54*G49</f>
        <v>8.4415799999999999E-2</v>
      </c>
      <c r="H55" s="211">
        <f>ROUND((H54*H49),4)</f>
        <v>8.4400000000000003E-2</v>
      </c>
    </row>
    <row r="56" spans="1:8" ht="15.75" customHeight="1" x14ac:dyDescent="0.3">
      <c r="A56" s="626" t="s">
        <v>339</v>
      </c>
      <c r="B56" s="626"/>
      <c r="C56" s="193">
        <f>ROUND(C49,4)</f>
        <v>8.0000000000000004E-4</v>
      </c>
      <c r="E56" s="209" t="s">
        <v>355</v>
      </c>
      <c r="F56" s="210">
        <v>3.4909999999999997E-2</v>
      </c>
      <c r="G56" s="210">
        <v>3.4909999999999997E-2</v>
      </c>
      <c r="H56" s="211">
        <v>3.4909999999999997E-2</v>
      </c>
    </row>
    <row r="57" spans="1:8" ht="15.75" customHeight="1" x14ac:dyDescent="0.3">
      <c r="A57" s="632" t="s">
        <v>356</v>
      </c>
      <c r="B57" s="632"/>
      <c r="C57" s="195">
        <f>SUM(C51:C56)</f>
        <v>0.76400000000000001</v>
      </c>
      <c r="E57" s="215" t="s">
        <v>357</v>
      </c>
      <c r="F57" s="216">
        <v>0.3197603</v>
      </c>
      <c r="G57" s="216">
        <v>0.33142579999999999</v>
      </c>
      <c r="H57" s="217">
        <f>ROUND((SUM(H54:H56)),4)</f>
        <v>0.33139999999999997</v>
      </c>
    </row>
    <row r="58" spans="1:8" ht="24" x14ac:dyDescent="0.3">
      <c r="A58" s="218" t="s">
        <v>50</v>
      </c>
      <c r="B58" s="219"/>
      <c r="C58" s="220"/>
      <c r="E58" s="209" t="s">
        <v>358</v>
      </c>
      <c r="F58" s="210" t="s">
        <v>204</v>
      </c>
      <c r="G58" s="210" t="s">
        <v>204</v>
      </c>
      <c r="H58" s="211" t="s">
        <v>204</v>
      </c>
    </row>
    <row r="59" spans="1:8" ht="54.75" customHeight="1" x14ac:dyDescent="0.3">
      <c r="A59" s="633" t="s">
        <v>359</v>
      </c>
      <c r="B59" s="633"/>
      <c r="C59" s="633"/>
      <c r="E59" s="221" t="s">
        <v>360</v>
      </c>
      <c r="F59" s="222">
        <v>0.3197603</v>
      </c>
      <c r="G59" s="222">
        <v>0.33142579999999999</v>
      </c>
      <c r="H59" s="223">
        <f>H57</f>
        <v>0.33139999999999997</v>
      </c>
    </row>
    <row r="61" spans="1:8" ht="12.75" customHeight="1" x14ac:dyDescent="0.3"/>
  </sheetData>
  <sheetProtection algorithmName="SHA-512" hashValue="Gw6bIHj+Ex+k02eDoJp/E9oEqsaFSeEsmm35AFBQFKRHo9gy2EIp8+1NkE1/6nhsKOB19lfiCgWaxVGK4XNxtw==" saltValue="7t5WU2DPjt1r6ADB7/aDnw=="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55"/>
  <sheetViews>
    <sheetView showGridLines="0" topLeftCell="H48" zoomScaleNormal="100" workbookViewId="0">
      <selection activeCell="K9" sqref="K9"/>
    </sheetView>
  </sheetViews>
  <sheetFormatPr defaultColWidth="9" defaultRowHeight="14.4" x14ac:dyDescent="0.3"/>
  <cols>
    <col min="1" max="1" width="5" style="81" customWidth="1"/>
    <col min="2" max="2" width="59.109375" style="60" customWidth="1"/>
    <col min="3" max="3" width="10.44140625" style="60" customWidth="1"/>
    <col min="4" max="7" width="18.44140625" style="60" customWidth="1"/>
    <col min="8" max="8" width="23.6640625" customWidth="1"/>
    <col min="9" max="9" width="4.33203125" customWidth="1"/>
    <col min="10" max="10" width="11.44140625" customWidth="1"/>
    <col min="11" max="11" width="12.44140625" style="60" customWidth="1"/>
    <col min="13" max="13" width="20.6640625" hidden="1" customWidth="1"/>
    <col min="14" max="18" width="10" hidden="1" customWidth="1"/>
    <col min="256" max="256" width="8.33203125" customWidth="1"/>
    <col min="257" max="257" width="44.5546875" customWidth="1"/>
    <col min="258" max="258" width="7.44140625" customWidth="1"/>
    <col min="259" max="259" width="13" customWidth="1"/>
    <col min="260" max="260" width="11.6640625" customWidth="1"/>
    <col min="261" max="261" width="10.5546875" customWidth="1"/>
    <col min="262" max="262" width="14.44140625" customWidth="1"/>
    <col min="263" max="263" width="35.44140625" customWidth="1"/>
    <col min="264" max="264" width="14" customWidth="1"/>
    <col min="265" max="265" width="11.6640625" customWidth="1"/>
    <col min="266" max="266" width="13.5546875" customWidth="1"/>
    <col min="512" max="512" width="8.33203125" customWidth="1"/>
    <col min="513" max="513" width="44.5546875" customWidth="1"/>
    <col min="514" max="514" width="7.44140625" customWidth="1"/>
    <col min="515" max="515" width="13" customWidth="1"/>
    <col min="516" max="516" width="11.6640625" customWidth="1"/>
    <col min="517" max="517" width="10.5546875" customWidth="1"/>
    <col min="518" max="518" width="14.44140625" customWidth="1"/>
    <col min="519" max="519" width="35.44140625" customWidth="1"/>
    <col min="520" max="520" width="14" customWidth="1"/>
    <col min="521" max="521" width="11.6640625" customWidth="1"/>
    <col min="522" max="522" width="13.5546875" customWidth="1"/>
    <col min="768" max="768" width="8.33203125" customWidth="1"/>
    <col min="769" max="769" width="44.5546875" customWidth="1"/>
    <col min="770" max="770" width="7.44140625" customWidth="1"/>
    <col min="771" max="771" width="13" customWidth="1"/>
    <col min="772" max="772" width="11.6640625" customWidth="1"/>
    <col min="773" max="773" width="10.5546875" customWidth="1"/>
    <col min="774" max="774" width="14.44140625" customWidth="1"/>
    <col min="775" max="775" width="35.44140625" customWidth="1"/>
    <col min="776" max="776" width="14" customWidth="1"/>
    <col min="777" max="777" width="11.6640625" customWidth="1"/>
    <col min="778" max="778" width="13.5546875" customWidth="1"/>
  </cols>
  <sheetData>
    <row r="1" spans="1:18" s="60" customFormat="1" ht="15" customHeight="1" x14ac:dyDescent="0.3">
      <c r="A1" s="224"/>
      <c r="B1" s="181" t="str">
        <f>INSTRUÇÕES!B1</f>
        <v>Tribunal Regional Federal da 6ª Região</v>
      </c>
      <c r="C1" s="225"/>
      <c r="D1" s="225"/>
      <c r="E1" s="225"/>
      <c r="F1" s="225"/>
      <c r="G1" s="225"/>
      <c r="H1" s="226"/>
    </row>
    <row r="2" spans="1:18" s="60" customFormat="1" ht="9" customHeight="1" x14ac:dyDescent="0.3">
      <c r="A2" s="227"/>
      <c r="B2" s="113" t="str">
        <f>INSTRUÇÕES!B2</f>
        <v>Seção Judiciária de Minas Gerais</v>
      </c>
      <c r="H2" s="228"/>
    </row>
    <row r="3" spans="1:18" s="509" customFormat="1" ht="18.75" customHeight="1" x14ac:dyDescent="0.3">
      <c r="A3" s="507"/>
      <c r="B3" s="508" t="str">
        <f>INSTRUÇÕES!B3</f>
        <v>Subseção Judiciária de Viçosa</v>
      </c>
      <c r="H3" s="510"/>
    </row>
    <row r="4" spans="1:18" s="60" customFormat="1" ht="23.25" customHeight="1" x14ac:dyDescent="0.3">
      <c r="A4" s="634" t="s">
        <v>401</v>
      </c>
      <c r="B4" s="634"/>
      <c r="C4" s="634"/>
      <c r="D4" s="634"/>
      <c r="E4" s="634"/>
      <c r="F4" s="634"/>
      <c r="G4" s="634"/>
      <c r="H4" s="634"/>
      <c r="I4" s="229"/>
      <c r="J4" s="229"/>
    </row>
    <row r="5" spans="1:18" s="230" customFormat="1" ht="23.25" customHeight="1" x14ac:dyDescent="0.3">
      <c r="A5" s="635" t="s">
        <v>402</v>
      </c>
      <c r="B5" s="635"/>
      <c r="C5" s="635"/>
      <c r="D5" s="635"/>
      <c r="E5" s="635"/>
      <c r="F5" s="635"/>
      <c r="G5" s="635"/>
      <c r="H5" s="635"/>
      <c r="K5" s="231"/>
    </row>
    <row r="6" spans="1:18" s="60" customFormat="1" ht="10.5" customHeight="1" thickBot="1" x14ac:dyDescent="0.35">
      <c r="A6" s="636" t="s">
        <v>59</v>
      </c>
      <c r="B6" s="637" t="s">
        <v>403</v>
      </c>
      <c r="C6" s="637"/>
      <c r="D6" s="637"/>
      <c r="E6" s="639" t="s">
        <v>404</v>
      </c>
      <c r="F6" s="639" t="s">
        <v>71</v>
      </c>
      <c r="G6" s="639" t="s">
        <v>405</v>
      </c>
      <c r="H6" s="638" t="s">
        <v>406</v>
      </c>
      <c r="I6" s="59"/>
      <c r="J6" s="59"/>
    </row>
    <row r="7" spans="1:18" s="60" customFormat="1" ht="17.25" customHeight="1" x14ac:dyDescent="0.3">
      <c r="A7" s="636"/>
      <c r="B7" s="637"/>
      <c r="C7" s="637"/>
      <c r="D7" s="637"/>
      <c r="E7" s="640"/>
      <c r="F7" s="640"/>
      <c r="G7" s="640"/>
      <c r="H7" s="638"/>
      <c r="I7" s="59"/>
      <c r="J7" s="643" t="s">
        <v>407</v>
      </c>
      <c r="K7" s="643"/>
      <c r="M7" s="586" t="s">
        <v>408</v>
      </c>
      <c r="N7" s="586"/>
      <c r="O7" s="586"/>
      <c r="P7" s="586"/>
      <c r="Q7" s="586"/>
      <c r="R7" s="586"/>
    </row>
    <row r="8" spans="1:18" s="60" customFormat="1" ht="24" customHeight="1" x14ac:dyDescent="0.3">
      <c r="A8" s="636"/>
      <c r="B8" s="232" t="s">
        <v>64</v>
      </c>
      <c r="C8" s="233" t="s">
        <v>65</v>
      </c>
      <c r="D8" s="233" t="s">
        <v>66</v>
      </c>
      <c r="E8" s="641"/>
      <c r="F8" s="641"/>
      <c r="G8" s="641"/>
      <c r="H8" s="638"/>
      <c r="I8" s="59"/>
      <c r="J8" s="234" t="s">
        <v>69</v>
      </c>
      <c r="K8" s="235" t="s">
        <v>68</v>
      </c>
      <c r="M8" s="236" t="s">
        <v>409</v>
      </c>
      <c r="N8" s="55" t="s">
        <v>270</v>
      </c>
      <c r="O8" s="55" t="s">
        <v>271</v>
      </c>
      <c r="P8" s="55" t="s">
        <v>272</v>
      </c>
      <c r="Q8" s="55" t="s">
        <v>273</v>
      </c>
      <c r="R8" s="64" t="s">
        <v>274</v>
      </c>
    </row>
    <row r="9" spans="1:18" s="60" customFormat="1" ht="41.4" x14ac:dyDescent="0.3">
      <c r="A9" s="511">
        <v>1</v>
      </c>
      <c r="B9" s="512" t="s">
        <v>410</v>
      </c>
      <c r="C9" s="513" t="s">
        <v>411</v>
      </c>
      <c r="D9" s="513" t="s">
        <v>412</v>
      </c>
      <c r="E9" s="513">
        <v>2</v>
      </c>
      <c r="F9" s="514" t="s">
        <v>413</v>
      </c>
      <c r="G9" s="237">
        <v>15.74</v>
      </c>
      <c r="H9" s="238"/>
      <c r="I9" s="59"/>
      <c r="J9" s="515">
        <f>'Ocorrências Mensais - FAT'!L25</f>
        <v>2</v>
      </c>
      <c r="K9" s="516">
        <f t="shared" ref="K9" si="0">G9*J9</f>
        <v>31.48</v>
      </c>
      <c r="M9" s="239"/>
      <c r="N9" s="37">
        <f>ROUND(IF(Dados!$J$55="SIM",M9*Dados!$N$55,M9),2)</f>
        <v>0</v>
      </c>
      <c r="O9" s="37">
        <f>ROUND(IF(Dados!$J$56="SIM",N9*Dados!$N$56,N9),2)</f>
        <v>0</v>
      </c>
      <c r="P9" s="37">
        <f>ROUND(IF(Dados!$J$57="SIM",O9*Dados!$N$57,O9),2)</f>
        <v>0</v>
      </c>
      <c r="Q9" s="37">
        <f>ROUND(IF(Dados!$J$58="SIM",P9*Dados!$N$58,P9),2)</f>
        <v>0</v>
      </c>
      <c r="R9" s="240">
        <f>ROUND(IF(Dados!$J$59="SIM",Q9*Dados!$N$59,Q9),2)</f>
        <v>0</v>
      </c>
    </row>
    <row r="10" spans="1:18" s="60" customFormat="1" ht="41.4" x14ac:dyDescent="0.3">
      <c r="A10" s="511">
        <v>2</v>
      </c>
      <c r="B10" s="512" t="s">
        <v>414</v>
      </c>
      <c r="C10" s="513" t="s">
        <v>65</v>
      </c>
      <c r="D10" s="513" t="s">
        <v>415</v>
      </c>
      <c r="E10" s="513">
        <v>4</v>
      </c>
      <c r="F10" s="514" t="s">
        <v>413</v>
      </c>
      <c r="G10" s="237">
        <v>6.15</v>
      </c>
      <c r="H10" s="238"/>
      <c r="I10" s="59"/>
      <c r="J10" s="515">
        <f>'Ocorrências Mensais - FAT'!L26</f>
        <v>4</v>
      </c>
      <c r="K10" s="516">
        <f t="shared" ref="K10:K41" si="1">G10*J10</f>
        <v>24.6</v>
      </c>
      <c r="M10" s="239"/>
      <c r="N10" s="37">
        <f>ROUND(IF(Dados!$J$55="SIM",M10*Dados!$N$55,M10),2)</f>
        <v>0</v>
      </c>
      <c r="O10" s="37">
        <f>ROUND(IF(Dados!$J$56="SIM",N10*Dados!$N$56,N10),2)</f>
        <v>0</v>
      </c>
      <c r="P10" s="37">
        <f>ROUND(IF(Dados!$J$57="SIM",O10*Dados!$N$57,O10),2)</f>
        <v>0</v>
      </c>
      <c r="Q10" s="37">
        <f>ROUND(IF(Dados!$J$58="SIM",P10*Dados!$N$58,P10),2)</f>
        <v>0</v>
      </c>
      <c r="R10" s="240">
        <f>ROUND(IF(Dados!$J$59="SIM",Q10*Dados!$N$59,Q10),2)</f>
        <v>0</v>
      </c>
    </row>
    <row r="11" spans="1:18" s="60" customFormat="1" ht="82.8" x14ac:dyDescent="0.3">
      <c r="A11" s="511">
        <v>3</v>
      </c>
      <c r="B11" s="512" t="s">
        <v>416</v>
      </c>
      <c r="C11" s="513" t="s">
        <v>411</v>
      </c>
      <c r="D11" s="513" t="s">
        <v>417</v>
      </c>
      <c r="E11" s="513">
        <v>1</v>
      </c>
      <c r="F11" s="514" t="s">
        <v>413</v>
      </c>
      <c r="G11" s="237">
        <v>51.61</v>
      </c>
      <c r="H11" s="238"/>
      <c r="I11" s="59"/>
      <c r="J11" s="515">
        <f>'Ocorrências Mensais - FAT'!L27</f>
        <v>1</v>
      </c>
      <c r="K11" s="516">
        <f t="shared" si="1"/>
        <v>51.61</v>
      </c>
      <c r="M11" s="239"/>
      <c r="N11" s="37">
        <f>ROUND(IF(Dados!$J$55="SIM",M11*Dados!$N$55,M11),2)</f>
        <v>0</v>
      </c>
      <c r="O11" s="37">
        <f>ROUND(IF(Dados!$J$56="SIM",N11*Dados!$N$56,N11),2)</f>
        <v>0</v>
      </c>
      <c r="P11" s="37">
        <f>ROUND(IF(Dados!$J$57="SIM",O11*Dados!$N$57,O11),2)</f>
        <v>0</v>
      </c>
      <c r="Q11" s="37">
        <f>ROUND(IF(Dados!$J$58="SIM",P11*Dados!$N$58,P11),2)</f>
        <v>0</v>
      </c>
      <c r="R11" s="240">
        <f>ROUND(IF(Dados!$J$59="SIM",Q11*Dados!$N$59,Q11),2)</f>
        <v>0</v>
      </c>
    </row>
    <row r="12" spans="1:18" s="60" customFormat="1" ht="55.2" x14ac:dyDescent="0.3">
      <c r="A12" s="511">
        <v>4</v>
      </c>
      <c r="B12" s="512" t="s">
        <v>628</v>
      </c>
      <c r="C12" s="513" t="s">
        <v>418</v>
      </c>
      <c r="D12" s="513"/>
      <c r="E12" s="513">
        <v>4</v>
      </c>
      <c r="F12" s="514" t="s">
        <v>419</v>
      </c>
      <c r="G12" s="237">
        <v>20.9</v>
      </c>
      <c r="H12" s="238"/>
      <c r="I12" s="59"/>
      <c r="J12" s="515">
        <f>'Ocorrências Mensais - FAT'!L28</f>
        <v>0.33333333333333331</v>
      </c>
      <c r="K12" s="516">
        <f t="shared" si="1"/>
        <v>6.9666666666666659</v>
      </c>
      <c r="M12" s="239"/>
      <c r="N12" s="37">
        <f>ROUND(IF(Dados!$J$55="SIM",M12*Dados!$N$55,M12),2)</f>
        <v>0</v>
      </c>
      <c r="O12" s="37">
        <f>ROUND(IF(Dados!$J$56="SIM",N12*Dados!$N$56,N12),2)</f>
        <v>0</v>
      </c>
      <c r="P12" s="37">
        <f>ROUND(IF(Dados!$J$57="SIM",O12*Dados!$N$57,O12),2)</f>
        <v>0</v>
      </c>
      <c r="Q12" s="37">
        <f>ROUND(IF(Dados!$J$58="SIM",P12*Dados!$N$58,P12),2)</f>
        <v>0</v>
      </c>
      <c r="R12" s="240">
        <f>ROUND(IF(Dados!$J$59="SIM",Q12*Dados!$N$59,Q12),2)</f>
        <v>0</v>
      </c>
    </row>
    <row r="13" spans="1:18" s="60" customFormat="1" ht="41.4" x14ac:dyDescent="0.3">
      <c r="A13" s="511">
        <v>5</v>
      </c>
      <c r="B13" s="512" t="s">
        <v>420</v>
      </c>
      <c r="C13" s="513" t="s">
        <v>418</v>
      </c>
      <c r="D13" s="513" t="s">
        <v>421</v>
      </c>
      <c r="E13" s="513">
        <v>1</v>
      </c>
      <c r="F13" s="514" t="s">
        <v>419</v>
      </c>
      <c r="G13" s="237">
        <v>9.7200000000000006</v>
      </c>
      <c r="H13" s="238"/>
      <c r="I13" s="59"/>
      <c r="J13" s="515">
        <f>'Ocorrências Mensais - FAT'!L29</f>
        <v>8.3333333333333329E-2</v>
      </c>
      <c r="K13" s="516">
        <f t="shared" si="1"/>
        <v>0.81</v>
      </c>
      <c r="M13" s="239"/>
      <c r="N13" s="37">
        <f>ROUND(IF(Dados!$J$55="SIM",M13*Dados!$N$55,M13),2)</f>
        <v>0</v>
      </c>
      <c r="O13" s="37">
        <f>ROUND(IF(Dados!$J$56="SIM",N13*Dados!$N$56,N13),2)</f>
        <v>0</v>
      </c>
      <c r="P13" s="37">
        <f>ROUND(IF(Dados!$J$57="SIM",O13*Dados!$N$57,O13),2)</f>
        <v>0</v>
      </c>
      <c r="Q13" s="37">
        <f>ROUND(IF(Dados!$J$58="SIM",P13*Dados!$N$58,P13),2)</f>
        <v>0</v>
      </c>
      <c r="R13" s="240">
        <f>ROUND(IF(Dados!$J$59="SIM",Q13*Dados!$N$59,Q13),2)</f>
        <v>0</v>
      </c>
    </row>
    <row r="14" spans="1:18" s="60" customFormat="1" ht="41.4" x14ac:dyDescent="0.3">
      <c r="A14" s="511">
        <v>6</v>
      </c>
      <c r="B14" s="512" t="s">
        <v>422</v>
      </c>
      <c r="C14" s="513" t="s">
        <v>418</v>
      </c>
      <c r="D14" s="513" t="s">
        <v>423</v>
      </c>
      <c r="E14" s="513">
        <v>1</v>
      </c>
      <c r="F14" s="514" t="s">
        <v>419</v>
      </c>
      <c r="G14" s="237">
        <v>14.67</v>
      </c>
      <c r="H14" s="238"/>
      <c r="I14" s="59"/>
      <c r="J14" s="515">
        <f>'Ocorrências Mensais - FAT'!L30</f>
        <v>8.3333333333333329E-2</v>
      </c>
      <c r="K14" s="516">
        <f t="shared" si="1"/>
        <v>1.2224999999999999</v>
      </c>
      <c r="M14" s="239"/>
      <c r="N14" s="37">
        <f>ROUND(IF(Dados!$J$55="SIM",M14*Dados!$N$55,M14),2)</f>
        <v>0</v>
      </c>
      <c r="O14" s="37">
        <f>ROUND(IF(Dados!$J$56="SIM",N14*Dados!$N$56,N14),2)</f>
        <v>0</v>
      </c>
      <c r="P14" s="37">
        <f>ROUND(IF(Dados!$J$57="SIM",O14*Dados!$N$57,O14),2)</f>
        <v>0</v>
      </c>
      <c r="Q14" s="37">
        <f>ROUND(IF(Dados!$J$58="SIM",P14*Dados!$N$58,P14),2)</f>
        <v>0</v>
      </c>
      <c r="R14" s="240">
        <f>ROUND(IF(Dados!$J$59="SIM",Q14*Dados!$N$59,Q14),2)</f>
        <v>0</v>
      </c>
    </row>
    <row r="15" spans="1:18" s="60" customFormat="1" ht="13.8" x14ac:dyDescent="0.3">
      <c r="A15" s="511">
        <v>7</v>
      </c>
      <c r="B15" s="512" t="s">
        <v>424</v>
      </c>
      <c r="C15" s="513" t="s">
        <v>411</v>
      </c>
      <c r="D15" s="513" t="s">
        <v>425</v>
      </c>
      <c r="E15" s="513">
        <v>3</v>
      </c>
      <c r="F15" s="514" t="s">
        <v>413</v>
      </c>
      <c r="G15" s="237">
        <v>35.270000000000003</v>
      </c>
      <c r="H15" s="238"/>
      <c r="I15" s="59"/>
      <c r="J15" s="515">
        <f>'Ocorrências Mensais - FAT'!L31</f>
        <v>3</v>
      </c>
      <c r="K15" s="516">
        <f t="shared" si="1"/>
        <v>105.81</v>
      </c>
      <c r="M15" s="239"/>
      <c r="N15" s="37">
        <f>ROUND(IF(Dados!$J$55="SIM",M15*Dados!$N$55,M15),2)</f>
        <v>0</v>
      </c>
      <c r="O15" s="37">
        <f>ROUND(IF(Dados!$J$56="SIM",N15*Dados!$N$56,N15),2)</f>
        <v>0</v>
      </c>
      <c r="P15" s="37">
        <f>ROUND(IF(Dados!$J$57="SIM",O15*Dados!$N$57,O15),2)</f>
        <v>0</v>
      </c>
      <c r="Q15" s="37">
        <f>ROUND(IF(Dados!$J$58="SIM",P15*Dados!$N$58,P15),2)</f>
        <v>0</v>
      </c>
      <c r="R15" s="240">
        <f>ROUND(IF(Dados!$J$59="SIM",Q15*Dados!$N$59,Q15),2)</f>
        <v>0</v>
      </c>
    </row>
    <row r="16" spans="1:18" s="60" customFormat="1" ht="41.4" x14ac:dyDescent="0.3">
      <c r="A16" s="511">
        <v>8</v>
      </c>
      <c r="B16" s="512" t="s">
        <v>426</v>
      </c>
      <c r="C16" s="513" t="s">
        <v>411</v>
      </c>
      <c r="D16" s="513"/>
      <c r="E16" s="513">
        <v>2</v>
      </c>
      <c r="F16" s="514" t="s">
        <v>413</v>
      </c>
      <c r="G16" s="237">
        <v>29.92</v>
      </c>
      <c r="H16" s="241"/>
      <c r="I16" s="59"/>
      <c r="J16" s="515">
        <f>'Ocorrências Mensais - FAT'!L32</f>
        <v>2</v>
      </c>
      <c r="K16" s="516">
        <f t="shared" si="1"/>
        <v>59.84</v>
      </c>
      <c r="M16" s="239"/>
      <c r="N16" s="37">
        <f>ROUND(IF(Dados!$J$55="SIM",M16*Dados!$N$55,M16),2)</f>
        <v>0</v>
      </c>
      <c r="O16" s="37">
        <f>ROUND(IF(Dados!$J$56="SIM",N16*Dados!$N$56,N16),2)</f>
        <v>0</v>
      </c>
      <c r="P16" s="37">
        <f>ROUND(IF(Dados!$J$57="SIM",O16*Dados!$N$57,O16),2)</f>
        <v>0</v>
      </c>
      <c r="Q16" s="37">
        <f>ROUND(IF(Dados!$J$58="SIM",P16*Dados!$N$58,P16),2)</f>
        <v>0</v>
      </c>
      <c r="R16" s="240">
        <f>ROUND(IF(Dados!$J$59="SIM",Q16*Dados!$N$59,Q16),2)</f>
        <v>0</v>
      </c>
    </row>
    <row r="17" spans="1:18" s="60" customFormat="1" ht="55.2" x14ac:dyDescent="0.3">
      <c r="A17" s="511">
        <v>9</v>
      </c>
      <c r="B17" s="512" t="s">
        <v>427</v>
      </c>
      <c r="C17" s="513" t="s">
        <v>418</v>
      </c>
      <c r="D17" s="513" t="s">
        <v>428</v>
      </c>
      <c r="E17" s="513">
        <v>15</v>
      </c>
      <c r="F17" s="514" t="s">
        <v>413</v>
      </c>
      <c r="G17" s="237">
        <v>4.62</v>
      </c>
      <c r="H17" s="241"/>
      <c r="I17" s="59"/>
      <c r="J17" s="515">
        <f>'Ocorrências Mensais - FAT'!L33</f>
        <v>15</v>
      </c>
      <c r="K17" s="516">
        <f t="shared" si="1"/>
        <v>69.3</v>
      </c>
      <c r="M17" s="239"/>
      <c r="N17" s="37">
        <f>ROUND(IF(Dados!$J$55="SIM",M17*Dados!$N$55,M17),2)</f>
        <v>0</v>
      </c>
      <c r="O17" s="37">
        <f>ROUND(IF(Dados!$J$56="SIM",N17*Dados!$N$56,N17),2)</f>
        <v>0</v>
      </c>
      <c r="P17" s="37">
        <f>ROUND(IF(Dados!$J$57="SIM",O17*Dados!$N$57,O17),2)</f>
        <v>0</v>
      </c>
      <c r="Q17" s="37">
        <f>ROUND(IF(Dados!$J$58="SIM",P17*Dados!$N$58,P17),2)</f>
        <v>0</v>
      </c>
      <c r="R17" s="240">
        <f>ROUND(IF(Dados!$J$59="SIM",Q17*Dados!$N$59,Q17),2)</f>
        <v>0</v>
      </c>
    </row>
    <row r="18" spans="1:18" s="60" customFormat="1" ht="27.6" x14ac:dyDescent="0.3">
      <c r="A18" s="511">
        <v>10</v>
      </c>
      <c r="B18" s="512" t="s">
        <v>429</v>
      </c>
      <c r="C18" s="513" t="s">
        <v>65</v>
      </c>
      <c r="D18" s="513" t="s">
        <v>430</v>
      </c>
      <c r="E18" s="513">
        <v>1</v>
      </c>
      <c r="F18" s="514" t="s">
        <v>419</v>
      </c>
      <c r="G18" s="237">
        <v>3.12</v>
      </c>
      <c r="H18" s="241"/>
      <c r="I18" s="59"/>
      <c r="J18" s="515">
        <f>'Ocorrências Mensais - FAT'!L34</f>
        <v>8.3333333333333329E-2</v>
      </c>
      <c r="K18" s="516">
        <f t="shared" si="1"/>
        <v>0.26</v>
      </c>
      <c r="M18" s="239"/>
      <c r="N18" s="37">
        <f>ROUND(IF(Dados!$J$55="SIM",M18*Dados!$N$55,M18),2)</f>
        <v>0</v>
      </c>
      <c r="O18" s="37">
        <f>ROUND(IF(Dados!$J$56="SIM",N18*Dados!$N$56,N18),2)</f>
        <v>0</v>
      </c>
      <c r="P18" s="37">
        <f>ROUND(IF(Dados!$J$57="SIM",O18*Dados!$N$57,O18),2)</f>
        <v>0</v>
      </c>
      <c r="Q18" s="37">
        <f>ROUND(IF(Dados!$J$58="SIM",P18*Dados!$N$58,P18),2)</f>
        <v>0</v>
      </c>
      <c r="R18" s="240">
        <f>ROUND(IF(Dados!$J$59="SIM",Q18*Dados!$N$59,Q18),2)</f>
        <v>0</v>
      </c>
    </row>
    <row r="19" spans="1:18" s="60" customFormat="1" ht="69" x14ac:dyDescent="0.3">
      <c r="A19" s="511">
        <v>11</v>
      </c>
      <c r="B19" s="512" t="s">
        <v>431</v>
      </c>
      <c r="C19" s="513" t="s">
        <v>432</v>
      </c>
      <c r="D19" s="513" t="s">
        <v>433</v>
      </c>
      <c r="E19" s="513">
        <v>6</v>
      </c>
      <c r="F19" s="514" t="s">
        <v>413</v>
      </c>
      <c r="G19" s="237">
        <v>4.6399999999999997</v>
      </c>
      <c r="H19" s="241"/>
      <c r="I19" s="59"/>
      <c r="J19" s="515">
        <f>'Ocorrências Mensais - FAT'!L35</f>
        <v>6</v>
      </c>
      <c r="K19" s="516">
        <f t="shared" si="1"/>
        <v>27.839999999999996</v>
      </c>
      <c r="M19" s="239"/>
      <c r="N19" s="37">
        <f>ROUND(IF(Dados!$J$55="SIM",M19*Dados!$N$55,M19),2)</f>
        <v>0</v>
      </c>
      <c r="O19" s="37">
        <f>ROUND(IF(Dados!$J$56="SIM",N19*Dados!$N$56,N19),2)</f>
        <v>0</v>
      </c>
      <c r="P19" s="37">
        <f>ROUND(IF(Dados!$J$57="SIM",O19*Dados!$N$57,O19),2)</f>
        <v>0</v>
      </c>
      <c r="Q19" s="37">
        <f>ROUND(IF(Dados!$J$58="SIM",P19*Dados!$N$58,P19),2)</f>
        <v>0</v>
      </c>
      <c r="R19" s="240">
        <f>ROUND(IF(Dados!$J$59="SIM",Q19*Dados!$N$59,Q19),2)</f>
        <v>0</v>
      </c>
    </row>
    <row r="20" spans="1:18" s="60" customFormat="1" ht="124.2" x14ac:dyDescent="0.3">
      <c r="A20" s="511">
        <v>12</v>
      </c>
      <c r="B20" s="512" t="s">
        <v>434</v>
      </c>
      <c r="C20" s="513" t="s">
        <v>418</v>
      </c>
      <c r="D20" s="513" t="s">
        <v>435</v>
      </c>
      <c r="E20" s="513">
        <v>3</v>
      </c>
      <c r="F20" s="514" t="s">
        <v>413</v>
      </c>
      <c r="G20" s="237">
        <v>4.13</v>
      </c>
      <c r="H20" s="238"/>
      <c r="I20" s="59"/>
      <c r="J20" s="515">
        <f>'Ocorrências Mensais - FAT'!L36</f>
        <v>3</v>
      </c>
      <c r="K20" s="516">
        <f t="shared" si="1"/>
        <v>12.39</v>
      </c>
      <c r="M20" s="239"/>
      <c r="N20" s="37">
        <f>ROUND(IF(Dados!$J$55="SIM",M20*Dados!$N$55,M20),2)</f>
        <v>0</v>
      </c>
      <c r="O20" s="37">
        <f>ROUND(IF(Dados!$J$56="SIM",N20*Dados!$N$56,N20),2)</f>
        <v>0</v>
      </c>
      <c r="P20" s="37">
        <f>ROUND(IF(Dados!$J$57="SIM",O20*Dados!$N$57,O20),2)</f>
        <v>0</v>
      </c>
      <c r="Q20" s="37">
        <f>ROUND(IF(Dados!$J$58="SIM",P20*Dados!$N$58,P20),2)</f>
        <v>0</v>
      </c>
      <c r="R20" s="240">
        <f>ROUND(IF(Dados!$J$59="SIM",Q20*Dados!$N$59,Q20),2)</f>
        <v>0</v>
      </c>
    </row>
    <row r="21" spans="1:18" s="60" customFormat="1" ht="41.4" x14ac:dyDescent="0.3">
      <c r="A21" s="511">
        <v>13</v>
      </c>
      <c r="B21" s="512" t="s">
        <v>436</v>
      </c>
      <c r="C21" s="513" t="s">
        <v>432</v>
      </c>
      <c r="D21" s="513" t="s">
        <v>437</v>
      </c>
      <c r="E21" s="513">
        <v>2</v>
      </c>
      <c r="F21" s="514" t="s">
        <v>413</v>
      </c>
      <c r="G21" s="237">
        <v>2.67</v>
      </c>
      <c r="H21" s="241"/>
      <c r="I21" s="59"/>
      <c r="J21" s="515">
        <f>'Ocorrências Mensais - FAT'!L37</f>
        <v>2</v>
      </c>
      <c r="K21" s="516">
        <f t="shared" si="1"/>
        <v>5.34</v>
      </c>
      <c r="M21" s="239"/>
      <c r="N21" s="37">
        <f>ROUND(IF(Dados!$J$55="SIM",M21*Dados!$N$55,M21),2)</f>
        <v>0</v>
      </c>
      <c r="O21" s="37">
        <f>ROUND(IF(Dados!$J$56="SIM",N21*Dados!$N$56,N21),2)</f>
        <v>0</v>
      </c>
      <c r="P21" s="37">
        <f>ROUND(IF(Dados!$J$57="SIM",O21*Dados!$N$57,O21),2)</f>
        <v>0</v>
      </c>
      <c r="Q21" s="37">
        <f>ROUND(IF(Dados!$J$58="SIM",P21*Dados!$N$58,P21),2)</f>
        <v>0</v>
      </c>
      <c r="R21" s="240">
        <f>ROUND(IF(Dados!$J$59="SIM",Q21*Dados!$N$59,Q21),2)</f>
        <v>0</v>
      </c>
    </row>
    <row r="22" spans="1:18" s="60" customFormat="1" ht="13.8" x14ac:dyDescent="0.3">
      <c r="A22" s="511">
        <v>14</v>
      </c>
      <c r="B22" s="512" t="s">
        <v>438</v>
      </c>
      <c r="C22" s="513" t="s">
        <v>65</v>
      </c>
      <c r="D22" s="513" t="s">
        <v>439</v>
      </c>
      <c r="E22" s="513">
        <v>2</v>
      </c>
      <c r="F22" s="514" t="s">
        <v>413</v>
      </c>
      <c r="G22" s="237">
        <v>17.64</v>
      </c>
      <c r="H22" s="241"/>
      <c r="I22" s="59"/>
      <c r="J22" s="515">
        <f>'Ocorrências Mensais - FAT'!L38</f>
        <v>2</v>
      </c>
      <c r="K22" s="516">
        <f t="shared" si="1"/>
        <v>35.28</v>
      </c>
      <c r="M22" s="239"/>
      <c r="N22" s="37">
        <f>ROUND(IF(Dados!$J$55="SIM",M22*Dados!$N$55,M22),2)</f>
        <v>0</v>
      </c>
      <c r="O22" s="37">
        <f>ROUND(IF(Dados!$J$56="SIM",N22*Dados!$N$56,N22),2)</f>
        <v>0</v>
      </c>
      <c r="P22" s="37">
        <f>ROUND(IF(Dados!$J$57="SIM",O22*Dados!$N$57,O22),2)</f>
        <v>0</v>
      </c>
      <c r="Q22" s="37">
        <f>ROUND(IF(Dados!$J$58="SIM",P22*Dados!$N$58,P22),2)</f>
        <v>0</v>
      </c>
      <c r="R22" s="240">
        <f>ROUND(IF(Dados!$J$59="SIM",Q22*Dados!$N$59,Q22),2)</f>
        <v>0</v>
      </c>
    </row>
    <row r="23" spans="1:18" s="60" customFormat="1" ht="55.2" x14ac:dyDescent="0.3">
      <c r="A23" s="511">
        <v>15</v>
      </c>
      <c r="B23" s="512" t="s">
        <v>440</v>
      </c>
      <c r="C23" s="513" t="s">
        <v>441</v>
      </c>
      <c r="D23" s="513" t="s">
        <v>442</v>
      </c>
      <c r="E23" s="513">
        <v>4</v>
      </c>
      <c r="F23" s="514" t="s">
        <v>413</v>
      </c>
      <c r="G23" s="237">
        <v>14.16</v>
      </c>
      <c r="H23" s="241"/>
      <c r="I23" s="59"/>
      <c r="J23" s="515">
        <f>'Ocorrências Mensais - FAT'!L39</f>
        <v>4</v>
      </c>
      <c r="K23" s="516">
        <f t="shared" si="1"/>
        <v>56.64</v>
      </c>
      <c r="M23" s="239"/>
      <c r="N23" s="37">
        <f>ROUND(IF(Dados!$J$55="SIM",M23*Dados!$N$55,M23),2)</f>
        <v>0</v>
      </c>
      <c r="O23" s="37">
        <f>ROUND(IF(Dados!$J$56="SIM",N23*Dados!$N$56,N23),2)</f>
        <v>0</v>
      </c>
      <c r="P23" s="37">
        <f>ROUND(IF(Dados!$J$57="SIM",O23*Dados!$N$57,O23),2)</f>
        <v>0</v>
      </c>
      <c r="Q23" s="37">
        <f>ROUND(IF(Dados!$J$58="SIM",P23*Dados!$N$58,P23),2)</f>
        <v>0</v>
      </c>
      <c r="R23" s="240">
        <f>ROUND(IF(Dados!$J$59="SIM",Q23*Dados!$N$59,Q23),2)</f>
        <v>0</v>
      </c>
    </row>
    <row r="24" spans="1:18" s="60" customFormat="1" ht="69" x14ac:dyDescent="0.3">
      <c r="A24" s="511">
        <v>16</v>
      </c>
      <c r="B24" s="512" t="s">
        <v>443</v>
      </c>
      <c r="C24" s="513" t="s">
        <v>418</v>
      </c>
      <c r="D24" s="513" t="s">
        <v>439</v>
      </c>
      <c r="E24" s="513">
        <v>15</v>
      </c>
      <c r="F24" s="514" t="s">
        <v>413</v>
      </c>
      <c r="G24" s="237">
        <v>6.3</v>
      </c>
      <c r="H24" s="238"/>
      <c r="I24" s="59"/>
      <c r="J24" s="515">
        <f>'Ocorrências Mensais - FAT'!L40</f>
        <v>15</v>
      </c>
      <c r="K24" s="516">
        <f t="shared" si="1"/>
        <v>94.5</v>
      </c>
      <c r="M24" s="239"/>
      <c r="N24" s="37">
        <f>ROUND(IF(Dados!$J$55="SIM",M24*Dados!$N$55,M24),2)</f>
        <v>0</v>
      </c>
      <c r="O24" s="37">
        <f>ROUND(IF(Dados!$J$56="SIM",N24*Dados!$N$56,N24),2)</f>
        <v>0</v>
      </c>
      <c r="P24" s="37">
        <f>ROUND(IF(Dados!$J$57="SIM",O24*Dados!$N$57,O24),2)</f>
        <v>0</v>
      </c>
      <c r="Q24" s="37">
        <f>ROUND(IF(Dados!$J$58="SIM",P24*Dados!$N$58,P24),2)</f>
        <v>0</v>
      </c>
      <c r="R24" s="240">
        <f>ROUND(IF(Dados!$J$59="SIM",Q24*Dados!$N$59,Q24),2)</f>
        <v>0</v>
      </c>
    </row>
    <row r="25" spans="1:18" s="60" customFormat="1" ht="23.25" customHeight="1" x14ac:dyDescent="0.3">
      <c r="A25" s="511">
        <v>17</v>
      </c>
      <c r="B25" s="512" t="s">
        <v>444</v>
      </c>
      <c r="C25" s="513" t="s">
        <v>65</v>
      </c>
      <c r="D25" s="513" t="s">
        <v>442</v>
      </c>
      <c r="E25" s="513">
        <v>1</v>
      </c>
      <c r="F25" s="514" t="s">
        <v>419</v>
      </c>
      <c r="G25" s="237">
        <v>11.67</v>
      </c>
      <c r="H25" s="238"/>
      <c r="I25" s="59"/>
      <c r="J25" s="515">
        <f>'Ocorrências Mensais - FAT'!L41</f>
        <v>8.3333333333333329E-2</v>
      </c>
      <c r="K25" s="516">
        <f t="shared" si="1"/>
        <v>0.97249999999999992</v>
      </c>
      <c r="M25" s="239"/>
      <c r="N25" s="37">
        <f>ROUND(IF(Dados!$J$55="SIM",M25*Dados!$N$55,M25),2)</f>
        <v>0</v>
      </c>
      <c r="O25" s="37">
        <f>ROUND(IF(Dados!$J$56="SIM",N25*Dados!$N$56,N25),2)</f>
        <v>0</v>
      </c>
      <c r="P25" s="37">
        <f>ROUND(IF(Dados!$J$57="SIM",O25*Dados!$N$57,O25),2)</f>
        <v>0</v>
      </c>
      <c r="Q25" s="37">
        <f>ROUND(IF(Dados!$J$58="SIM",P25*Dados!$N$58,P25),2)</f>
        <v>0</v>
      </c>
      <c r="R25" s="240">
        <f>ROUND(IF(Dados!$J$59="SIM",Q25*Dados!$N$59,Q25),2)</f>
        <v>0</v>
      </c>
    </row>
    <row r="26" spans="1:18" s="60" customFormat="1" ht="13.8" x14ac:dyDescent="0.3">
      <c r="A26" s="511">
        <v>18</v>
      </c>
      <c r="B26" s="512" t="s">
        <v>445</v>
      </c>
      <c r="C26" s="513" t="s">
        <v>418</v>
      </c>
      <c r="D26" s="513" t="s">
        <v>446</v>
      </c>
      <c r="E26" s="513">
        <v>4</v>
      </c>
      <c r="F26" s="514" t="s">
        <v>413</v>
      </c>
      <c r="G26" s="237">
        <v>6.89</v>
      </c>
      <c r="H26" s="238"/>
      <c r="I26" s="59"/>
      <c r="J26" s="515">
        <f>'Ocorrências Mensais - FAT'!L42</f>
        <v>4</v>
      </c>
      <c r="K26" s="516">
        <f t="shared" si="1"/>
        <v>27.56</v>
      </c>
      <c r="M26" s="239"/>
      <c r="N26" s="37">
        <f>ROUND(IF(Dados!$J$55="SIM",M26*Dados!$N$55,M26),2)</f>
        <v>0</v>
      </c>
      <c r="O26" s="37">
        <f>ROUND(IF(Dados!$J$56="SIM",N26*Dados!$N$56,N26),2)</f>
        <v>0</v>
      </c>
      <c r="P26" s="37">
        <f>ROUND(IF(Dados!$J$57="SIM",O26*Dados!$N$57,O26),2)</f>
        <v>0</v>
      </c>
      <c r="Q26" s="37">
        <f>ROUND(IF(Dados!$J$58="SIM",P26*Dados!$N$58,P26),2)</f>
        <v>0</v>
      </c>
      <c r="R26" s="240">
        <f>ROUND(IF(Dados!$J$59="SIM",Q26*Dados!$N$59,Q26),2)</f>
        <v>0</v>
      </c>
    </row>
    <row r="27" spans="1:18" s="60" customFormat="1" ht="55.2" x14ac:dyDescent="0.3">
      <c r="A27" s="511">
        <v>19</v>
      </c>
      <c r="B27" s="512" t="s">
        <v>447</v>
      </c>
      <c r="C27" s="513" t="s">
        <v>448</v>
      </c>
      <c r="D27" s="513" t="s">
        <v>449</v>
      </c>
      <c r="E27" s="513">
        <v>10</v>
      </c>
      <c r="F27" s="514" t="s">
        <v>413</v>
      </c>
      <c r="G27" s="237">
        <v>15.94</v>
      </c>
      <c r="H27" s="241"/>
      <c r="I27" s="59"/>
      <c r="J27" s="515">
        <f>'Ocorrências Mensais - FAT'!L43</f>
        <v>10</v>
      </c>
      <c r="K27" s="516">
        <f t="shared" si="1"/>
        <v>159.4</v>
      </c>
      <c r="M27" s="239"/>
      <c r="N27" s="37">
        <f>ROUND(IF(Dados!$J$55="SIM",M27*Dados!$N$55,M27),2)</f>
        <v>0</v>
      </c>
      <c r="O27" s="37">
        <f>ROUND(IF(Dados!$J$56="SIM",N27*Dados!$N$56,N27),2)</f>
        <v>0</v>
      </c>
      <c r="P27" s="37">
        <f>ROUND(IF(Dados!$J$57="SIM",O27*Dados!$N$57,O27),2)</f>
        <v>0</v>
      </c>
      <c r="Q27" s="37">
        <f>ROUND(IF(Dados!$J$58="SIM",P27*Dados!$N$58,P27),2)</f>
        <v>0</v>
      </c>
      <c r="R27" s="240">
        <f>ROUND(IF(Dados!$J$59="SIM",Q27*Dados!$N$59,Q27),2)</f>
        <v>0</v>
      </c>
    </row>
    <row r="28" spans="1:18" s="60" customFormat="1" ht="55.2" x14ac:dyDescent="0.3">
      <c r="A28" s="511">
        <v>20</v>
      </c>
      <c r="B28" s="512" t="s">
        <v>450</v>
      </c>
      <c r="C28" s="513" t="s">
        <v>432</v>
      </c>
      <c r="D28" s="513" t="s">
        <v>451</v>
      </c>
      <c r="E28" s="513">
        <v>25</v>
      </c>
      <c r="F28" s="514" t="s">
        <v>413</v>
      </c>
      <c r="G28" s="237">
        <v>25.26</v>
      </c>
      <c r="H28" s="241"/>
      <c r="I28" s="59"/>
      <c r="J28" s="515">
        <f>'Ocorrências Mensais - FAT'!L44</f>
        <v>25</v>
      </c>
      <c r="K28" s="516">
        <f t="shared" si="1"/>
        <v>631.5</v>
      </c>
      <c r="M28" s="239"/>
      <c r="N28" s="37"/>
      <c r="O28" s="37"/>
      <c r="P28" s="37"/>
      <c r="Q28" s="37"/>
      <c r="R28" s="240"/>
    </row>
    <row r="29" spans="1:18" s="60" customFormat="1" ht="27.6" x14ac:dyDescent="0.3">
      <c r="A29" s="511">
        <v>21</v>
      </c>
      <c r="B29" s="512" t="s">
        <v>452</v>
      </c>
      <c r="C29" s="513" t="s">
        <v>65</v>
      </c>
      <c r="D29" s="513" t="s">
        <v>453</v>
      </c>
      <c r="E29" s="513">
        <v>30</v>
      </c>
      <c r="F29" s="514" t="s">
        <v>413</v>
      </c>
      <c r="G29" s="237">
        <v>3.52</v>
      </c>
      <c r="H29" s="241"/>
      <c r="I29" s="59"/>
      <c r="J29" s="515">
        <f>'Ocorrências Mensais - FAT'!L45</f>
        <v>30</v>
      </c>
      <c r="K29" s="516">
        <f t="shared" si="1"/>
        <v>105.6</v>
      </c>
      <c r="M29" s="239"/>
      <c r="N29" s="37">
        <f>ROUND(IF(Dados!$J$55="SIM",M29*Dados!$N$55,M29),2)</f>
        <v>0</v>
      </c>
      <c r="O29" s="37">
        <f>ROUND(IF(Dados!$J$56="SIM",N29*Dados!$N$56,N29),2)</f>
        <v>0</v>
      </c>
      <c r="P29" s="37">
        <f>ROUND(IF(Dados!$J$57="SIM",O29*Dados!$N$57,O29),2)</f>
        <v>0</v>
      </c>
      <c r="Q29" s="37">
        <f>ROUND(IF(Dados!$J$58="SIM",P29*Dados!$N$58,P29),2)</f>
        <v>0</v>
      </c>
      <c r="R29" s="240">
        <f>ROUND(IF(Dados!$J$59="SIM",Q29*Dados!$N$59,Q29),2)</f>
        <v>0</v>
      </c>
    </row>
    <row r="30" spans="1:18" s="60" customFormat="1" ht="41.4" x14ac:dyDescent="0.3">
      <c r="A30" s="511">
        <v>22</v>
      </c>
      <c r="B30" s="512" t="s">
        <v>454</v>
      </c>
      <c r="C30" s="513" t="s">
        <v>65</v>
      </c>
      <c r="D30" s="513" t="s">
        <v>455</v>
      </c>
      <c r="E30" s="513">
        <v>6</v>
      </c>
      <c r="F30" s="514" t="s">
        <v>419</v>
      </c>
      <c r="G30" s="237">
        <v>14.95</v>
      </c>
      <c r="H30" s="238"/>
      <c r="I30" s="59"/>
      <c r="J30" s="515">
        <f>'Ocorrências Mensais - FAT'!L46</f>
        <v>0.5</v>
      </c>
      <c r="K30" s="516">
        <f t="shared" si="1"/>
        <v>7.4749999999999996</v>
      </c>
      <c r="M30" s="239"/>
      <c r="N30" s="37">
        <f>ROUND(IF(Dados!$J$55="SIM",M30*Dados!$N$55,M30),2)</f>
        <v>0</v>
      </c>
      <c r="O30" s="37">
        <f>ROUND(IF(Dados!$J$56="SIM",N30*Dados!$N$56,N30),2)</f>
        <v>0</v>
      </c>
      <c r="P30" s="37">
        <f>ROUND(IF(Dados!$J$57="SIM",O30*Dados!$N$57,O30),2)</f>
        <v>0</v>
      </c>
      <c r="Q30" s="37">
        <f>ROUND(IF(Dados!$J$58="SIM",P30*Dados!$N$58,P30),2)</f>
        <v>0</v>
      </c>
      <c r="R30" s="240">
        <f>ROUND(IF(Dados!$J$59="SIM",Q30*Dados!$N$59,Q30),2)</f>
        <v>0</v>
      </c>
    </row>
    <row r="31" spans="1:18" s="60" customFormat="1" ht="27.6" x14ac:dyDescent="0.3">
      <c r="A31" s="511">
        <v>23</v>
      </c>
      <c r="B31" s="512" t="s">
        <v>456</v>
      </c>
      <c r="C31" s="513" t="s">
        <v>432</v>
      </c>
      <c r="D31" s="513" t="s">
        <v>457</v>
      </c>
      <c r="E31" s="513">
        <v>1</v>
      </c>
      <c r="F31" s="514" t="s">
        <v>458</v>
      </c>
      <c r="G31" s="237">
        <v>10.25</v>
      </c>
      <c r="H31" s="241"/>
      <c r="I31" s="59"/>
      <c r="J31" s="515">
        <f>'Ocorrências Mensais - FAT'!L47</f>
        <v>0.5</v>
      </c>
      <c r="K31" s="516">
        <f t="shared" si="1"/>
        <v>5.125</v>
      </c>
      <c r="M31" s="239"/>
      <c r="N31" s="37">
        <f>ROUND(IF(Dados!$J$55="SIM",M31*Dados!$N$55,M31),2)</f>
        <v>0</v>
      </c>
      <c r="O31" s="37">
        <f>ROUND(IF(Dados!$J$56="SIM",N31*Dados!$N$56,N31),2)</f>
        <v>0</v>
      </c>
      <c r="P31" s="37">
        <f>ROUND(IF(Dados!$J$57="SIM",O31*Dados!$N$57,O31),2)</f>
        <v>0</v>
      </c>
      <c r="Q31" s="37">
        <f>ROUND(IF(Dados!$J$58="SIM",P31*Dados!$N$58,P31),2)</f>
        <v>0</v>
      </c>
      <c r="R31" s="240">
        <f>ROUND(IF(Dados!$J$59="SIM",Q31*Dados!$N$59,Q31),2)</f>
        <v>0</v>
      </c>
    </row>
    <row r="32" spans="1:18" s="60" customFormat="1" ht="69" x14ac:dyDescent="0.3">
      <c r="A32" s="511">
        <v>24</v>
      </c>
      <c r="B32" s="512" t="s">
        <v>459</v>
      </c>
      <c r="C32" s="513" t="s">
        <v>460</v>
      </c>
      <c r="D32" s="513" t="s">
        <v>461</v>
      </c>
      <c r="E32" s="513">
        <v>2</v>
      </c>
      <c r="F32" s="514" t="s">
        <v>413</v>
      </c>
      <c r="G32" s="237">
        <v>16.27</v>
      </c>
      <c r="H32" s="241"/>
      <c r="I32" s="59"/>
      <c r="J32" s="515">
        <f>'Ocorrências Mensais - FAT'!L48</f>
        <v>2</v>
      </c>
      <c r="K32" s="516">
        <f t="shared" si="1"/>
        <v>32.54</v>
      </c>
      <c r="M32" s="239"/>
      <c r="N32" s="37"/>
      <c r="O32" s="37"/>
      <c r="P32" s="37"/>
      <c r="Q32" s="37"/>
      <c r="R32" s="240"/>
    </row>
    <row r="33" spans="1:18" s="60" customFormat="1" ht="27.6" x14ac:dyDescent="0.3">
      <c r="A33" s="511">
        <v>25</v>
      </c>
      <c r="B33" s="512" t="s">
        <v>462</v>
      </c>
      <c r="C33" s="513" t="s">
        <v>411</v>
      </c>
      <c r="D33" s="513" t="s">
        <v>463</v>
      </c>
      <c r="E33" s="513">
        <v>2</v>
      </c>
      <c r="F33" s="514" t="s">
        <v>413</v>
      </c>
      <c r="G33" s="237">
        <v>20.52</v>
      </c>
      <c r="H33" s="241"/>
      <c r="I33" s="59"/>
      <c r="J33" s="515">
        <f>'Ocorrências Mensais - FAT'!L49</f>
        <v>2</v>
      </c>
      <c r="K33" s="516">
        <f t="shared" si="1"/>
        <v>41.04</v>
      </c>
      <c r="M33" s="239"/>
      <c r="N33" s="37">
        <f>ROUND(IF(Dados!$J$55="SIM",M33*Dados!$N$55,M33),2)</f>
        <v>0</v>
      </c>
      <c r="O33" s="37">
        <f>ROUND(IF(Dados!$J$56="SIM",N33*Dados!$N$56,N33),2)</f>
        <v>0</v>
      </c>
      <c r="P33" s="37">
        <f>ROUND(IF(Dados!$J$57="SIM",O33*Dados!$N$57,O33),2)</f>
        <v>0</v>
      </c>
      <c r="Q33" s="37">
        <f>ROUND(IF(Dados!$J$58="SIM",P33*Dados!$N$58,P33),2)</f>
        <v>0</v>
      </c>
      <c r="R33" s="240">
        <f>ROUND(IF(Dados!$J$59="SIM",Q33*Dados!$N$59,Q33),2)</f>
        <v>0</v>
      </c>
    </row>
    <row r="34" spans="1:18" s="60" customFormat="1" ht="27.6" x14ac:dyDescent="0.3">
      <c r="A34" s="511">
        <v>26</v>
      </c>
      <c r="B34" s="512" t="s">
        <v>464</v>
      </c>
      <c r="C34" s="513" t="s">
        <v>65</v>
      </c>
      <c r="D34" s="513" t="s">
        <v>465</v>
      </c>
      <c r="E34" s="513">
        <v>16</v>
      </c>
      <c r="F34" s="514" t="s">
        <v>458</v>
      </c>
      <c r="G34" s="237">
        <v>10.85</v>
      </c>
      <c r="H34" s="238"/>
      <c r="I34" s="59"/>
      <c r="J34" s="515">
        <f>'Ocorrências Mensais - FAT'!L50</f>
        <v>8</v>
      </c>
      <c r="K34" s="516">
        <f t="shared" si="1"/>
        <v>86.8</v>
      </c>
      <c r="M34" s="239"/>
      <c r="N34" s="37">
        <f>ROUND(IF(Dados!$J$55="SIM",M34*Dados!$N$55,M34),2)</f>
        <v>0</v>
      </c>
      <c r="O34" s="37">
        <f>ROUND(IF(Dados!$J$56="SIM",N34*Dados!$N$56,N34),2)</f>
        <v>0</v>
      </c>
      <c r="P34" s="37">
        <f>ROUND(IF(Dados!$J$57="SIM",O34*Dados!$N$57,O34),2)</f>
        <v>0</v>
      </c>
      <c r="Q34" s="37">
        <f>ROUND(IF(Dados!$J$58="SIM",P34*Dados!$N$58,P34),2)</f>
        <v>0</v>
      </c>
      <c r="R34" s="240">
        <f>ROUND(IF(Dados!$J$59="SIM",Q34*Dados!$N$59,Q34),2)</f>
        <v>0</v>
      </c>
    </row>
    <row r="35" spans="1:18" s="60" customFormat="1" ht="41.4" x14ac:dyDescent="0.3">
      <c r="A35" s="511">
        <v>27</v>
      </c>
      <c r="B35" s="512" t="s">
        <v>466</v>
      </c>
      <c r="C35" s="513" t="s">
        <v>467</v>
      </c>
      <c r="D35" s="513" t="s">
        <v>468</v>
      </c>
      <c r="E35" s="513">
        <v>2</v>
      </c>
      <c r="F35" s="514" t="s">
        <v>413</v>
      </c>
      <c r="G35" s="237">
        <v>17.75</v>
      </c>
      <c r="H35" s="238"/>
      <c r="I35" s="59"/>
      <c r="J35" s="515">
        <f>'Ocorrências Mensais - FAT'!L51</f>
        <v>2</v>
      </c>
      <c r="K35" s="516">
        <f t="shared" si="1"/>
        <v>35.5</v>
      </c>
      <c r="M35" s="239"/>
      <c r="N35" s="37">
        <f>ROUND(IF(Dados!$J$55="SIM",M35*Dados!$N$55,M35),2)</f>
        <v>0</v>
      </c>
      <c r="O35" s="37">
        <f>ROUND(IF(Dados!$J$56="SIM",N35*Dados!$N$56,N35),2)</f>
        <v>0</v>
      </c>
      <c r="P35" s="37">
        <f>ROUND(IF(Dados!$J$57="SIM",O35*Dados!$N$57,O35),2)</f>
        <v>0</v>
      </c>
      <c r="Q35" s="37">
        <f>ROUND(IF(Dados!$J$58="SIM",P35*Dados!$N$58,P35),2)</f>
        <v>0</v>
      </c>
      <c r="R35" s="240">
        <f>ROUND(IF(Dados!$J$59="SIM",Q35*Dados!$N$59,Q35),2)</f>
        <v>0</v>
      </c>
    </row>
    <row r="36" spans="1:18" s="60" customFormat="1" ht="55.2" x14ac:dyDescent="0.3">
      <c r="A36" s="511">
        <v>28</v>
      </c>
      <c r="B36" s="512" t="s">
        <v>469</v>
      </c>
      <c r="C36" s="513" t="s">
        <v>467</v>
      </c>
      <c r="D36" s="513" t="s">
        <v>468</v>
      </c>
      <c r="E36" s="513">
        <v>12</v>
      </c>
      <c r="F36" s="514" t="s">
        <v>413</v>
      </c>
      <c r="G36" s="237">
        <v>59.17</v>
      </c>
      <c r="H36" s="238"/>
      <c r="I36" s="59"/>
      <c r="J36" s="515">
        <f>'Ocorrências Mensais - FAT'!L52</f>
        <v>12</v>
      </c>
      <c r="K36" s="516">
        <f t="shared" si="1"/>
        <v>710.04</v>
      </c>
      <c r="M36" s="239"/>
      <c r="N36" s="37">
        <f>ROUND(IF(Dados!$J$55="SIM",M36*Dados!$N$55,M36),2)</f>
        <v>0</v>
      </c>
      <c r="O36" s="37">
        <f>ROUND(IF(Dados!$J$56="SIM",N36*Dados!$N$56,N36),2)</f>
        <v>0</v>
      </c>
      <c r="P36" s="37">
        <f>ROUND(IF(Dados!$J$57="SIM",O36*Dados!$N$57,O36),2)</f>
        <v>0</v>
      </c>
      <c r="Q36" s="37">
        <f>ROUND(IF(Dados!$J$58="SIM",P36*Dados!$N$58,P36),2)</f>
        <v>0</v>
      </c>
      <c r="R36" s="240">
        <f>ROUND(IF(Dados!$J$59="SIM",Q36*Dados!$N$59,Q36),2)</f>
        <v>0</v>
      </c>
    </row>
    <row r="37" spans="1:18" s="60" customFormat="1" ht="27.6" x14ac:dyDescent="0.3">
      <c r="A37" s="511">
        <v>29</v>
      </c>
      <c r="B37" s="512" t="s">
        <v>470</v>
      </c>
      <c r="C37" s="513" t="s">
        <v>418</v>
      </c>
      <c r="D37" s="513" t="s">
        <v>455</v>
      </c>
      <c r="E37" s="513">
        <v>1</v>
      </c>
      <c r="F37" s="514" t="s">
        <v>419</v>
      </c>
      <c r="G37" s="237">
        <v>15.98</v>
      </c>
      <c r="H37" s="241"/>
      <c r="I37" s="59"/>
      <c r="J37" s="515">
        <f>'Ocorrências Mensais - FAT'!L53</f>
        <v>8.3333333333333329E-2</v>
      </c>
      <c r="K37" s="516">
        <f t="shared" si="1"/>
        <v>1.3316666666666666</v>
      </c>
      <c r="M37" s="239"/>
      <c r="N37" s="37">
        <f>ROUND(IF(Dados!$J$55="SIM",M37*Dados!$N$55,M37),2)</f>
        <v>0</v>
      </c>
      <c r="O37" s="37">
        <f>ROUND(IF(Dados!$J$56="SIM",N37*Dados!$N$56,N37),2)</f>
        <v>0</v>
      </c>
      <c r="P37" s="37">
        <f>ROUND(IF(Dados!$J$57="SIM",O37*Dados!$N$57,O37),2)</f>
        <v>0</v>
      </c>
      <c r="Q37" s="37">
        <f>ROUND(IF(Dados!$J$58="SIM",P37*Dados!$N$58,P37),2)</f>
        <v>0</v>
      </c>
      <c r="R37" s="240">
        <f>ROUND(IF(Dados!$J$59="SIM",Q37*Dados!$N$59,Q37),2)</f>
        <v>0</v>
      </c>
    </row>
    <row r="38" spans="1:18" s="60" customFormat="1" ht="41.4" x14ac:dyDescent="0.3">
      <c r="A38" s="511">
        <v>30</v>
      </c>
      <c r="B38" s="512" t="s">
        <v>471</v>
      </c>
      <c r="C38" s="513" t="s">
        <v>65</v>
      </c>
      <c r="D38" s="513" t="s">
        <v>472</v>
      </c>
      <c r="E38" s="513">
        <v>2</v>
      </c>
      <c r="F38" s="514" t="s">
        <v>419</v>
      </c>
      <c r="G38" s="237">
        <v>17.61</v>
      </c>
      <c r="H38" s="241"/>
      <c r="I38" s="59"/>
      <c r="J38" s="515">
        <f>'Ocorrências Mensais - FAT'!L54</f>
        <v>0.16666666666666666</v>
      </c>
      <c r="K38" s="516">
        <f t="shared" si="1"/>
        <v>2.9349999999999996</v>
      </c>
      <c r="M38" s="239"/>
      <c r="N38" s="37">
        <f>ROUND(IF(Dados!$J$55="SIM",M38*Dados!$N$55,M38),2)</f>
        <v>0</v>
      </c>
      <c r="O38" s="37">
        <f>ROUND(IF(Dados!$J$56="SIM",N38*Dados!$N$56,N38),2)</f>
        <v>0</v>
      </c>
      <c r="P38" s="37">
        <f>ROUND(IF(Dados!$J$57="SIM",O38*Dados!$N$57,O38),2)</f>
        <v>0</v>
      </c>
      <c r="Q38" s="37">
        <f>ROUND(IF(Dados!$J$58="SIM",P38*Dados!$N$58,P38),2)</f>
        <v>0</v>
      </c>
      <c r="R38" s="240">
        <f>ROUND(IF(Dados!$J$59="SIM",Q38*Dados!$N$59,Q38),2)</f>
        <v>0</v>
      </c>
    </row>
    <row r="39" spans="1:18" s="60" customFormat="1" ht="27.6" x14ac:dyDescent="0.3">
      <c r="A39" s="511">
        <v>31</v>
      </c>
      <c r="B39" s="512" t="s">
        <v>473</v>
      </c>
      <c r="C39" s="513" t="s">
        <v>65</v>
      </c>
      <c r="D39" s="513" t="s">
        <v>474</v>
      </c>
      <c r="E39" s="513">
        <v>1</v>
      </c>
      <c r="F39" s="514" t="s">
        <v>458</v>
      </c>
      <c r="G39" s="237">
        <v>11.75</v>
      </c>
      <c r="H39" s="241"/>
      <c r="I39" s="59"/>
      <c r="J39" s="515">
        <f>'Ocorrências Mensais - FAT'!L55</f>
        <v>0.5</v>
      </c>
      <c r="K39" s="516">
        <f t="shared" si="1"/>
        <v>5.875</v>
      </c>
      <c r="M39" s="239"/>
      <c r="N39" s="37">
        <f>ROUND(IF(Dados!$J$55="SIM",M39*Dados!$N$55,M39),2)</f>
        <v>0</v>
      </c>
      <c r="O39" s="37">
        <f>ROUND(IF(Dados!$J$56="SIM",N39*Dados!$N$56,N39),2)</f>
        <v>0</v>
      </c>
      <c r="P39" s="37">
        <f>ROUND(IF(Dados!$J$57="SIM",O39*Dados!$N$57,O39),2)</f>
        <v>0</v>
      </c>
      <c r="Q39" s="37">
        <f>ROUND(IF(Dados!$J$58="SIM",P39*Dados!$N$58,P39),2)</f>
        <v>0</v>
      </c>
      <c r="R39" s="240">
        <f>ROUND(IF(Dados!$J$59="SIM",Q39*Dados!$N$59,Q39),2)</f>
        <v>0</v>
      </c>
    </row>
    <row r="40" spans="1:18" s="60" customFormat="1" ht="13.8" x14ac:dyDescent="0.3">
      <c r="A40" s="511">
        <v>32</v>
      </c>
      <c r="B40" s="512" t="s">
        <v>475</v>
      </c>
      <c r="C40" s="513" t="s">
        <v>65</v>
      </c>
      <c r="D40" s="513"/>
      <c r="E40" s="513">
        <v>4</v>
      </c>
      <c r="F40" s="514" t="s">
        <v>419</v>
      </c>
      <c r="G40" s="237">
        <v>77.459999999999994</v>
      </c>
      <c r="H40" s="241"/>
      <c r="I40" s="59"/>
      <c r="J40" s="515">
        <f>'Ocorrências Mensais - FAT'!L56</f>
        <v>0.33333333333333331</v>
      </c>
      <c r="K40" s="516">
        <f t="shared" si="1"/>
        <v>25.819999999999997</v>
      </c>
      <c r="M40" s="239"/>
      <c r="N40" s="37"/>
      <c r="O40" s="37"/>
      <c r="P40" s="37"/>
      <c r="Q40" s="37"/>
      <c r="R40" s="240"/>
    </row>
    <row r="41" spans="1:18" s="60" customFormat="1" ht="27.6" x14ac:dyDescent="0.3">
      <c r="A41" s="511">
        <v>33</v>
      </c>
      <c r="B41" s="512" t="s">
        <v>476</v>
      </c>
      <c r="C41" s="513" t="s">
        <v>65</v>
      </c>
      <c r="D41" s="513" t="s">
        <v>477</v>
      </c>
      <c r="E41" s="513">
        <v>1</v>
      </c>
      <c r="F41" s="514" t="s">
        <v>419</v>
      </c>
      <c r="G41" s="237">
        <v>224.33</v>
      </c>
      <c r="H41" s="241"/>
      <c r="I41" s="59"/>
      <c r="J41" s="515">
        <f>'Ocorrências Mensais - FAT'!L57</f>
        <v>8.3333333333333329E-2</v>
      </c>
      <c r="K41" s="516">
        <f t="shared" si="1"/>
        <v>18.694166666666668</v>
      </c>
      <c r="M41" s="239"/>
      <c r="N41" s="37">
        <f>ROUND(IF(Dados!$J$55="SIM",M41*Dados!$N$55,M41),2)</f>
        <v>0</v>
      </c>
      <c r="O41" s="37">
        <f>ROUND(IF(Dados!$J$56="SIM",N41*Dados!$N$56,N41),2)</f>
        <v>0</v>
      </c>
      <c r="P41" s="37">
        <f>ROUND(IF(Dados!$J$57="SIM",O41*Dados!$N$57,O41),2)</f>
        <v>0</v>
      </c>
      <c r="Q41" s="37">
        <f>ROUND(IF(Dados!$J$58="SIM",P41*Dados!$N$58,P41),2)</f>
        <v>0</v>
      </c>
      <c r="R41" s="240">
        <f>ROUND(IF(Dados!$J$59="SIM",Q41*Dados!$N$59,Q41),2)</f>
        <v>0</v>
      </c>
    </row>
    <row r="42" spans="1:18" ht="23.25" customHeight="1" thickBot="1" x14ac:dyDescent="0.35">
      <c r="A42" s="644" t="s">
        <v>73</v>
      </c>
      <c r="B42" s="644"/>
      <c r="C42" s="644"/>
      <c r="D42" s="644"/>
      <c r="E42" s="644"/>
      <c r="F42" s="644"/>
      <c r="G42" s="644"/>
      <c r="H42" s="242"/>
      <c r="I42" s="76"/>
      <c r="J42" s="517" t="s">
        <v>191</v>
      </c>
      <c r="K42" s="518">
        <f>SUM(K9:K41)</f>
        <v>2482.0974999999994</v>
      </c>
      <c r="M42" s="77"/>
      <c r="N42" s="1"/>
      <c r="O42" s="3"/>
      <c r="P42" s="3"/>
      <c r="Q42" s="3"/>
      <c r="R42" s="3"/>
    </row>
    <row r="43" spans="1:18" ht="23.25" customHeight="1" x14ac:dyDescent="0.3">
      <c r="A43" s="243"/>
      <c r="H43" s="244"/>
      <c r="M43" s="77"/>
      <c r="N43" s="1"/>
      <c r="O43" s="3"/>
      <c r="P43" s="3"/>
      <c r="Q43" s="3"/>
      <c r="R43" s="3"/>
    </row>
    <row r="44" spans="1:18" ht="23.25" customHeight="1" x14ac:dyDescent="0.3">
      <c r="A44" s="634" t="s">
        <v>478</v>
      </c>
      <c r="B44" s="634"/>
      <c r="C44" s="634"/>
      <c r="D44" s="634"/>
      <c r="E44" s="634"/>
      <c r="F44" s="634"/>
      <c r="G44" s="634"/>
      <c r="H44" s="634"/>
      <c r="I44" s="60"/>
      <c r="J44" s="60"/>
      <c r="M44" s="77"/>
      <c r="N44" s="1"/>
      <c r="O44" s="3"/>
      <c r="P44" s="3"/>
      <c r="Q44" s="3"/>
      <c r="R44" s="3"/>
    </row>
    <row r="45" spans="1:18" ht="2.25" customHeight="1" thickBot="1" x14ac:dyDescent="0.35">
      <c r="A45" s="245"/>
      <c r="B45" s="246"/>
      <c r="C45" s="246"/>
      <c r="D45" s="246"/>
      <c r="E45" s="246"/>
      <c r="F45" s="246"/>
      <c r="G45" s="246"/>
      <c r="H45" s="247"/>
      <c r="I45" s="60"/>
      <c r="J45" s="60"/>
      <c r="M45" s="77"/>
      <c r="N45" s="1"/>
      <c r="O45" s="3"/>
      <c r="P45" s="3"/>
      <c r="Q45" s="3"/>
      <c r="R45" s="3"/>
    </row>
    <row r="46" spans="1:18" ht="23.25" customHeight="1" x14ac:dyDescent="0.3">
      <c r="A46" s="636" t="s">
        <v>59</v>
      </c>
      <c r="B46" s="637" t="s">
        <v>403</v>
      </c>
      <c r="C46" s="637"/>
      <c r="D46" s="637"/>
      <c r="E46" s="639" t="s">
        <v>404</v>
      </c>
      <c r="F46" s="639" t="s">
        <v>71</v>
      </c>
      <c r="G46" s="639" t="s">
        <v>479</v>
      </c>
      <c r="H46" s="638" t="s">
        <v>406</v>
      </c>
      <c r="I46" s="60"/>
      <c r="J46" s="643" t="s">
        <v>407</v>
      </c>
      <c r="K46" s="643"/>
      <c r="M46" s="586" t="s">
        <v>408</v>
      </c>
      <c r="N46" s="586"/>
      <c r="O46" s="586"/>
      <c r="P46" s="586"/>
      <c r="Q46" s="586"/>
      <c r="R46" s="586"/>
    </row>
    <row r="47" spans="1:18" ht="23.25" customHeight="1" x14ac:dyDescent="0.3">
      <c r="A47" s="636"/>
      <c r="B47" s="232" t="s">
        <v>64</v>
      </c>
      <c r="C47" s="233" t="s">
        <v>65</v>
      </c>
      <c r="D47" s="233" t="s">
        <v>480</v>
      </c>
      <c r="E47" s="641"/>
      <c r="F47" s="641"/>
      <c r="G47" s="641"/>
      <c r="H47" s="638"/>
      <c r="I47" s="60"/>
      <c r="J47" s="234" t="s">
        <v>69</v>
      </c>
      <c r="K47" s="235" t="s">
        <v>68</v>
      </c>
      <c r="M47" s="236" t="s">
        <v>409</v>
      </c>
      <c r="N47" s="55" t="s">
        <v>270</v>
      </c>
      <c r="O47" s="55" t="s">
        <v>271</v>
      </c>
      <c r="P47" s="55" t="s">
        <v>272</v>
      </c>
      <c r="Q47" s="55" t="s">
        <v>273</v>
      </c>
      <c r="R47" s="64" t="s">
        <v>274</v>
      </c>
    </row>
    <row r="48" spans="1:18" ht="41.4" x14ac:dyDescent="0.3">
      <c r="A48" s="519">
        <v>1</v>
      </c>
      <c r="B48" s="520" t="s">
        <v>420</v>
      </c>
      <c r="C48" s="513" t="s">
        <v>481</v>
      </c>
      <c r="D48" s="521" t="s">
        <v>421</v>
      </c>
      <c r="E48" s="521">
        <v>1</v>
      </c>
      <c r="F48" s="521" t="s">
        <v>419</v>
      </c>
      <c r="G48" s="522">
        <v>9.7200000000000006</v>
      </c>
      <c r="H48" s="523"/>
      <c r="I48" s="524"/>
      <c r="J48" s="525">
        <f>'Ocorrências Mensais - FAT'!L66</f>
        <v>8.3333333333333329E-2</v>
      </c>
      <c r="K48" s="526">
        <f t="shared" ref="K48:K53" si="2">G48*J48</f>
        <v>0.81</v>
      </c>
      <c r="M48" s="239"/>
      <c r="N48" s="37">
        <f>ROUND(IF(Dados!$J$55="SIM",M48*Dados!$N$55,M48),2)</f>
        <v>0</v>
      </c>
      <c r="O48" s="37">
        <f>ROUND(IF(Dados!$J$56="SIM",N48*Dados!$N$56,N48),2)</f>
        <v>0</v>
      </c>
      <c r="P48" s="37">
        <f>ROUND(IF(Dados!$J$57="SIM",O48*Dados!$N$57,O48),2)</f>
        <v>0</v>
      </c>
      <c r="Q48" s="37">
        <f>ROUND(IF(Dados!$J$58="SIM",P48*Dados!$N$58,P48),2)</f>
        <v>0</v>
      </c>
      <c r="R48" s="240">
        <f>ROUND(IF(Dados!$J$59="SIM",Q48*Dados!$N$59,Q48),2)</f>
        <v>0</v>
      </c>
    </row>
    <row r="49" spans="1:18" ht="55.2" x14ac:dyDescent="0.3">
      <c r="A49" s="519">
        <v>2</v>
      </c>
      <c r="B49" s="520" t="s">
        <v>427</v>
      </c>
      <c r="C49" s="513" t="s">
        <v>481</v>
      </c>
      <c r="D49" s="521" t="s">
        <v>428</v>
      </c>
      <c r="E49" s="521">
        <v>4</v>
      </c>
      <c r="F49" s="521" t="s">
        <v>413</v>
      </c>
      <c r="G49" s="522">
        <v>4.62</v>
      </c>
      <c r="H49" s="523"/>
      <c r="I49" s="524"/>
      <c r="J49" s="525">
        <f>'Ocorrências Mensais - FAT'!L67</f>
        <v>4</v>
      </c>
      <c r="K49" s="526">
        <f t="shared" si="2"/>
        <v>18.48</v>
      </c>
      <c r="M49" s="239"/>
      <c r="N49" s="37">
        <f>ROUND(IF(Dados!$J$55="SIM",M49*Dados!$N$55,M49),2)</f>
        <v>0</v>
      </c>
      <c r="O49" s="37">
        <f>ROUND(IF(Dados!$J$56="SIM",N49*Dados!$N$56,N49),2)</f>
        <v>0</v>
      </c>
      <c r="P49" s="37">
        <f>ROUND(IF(Dados!$J$57="SIM",O49*Dados!$N$57,O49),2)</f>
        <v>0</v>
      </c>
      <c r="Q49" s="37">
        <f>ROUND(IF(Dados!$J$58="SIM",P49*Dados!$N$58,P49),2)</f>
        <v>0</v>
      </c>
      <c r="R49" s="240">
        <f>ROUND(IF(Dados!$J$59="SIM",Q49*Dados!$N$59,Q49),2)</f>
        <v>0</v>
      </c>
    </row>
    <row r="50" spans="1:18" ht="69" x14ac:dyDescent="0.3">
      <c r="A50" s="519">
        <v>3</v>
      </c>
      <c r="B50" s="520" t="s">
        <v>431</v>
      </c>
      <c r="C50" s="513" t="s">
        <v>432</v>
      </c>
      <c r="D50" s="521" t="s">
        <v>482</v>
      </c>
      <c r="E50" s="521">
        <v>5</v>
      </c>
      <c r="F50" s="521" t="s">
        <v>413</v>
      </c>
      <c r="G50" s="522">
        <v>4.6399999999999997</v>
      </c>
      <c r="H50" s="523"/>
      <c r="I50" s="524"/>
      <c r="J50" s="525">
        <f>'Ocorrências Mensais - FAT'!L68</f>
        <v>5</v>
      </c>
      <c r="K50" s="526">
        <f t="shared" si="2"/>
        <v>23.2</v>
      </c>
      <c r="M50" s="239"/>
      <c r="N50" s="37">
        <f>ROUND(IF(Dados!$J$55="SIM",M50*Dados!$N$55,M50),2)</f>
        <v>0</v>
      </c>
      <c r="O50" s="37">
        <f>ROUND(IF(Dados!$J$56="SIM",N50*Dados!$N$56,N50),2)</f>
        <v>0</v>
      </c>
      <c r="P50" s="37">
        <f>ROUND(IF(Dados!$J$57="SIM",O50*Dados!$N$57,O50),2)</f>
        <v>0</v>
      </c>
      <c r="Q50" s="37">
        <f>ROUND(IF(Dados!$J$58="SIM",P50*Dados!$N$58,P50),2)</f>
        <v>0</v>
      </c>
      <c r="R50" s="240">
        <f>ROUND(IF(Dados!$J$59="SIM",Q50*Dados!$N$59,Q50),2)</f>
        <v>0</v>
      </c>
    </row>
    <row r="51" spans="1:18" x14ac:dyDescent="0.3">
      <c r="A51" s="519">
        <v>4</v>
      </c>
      <c r="B51" s="520" t="s">
        <v>483</v>
      </c>
      <c r="C51" s="513" t="s">
        <v>432</v>
      </c>
      <c r="D51" s="521"/>
      <c r="E51" s="521">
        <v>1</v>
      </c>
      <c r="F51" s="521" t="s">
        <v>413</v>
      </c>
      <c r="G51" s="522">
        <v>4.4000000000000004</v>
      </c>
      <c r="H51" s="523"/>
      <c r="I51" s="524"/>
      <c r="J51" s="525">
        <f>'Ocorrências Mensais - FAT'!L69</f>
        <v>1</v>
      </c>
      <c r="K51" s="526">
        <f t="shared" si="2"/>
        <v>4.4000000000000004</v>
      </c>
      <c r="M51" s="239"/>
      <c r="N51" s="37">
        <f>ROUND(IF(Dados!$J$55="SIM",M51*Dados!$N$55,M51),2)</f>
        <v>0</v>
      </c>
      <c r="O51" s="37">
        <f>ROUND(IF(Dados!$J$56="SIM",N51*Dados!$N$56,N51),2)</f>
        <v>0</v>
      </c>
      <c r="P51" s="37">
        <f>ROUND(IF(Dados!$J$57="SIM",O51*Dados!$N$57,O51),2)</f>
        <v>0</v>
      </c>
      <c r="Q51" s="37">
        <f>ROUND(IF(Dados!$J$58="SIM",P51*Dados!$N$58,P51),2)</f>
        <v>0</v>
      </c>
      <c r="R51" s="240">
        <f>ROUND(IF(Dados!$J$59="SIM",Q51*Dados!$N$59,Q51),2)</f>
        <v>0</v>
      </c>
    </row>
    <row r="52" spans="1:18" ht="69" x14ac:dyDescent="0.3">
      <c r="A52" s="519">
        <v>5</v>
      </c>
      <c r="B52" s="520" t="s">
        <v>443</v>
      </c>
      <c r="C52" s="513" t="s">
        <v>418</v>
      </c>
      <c r="D52" s="521" t="s">
        <v>439</v>
      </c>
      <c r="E52" s="521">
        <v>2</v>
      </c>
      <c r="F52" s="521" t="s">
        <v>413</v>
      </c>
      <c r="G52" s="522">
        <v>6.3</v>
      </c>
      <c r="H52" s="523"/>
      <c r="I52" s="524"/>
      <c r="J52" s="525">
        <f>'Ocorrências Mensais - FAT'!L70</f>
        <v>2</v>
      </c>
      <c r="K52" s="526">
        <f t="shared" si="2"/>
        <v>12.6</v>
      </c>
      <c r="M52" s="239"/>
      <c r="N52" s="37">
        <f>ROUND(IF(Dados!$J$55="SIM",M52*Dados!$N$55,M52),2)</f>
        <v>0</v>
      </c>
      <c r="O52" s="37">
        <f>ROUND(IF(Dados!$J$56="SIM",N52*Dados!$N$56,N52),2)</f>
        <v>0</v>
      </c>
      <c r="P52" s="37">
        <f>ROUND(IF(Dados!$J$57="SIM",O52*Dados!$N$57,O52),2)</f>
        <v>0</v>
      </c>
      <c r="Q52" s="37">
        <f>ROUND(IF(Dados!$J$58="SIM",P52*Dados!$N$58,P52),2)</f>
        <v>0</v>
      </c>
      <c r="R52" s="240">
        <f>ROUND(IF(Dados!$J$59="SIM",Q52*Dados!$N$59,Q52),2)</f>
        <v>0</v>
      </c>
    </row>
    <row r="53" spans="1:18" x14ac:dyDescent="0.3">
      <c r="A53" s="519">
        <v>6</v>
      </c>
      <c r="B53" s="520" t="s">
        <v>445</v>
      </c>
      <c r="C53" s="513" t="s">
        <v>481</v>
      </c>
      <c r="D53" s="521" t="s">
        <v>446</v>
      </c>
      <c r="E53" s="521">
        <v>6</v>
      </c>
      <c r="F53" s="521" t="s">
        <v>458</v>
      </c>
      <c r="G53" s="522">
        <v>6.89</v>
      </c>
      <c r="H53" s="523"/>
      <c r="I53" s="524"/>
      <c r="J53" s="525">
        <f>'Ocorrências Mensais - FAT'!L71</f>
        <v>3</v>
      </c>
      <c r="K53" s="526">
        <f t="shared" si="2"/>
        <v>20.669999999999998</v>
      </c>
      <c r="M53" s="239"/>
      <c r="N53" s="37">
        <f>ROUND(IF(Dados!$J$55="SIM",M53*Dados!$N$55,M53),2)</f>
        <v>0</v>
      </c>
      <c r="O53" s="37">
        <f>ROUND(IF(Dados!$J$56="SIM",N53*Dados!$N$56,N53),2)</f>
        <v>0</v>
      </c>
      <c r="P53" s="37">
        <f>ROUND(IF(Dados!$J$57="SIM",O53*Dados!$N$57,O53),2)</f>
        <v>0</v>
      </c>
      <c r="Q53" s="37">
        <f>ROUND(IF(Dados!$J$58="SIM",P53*Dados!$N$58,P53),2)</f>
        <v>0</v>
      </c>
      <c r="R53" s="240">
        <f>ROUND(IF(Dados!$J$59="SIM",Q53*Dados!$N$59,Q53),2)</f>
        <v>0</v>
      </c>
    </row>
    <row r="54" spans="1:18" ht="23.25" customHeight="1" thickBot="1" x14ac:dyDescent="0.35">
      <c r="A54" s="642" t="s">
        <v>73</v>
      </c>
      <c r="B54" s="642"/>
      <c r="C54" s="642"/>
      <c r="D54" s="642"/>
      <c r="E54" s="642"/>
      <c r="F54" s="642"/>
      <c r="G54" s="642"/>
      <c r="H54" s="527"/>
      <c r="I54" s="524"/>
      <c r="J54" s="500" t="s">
        <v>191</v>
      </c>
      <c r="K54" s="501">
        <f>SUM(K48:K53)</f>
        <v>80.16</v>
      </c>
    </row>
    <row r="55" spans="1:18" ht="23.25" customHeight="1" x14ac:dyDescent="0.3">
      <c r="A55" s="243"/>
    </row>
  </sheetData>
  <sheetProtection algorithmName="SHA-512" hashValue="NxQTVUax54YAnL51pI9TV6gnbmv9vTrjJ4obk0Tw/HKqgFDOgIYjoPYwQQue1A46E8hYzvNAMjdmL1vcGKFzAw==" saltValue="YTDzEDH4J4I0XyZ2Lwz1bA==" spinCount="100000" sheet="1" objects="1" scenarios="1"/>
  <mergeCells count="21">
    <mergeCell ref="A54:G54"/>
    <mergeCell ref="J7:K7"/>
    <mergeCell ref="M7:R7"/>
    <mergeCell ref="A42:G42"/>
    <mergeCell ref="A44:H44"/>
    <mergeCell ref="A46:A47"/>
    <mergeCell ref="B46:D46"/>
    <mergeCell ref="H46:H47"/>
    <mergeCell ref="J46:K46"/>
    <mergeCell ref="M46:R46"/>
    <mergeCell ref="E46:E47"/>
    <mergeCell ref="F46:F47"/>
    <mergeCell ref="G46:G47"/>
    <mergeCell ref="A4:H4"/>
    <mergeCell ref="A5:H5"/>
    <mergeCell ref="A6:A8"/>
    <mergeCell ref="B6:D7"/>
    <mergeCell ref="H6:H8"/>
    <mergeCell ref="E6:E8"/>
    <mergeCell ref="F6:F8"/>
    <mergeCell ref="G6:G8"/>
  </mergeCells>
  <dataValidations count="1">
    <dataValidation type="list" allowBlank="1" showInputMessage="1" showErrorMessage="1" sqref="F48:F53 F9:F41" xr:uid="{00000000-0002-0000-0400-000000000000}">
      <formula1>"Mensal,Bimestral,Trimestral,Quadrimestral,Semestral,Anual,Bienal"</formula1>
      <formula2>0</formula2>
    </dataValidation>
  </dataValidations>
  <pageMargins left="0.51180555555555596" right="0.51180555555555596" top="0.78749999999999998" bottom="0.78749999999999998" header="0.511811023622047" footer="0.511811023622047"/>
  <pageSetup paperSize="9" scale="4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4"/>
  <sheetViews>
    <sheetView showGridLines="0" zoomScale="95" zoomScaleNormal="95" workbookViewId="0">
      <selection activeCell="F17" sqref="F17"/>
    </sheetView>
  </sheetViews>
  <sheetFormatPr defaultColWidth="9" defaultRowHeight="14.4" x14ac:dyDescent="0.3"/>
  <cols>
    <col min="1" max="1" width="5.5546875" style="60" customWidth="1"/>
    <col min="2" max="2" width="62.88671875" style="60" customWidth="1"/>
    <col min="3" max="3" width="7.88671875" style="60" customWidth="1"/>
    <col min="4" max="7" width="13.6640625" style="60"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s>
  <sheetData>
    <row r="1" spans="1:7" s="60" customFormat="1" ht="11.25" customHeight="1" x14ac:dyDescent="0.3">
      <c r="A1" s="180"/>
      <c r="B1" s="181" t="str">
        <f>INSTRUÇÕES!B1</f>
        <v>Tribunal Regional Federal da 6ª Região</v>
      </c>
      <c r="C1" s="248"/>
      <c r="D1" s="249"/>
      <c r="E1" s="249"/>
      <c r="F1" s="249"/>
      <c r="G1" s="250"/>
    </row>
    <row r="2" spans="1:7" s="60" customFormat="1" ht="13.5" customHeight="1" x14ac:dyDescent="0.3">
      <c r="A2" s="183"/>
      <c r="B2" s="113" t="str">
        <f>INSTRUÇÕES!B2</f>
        <v>Seção Judiciária de Minas Gerais</v>
      </c>
      <c r="C2" s="251"/>
      <c r="D2" s="252"/>
      <c r="E2" s="252"/>
      <c r="F2" s="252"/>
      <c r="G2" s="253"/>
    </row>
    <row r="3" spans="1:7" s="509" customFormat="1" ht="20.25" customHeight="1" x14ac:dyDescent="0.3">
      <c r="A3" s="528"/>
      <c r="B3" s="508" t="str">
        <f>INSTRUÇÕES!B3</f>
        <v>Subseção Judiciária de Viçosa</v>
      </c>
      <c r="C3" s="529"/>
      <c r="D3" s="530"/>
      <c r="E3" s="530"/>
      <c r="F3" s="530"/>
      <c r="G3" s="531"/>
    </row>
    <row r="4" spans="1:7" s="60" customFormat="1" ht="21.75" customHeight="1" x14ac:dyDescent="0.3">
      <c r="A4" s="645" t="s">
        <v>484</v>
      </c>
      <c r="B4" s="645"/>
      <c r="C4" s="645"/>
      <c r="D4" s="645"/>
      <c r="E4" s="645"/>
      <c r="F4" s="645"/>
      <c r="G4" s="645"/>
    </row>
    <row r="5" spans="1:7" s="60" customFormat="1" ht="26.25" customHeight="1" x14ac:dyDescent="0.3">
      <c r="A5" s="646" t="s">
        <v>402</v>
      </c>
      <c r="B5" s="646"/>
      <c r="C5" s="646"/>
      <c r="D5" s="646"/>
      <c r="E5" s="646"/>
      <c r="F5" s="646"/>
      <c r="G5" s="646"/>
    </row>
    <row r="6" spans="1:7" s="60" customFormat="1" ht="15.6" x14ac:dyDescent="0.3">
      <c r="A6" s="254"/>
      <c r="B6" s="255"/>
      <c r="C6" s="255"/>
      <c r="D6" s="255" t="s">
        <v>485</v>
      </c>
      <c r="E6" s="255"/>
      <c r="G6" s="256">
        <v>0.1</v>
      </c>
    </row>
    <row r="7" spans="1:7" s="60" customFormat="1" ht="27.6" x14ac:dyDescent="0.3">
      <c r="A7" s="257" t="s">
        <v>486</v>
      </c>
      <c r="B7" s="258" t="s">
        <v>487</v>
      </c>
      <c r="C7" s="258" t="s">
        <v>488</v>
      </c>
      <c r="D7" s="259" t="s">
        <v>489</v>
      </c>
      <c r="E7" s="259" t="s">
        <v>490</v>
      </c>
      <c r="F7" s="259" t="s">
        <v>491</v>
      </c>
      <c r="G7" s="260" t="s">
        <v>492</v>
      </c>
    </row>
    <row r="8" spans="1:7" s="60" customFormat="1" ht="13.8" x14ac:dyDescent="0.3">
      <c r="A8" s="647" t="s">
        <v>493</v>
      </c>
      <c r="B8" s="647"/>
      <c r="C8" s="647"/>
      <c r="D8" s="647"/>
      <c r="E8" s="647"/>
      <c r="F8" s="647"/>
      <c r="G8" s="647"/>
    </row>
    <row r="9" spans="1:7" s="60" customFormat="1" ht="40.5" customHeight="1" x14ac:dyDescent="0.3">
      <c r="A9" s="532">
        <v>1</v>
      </c>
      <c r="B9" s="533" t="s">
        <v>494</v>
      </c>
      <c r="C9" s="534">
        <v>1</v>
      </c>
      <c r="D9" s="535">
        <v>187.76</v>
      </c>
      <c r="E9" s="536">
        <f t="shared" ref="E9:E11" si="0">ROUND((D9*C9),2)</f>
        <v>187.76</v>
      </c>
      <c r="F9" s="536">
        <f t="shared" ref="F9:F11" si="1">ROUND(E9*$G$6,2)</f>
        <v>18.78</v>
      </c>
      <c r="G9" s="537">
        <f t="shared" ref="G9:G11" si="2">ROUND(F9/12,2)</f>
        <v>1.57</v>
      </c>
    </row>
    <row r="10" spans="1:7" s="60" customFormat="1" ht="27.6" x14ac:dyDescent="0.3">
      <c r="A10" s="532">
        <v>2</v>
      </c>
      <c r="B10" s="538" t="s">
        <v>495</v>
      </c>
      <c r="C10" s="534">
        <v>1</v>
      </c>
      <c r="D10" s="535">
        <v>513.95000000000005</v>
      </c>
      <c r="E10" s="536">
        <f t="shared" si="0"/>
        <v>513.95000000000005</v>
      </c>
      <c r="F10" s="536">
        <f t="shared" si="1"/>
        <v>51.4</v>
      </c>
      <c r="G10" s="537">
        <f t="shared" si="2"/>
        <v>4.28</v>
      </c>
    </row>
    <row r="11" spans="1:7" s="60" customFormat="1" ht="41.4" x14ac:dyDescent="0.3">
      <c r="A11" s="532">
        <v>3</v>
      </c>
      <c r="B11" s="539" t="s">
        <v>496</v>
      </c>
      <c r="C11" s="534">
        <v>1</v>
      </c>
      <c r="D11" s="535">
        <v>529</v>
      </c>
      <c r="E11" s="536">
        <f t="shared" si="0"/>
        <v>529</v>
      </c>
      <c r="F11" s="536">
        <f t="shared" si="1"/>
        <v>52.9</v>
      </c>
      <c r="G11" s="537">
        <f t="shared" si="2"/>
        <v>4.41</v>
      </c>
    </row>
    <row r="12" spans="1:7" s="60" customFormat="1" ht="90" customHeight="1" x14ac:dyDescent="0.3">
      <c r="A12" s="540">
        <v>4</v>
      </c>
      <c r="B12" s="544" t="s">
        <v>629</v>
      </c>
      <c r="C12" s="541">
        <v>1</v>
      </c>
      <c r="D12" s="542">
        <v>580.22</v>
      </c>
      <c r="E12" s="536">
        <f t="shared" ref="E12" si="3">ROUND((D12*C12),2)</f>
        <v>580.22</v>
      </c>
      <c r="F12" s="536">
        <f t="shared" ref="F12" si="4">ROUND(E12*$G$6,2)</f>
        <v>58.02</v>
      </c>
      <c r="G12" s="537">
        <f t="shared" ref="G12" si="5">ROUND(F12/12,2)</f>
        <v>4.84</v>
      </c>
    </row>
    <row r="13" spans="1:7" s="60" customFormat="1" ht="15.75" customHeight="1" thickBot="1" x14ac:dyDescent="0.35">
      <c r="A13" s="648" t="s">
        <v>497</v>
      </c>
      <c r="B13" s="648"/>
      <c r="C13" s="648"/>
      <c r="D13" s="648"/>
      <c r="E13" s="648"/>
      <c r="F13" s="648"/>
      <c r="G13" s="543">
        <f>SUM(G9:G12)</f>
        <v>15.100000000000001</v>
      </c>
    </row>
    <row r="14" spans="1:7" x14ac:dyDescent="0.3">
      <c r="A14" s="524"/>
      <c r="B14" s="524"/>
      <c r="C14" s="524"/>
      <c r="D14" s="524"/>
      <c r="E14" s="524"/>
      <c r="F14" s="524"/>
      <c r="G14" s="524"/>
    </row>
  </sheetData>
  <sheetProtection algorithmName="SHA-512" hashValue="ejuXQn9HLbDVJM/l/fRbFkDkPf3btPWNsgOO04lzgMsMPhanLykzmo64W0M44NlYlXRKKDai3O2gsnx1XgyRmA==" saltValue="9Nv/qqGy15q+UJkvkUvOrg==" spinCount="100000" sheet="1" objects="1" scenarios="1"/>
  <mergeCells count="4">
    <mergeCell ref="A4:G4"/>
    <mergeCell ref="A5:G5"/>
    <mergeCell ref="A8:G8"/>
    <mergeCell ref="A13:F13"/>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27"/>
  <sheetViews>
    <sheetView showGridLines="0" zoomScaleNormal="100" workbookViewId="0">
      <selection activeCell="T14" sqref="T14"/>
    </sheetView>
  </sheetViews>
  <sheetFormatPr defaultColWidth="9" defaultRowHeight="14.4" x14ac:dyDescent="0.3"/>
  <cols>
    <col min="1" max="1" width="14.33203125" style="262" customWidth="1"/>
    <col min="2" max="2" width="7.6640625" style="263" customWidth="1"/>
    <col min="3" max="3" width="6.109375" style="264" customWidth="1"/>
    <col min="4" max="4" width="56.109375" style="265" customWidth="1"/>
    <col min="5" max="5" width="9.33203125" style="265" customWidth="1"/>
    <col min="6" max="6" width="12.44140625" style="264" customWidth="1"/>
    <col min="7" max="7" width="12.44140625" style="266" customWidth="1"/>
    <col min="8" max="8" width="10.88671875" style="267" customWidth="1"/>
    <col min="11" max="11" width="11.5546875" hidden="1" customWidth="1"/>
    <col min="12" max="12" width="16.44140625" style="268" hidden="1" customWidth="1"/>
    <col min="13" max="17" width="11.33203125" style="268" hidden="1" customWidth="1"/>
    <col min="18" max="18" width="11.5546875" hidden="1" customWidth="1"/>
    <col min="257" max="257" width="13.33203125" customWidth="1"/>
    <col min="258" max="258" width="7.6640625" customWidth="1"/>
    <col min="259" max="259" width="6.109375" customWidth="1"/>
    <col min="260" max="260" width="56.109375" customWidth="1"/>
    <col min="261" max="261" width="9.33203125" customWidth="1"/>
    <col min="262" max="263" width="12.44140625" customWidth="1"/>
    <col min="264" max="264" width="10.88671875" customWidth="1"/>
    <col min="268" max="268" width="11.44140625" customWidth="1"/>
    <col min="269" max="273" width="11.33203125" customWidth="1"/>
    <col min="513" max="513" width="13.33203125" customWidth="1"/>
    <col min="514" max="514" width="7.6640625" customWidth="1"/>
    <col min="515" max="515" width="6.109375" customWidth="1"/>
    <col min="516" max="516" width="56.109375" customWidth="1"/>
    <col min="517" max="517" width="9.33203125" customWidth="1"/>
    <col min="518" max="519" width="12.44140625" customWidth="1"/>
    <col min="520" max="520" width="10.88671875" customWidth="1"/>
    <col min="524" max="524" width="11.44140625" customWidth="1"/>
    <col min="525" max="529" width="11.33203125" customWidth="1"/>
    <col min="769" max="769" width="13.33203125" customWidth="1"/>
    <col min="770" max="770" width="7.6640625" customWidth="1"/>
    <col min="771" max="771" width="6.109375" customWidth="1"/>
    <col min="772" max="772" width="56.109375" customWidth="1"/>
    <col min="773" max="773" width="9.33203125" customWidth="1"/>
    <col min="774" max="775" width="12.44140625" customWidth="1"/>
    <col min="776" max="776" width="10.88671875" customWidth="1"/>
    <col min="780" max="780" width="11.44140625" customWidth="1"/>
    <col min="781" max="785" width="11.33203125" customWidth="1"/>
  </cols>
  <sheetData>
    <row r="1" spans="1:18" s="265" customFormat="1" ht="12.75" customHeight="1" x14ac:dyDescent="0.3">
      <c r="A1" s="269"/>
      <c r="B1" s="270" t="str">
        <f>INSTRUÇÕES!B1</f>
        <v>Tribunal Regional Federal da 6ª Região</v>
      </c>
      <c r="C1" s="271"/>
      <c r="D1" s="272"/>
      <c r="E1" s="273"/>
      <c r="F1" s="274"/>
      <c r="G1" s="275"/>
      <c r="H1" s="267"/>
      <c r="L1" s="652" t="s">
        <v>408</v>
      </c>
      <c r="M1" s="652"/>
      <c r="N1" s="652"/>
      <c r="O1" s="652"/>
      <c r="P1" s="652"/>
      <c r="Q1" s="652"/>
    </row>
    <row r="2" spans="1:18" s="265" customFormat="1" ht="12.75" customHeight="1" x14ac:dyDescent="0.3">
      <c r="A2" s="276"/>
      <c r="B2" s="277" t="str">
        <f>INSTRUÇÕES!B2</f>
        <v>Seção Judiciária de Minas Gerais</v>
      </c>
      <c r="C2" s="278"/>
      <c r="D2" s="279"/>
      <c r="F2" s="264"/>
      <c r="G2" s="266"/>
      <c r="H2" s="267"/>
      <c r="L2" s="652"/>
      <c r="M2" s="652"/>
      <c r="N2" s="652"/>
      <c r="O2" s="652"/>
      <c r="P2" s="652"/>
      <c r="Q2" s="652"/>
    </row>
    <row r="3" spans="1:18" s="283" customFormat="1" x14ac:dyDescent="0.3">
      <c r="A3" s="276"/>
      <c r="B3" s="280" t="str">
        <f>INSTRUÇÕES!B3</f>
        <v>Subseção Judiciária de Viçosa</v>
      </c>
      <c r="C3" s="281"/>
      <c r="D3" s="282"/>
      <c r="F3" s="284"/>
      <c r="G3" s="285"/>
      <c r="H3" s="545"/>
      <c r="L3" s="652"/>
      <c r="M3" s="652"/>
      <c r="N3" s="652"/>
      <c r="O3" s="652"/>
      <c r="P3" s="652"/>
      <c r="Q3" s="652"/>
    </row>
    <row r="4" spans="1:18" s="252" customFormat="1" ht="15.6" x14ac:dyDescent="0.3">
      <c r="A4" s="653" t="s">
        <v>498</v>
      </c>
      <c r="B4" s="653"/>
      <c r="C4" s="653"/>
      <c r="D4" s="653"/>
      <c r="E4" s="653"/>
      <c r="F4" s="653"/>
      <c r="G4" s="653"/>
      <c r="H4" s="653"/>
      <c r="L4" s="652"/>
      <c r="M4" s="652"/>
      <c r="N4" s="652"/>
      <c r="O4" s="652"/>
      <c r="P4" s="652"/>
      <c r="Q4" s="652"/>
    </row>
    <row r="5" spans="1:18" s="265" customFormat="1" ht="27" customHeight="1" x14ac:dyDescent="0.3">
      <c r="A5" s="654" t="s">
        <v>402</v>
      </c>
      <c r="B5" s="654"/>
      <c r="C5" s="654"/>
      <c r="D5" s="654"/>
      <c r="E5" s="654"/>
      <c r="F5" s="654"/>
      <c r="G5" s="654"/>
      <c r="H5" s="654"/>
      <c r="L5" s="655" t="s">
        <v>409</v>
      </c>
      <c r="M5" s="580" t="s">
        <v>270</v>
      </c>
      <c r="N5" s="580" t="s">
        <v>271</v>
      </c>
      <c r="O5" s="580" t="s">
        <v>272</v>
      </c>
      <c r="P5" s="580" t="s">
        <v>273</v>
      </c>
      <c r="Q5" s="580" t="s">
        <v>274</v>
      </c>
    </row>
    <row r="6" spans="1:18" s="265" customFormat="1" ht="15.75" customHeight="1" x14ac:dyDescent="0.3">
      <c r="A6" s="656" t="s">
        <v>499</v>
      </c>
      <c r="B6" s="656"/>
      <c r="C6" s="656"/>
      <c r="D6" s="656"/>
      <c r="E6" s="656"/>
      <c r="F6" s="656"/>
      <c r="G6" s="656"/>
      <c r="H6" s="656"/>
      <c r="J6" s="283"/>
      <c r="L6" s="655"/>
      <c r="M6" s="580"/>
      <c r="N6" s="580"/>
      <c r="O6" s="580"/>
      <c r="P6" s="580"/>
      <c r="Q6" s="580"/>
    </row>
    <row r="7" spans="1:18" s="265" customFormat="1" ht="15.75" customHeight="1" x14ac:dyDescent="0.3">
      <c r="A7" s="286"/>
      <c r="B7" s="287"/>
      <c r="C7" s="288"/>
      <c r="D7" s="287"/>
      <c r="E7" s="287"/>
      <c r="F7" s="288"/>
      <c r="G7" s="289"/>
      <c r="H7" s="290"/>
      <c r="J7" s="283"/>
      <c r="L7" s="655"/>
      <c r="M7" s="580"/>
      <c r="N7" s="580"/>
      <c r="O7" s="580"/>
      <c r="P7" s="580"/>
      <c r="Q7" s="580"/>
    </row>
    <row r="8" spans="1:18" s="265" customFormat="1" ht="27.6" x14ac:dyDescent="0.3">
      <c r="A8" s="291" t="s">
        <v>500</v>
      </c>
      <c r="B8" s="292" t="s">
        <v>249</v>
      </c>
      <c r="C8" s="293" t="s">
        <v>501</v>
      </c>
      <c r="D8" s="294" t="s">
        <v>502</v>
      </c>
      <c r="E8" s="294" t="s">
        <v>503</v>
      </c>
      <c r="F8" s="295" t="s">
        <v>504</v>
      </c>
      <c r="G8" s="296" t="s">
        <v>505</v>
      </c>
      <c r="H8" s="297" t="s">
        <v>191</v>
      </c>
      <c r="J8" s="283"/>
      <c r="K8" s="283"/>
      <c r="L8" s="655"/>
      <c r="M8" s="580"/>
      <c r="N8" s="580"/>
      <c r="O8" s="580"/>
      <c r="P8" s="580"/>
      <c r="Q8" s="580"/>
      <c r="R8" s="168" t="s">
        <v>506</v>
      </c>
    </row>
    <row r="9" spans="1:18" s="283" customFormat="1" ht="78" customHeight="1" x14ac:dyDescent="0.3">
      <c r="A9" s="651" t="s">
        <v>507</v>
      </c>
      <c r="B9" s="298" t="s">
        <v>508</v>
      </c>
      <c r="C9" s="299">
        <v>2</v>
      </c>
      <c r="D9" s="300" t="s">
        <v>635</v>
      </c>
      <c r="E9" s="549" t="s">
        <v>509</v>
      </c>
      <c r="F9" s="299">
        <f>C9*$A$12</f>
        <v>4</v>
      </c>
      <c r="G9" s="301">
        <v>75</v>
      </c>
      <c r="H9" s="261">
        <f>ROUND(F9*G9,2)</f>
        <v>300</v>
      </c>
      <c r="L9" s="302">
        <v>61.59</v>
      </c>
      <c r="M9" s="37">
        <f>ROUND(IF(Dados!$I$59="SIM",L9*Dados!$N$59,L9),2)</f>
        <v>61.59</v>
      </c>
      <c r="N9" s="37">
        <f>ROUND(IF(Dados!$I$60="SIM",M9*Dados!$N$60,M9),2)</f>
        <v>61.59</v>
      </c>
      <c r="O9" s="37">
        <f>ROUND(IF(Dados!$I$61="SIM",N9*Dados!$N$61,N9),2)</f>
        <v>61.59</v>
      </c>
      <c r="P9" s="37">
        <f>ROUND(IF(Dados!$I$62="SIM",O9*Dados!$N$62,O9),2)</f>
        <v>61.59</v>
      </c>
      <c r="Q9" s="37">
        <f>ROUND(IF(Dados!$I$63="SIM",P9*Dados!$N$63,P9),2)</f>
        <v>61.59</v>
      </c>
      <c r="R9" s="3">
        <f>IF(Dados!$D$66="INICIAL",L9,IF(Dados!$D$66="1º IPCA",M9,IF(Dados!$D$66="2º IPCA",N9,IF(Dados!$D$66="3º IPCA",O9,IF(Dados!$D$66="4º IPCA",P9,IF(Dados!$D$66="5º IPCA",Q9,))))))</f>
        <v>61.59</v>
      </c>
    </row>
    <row r="10" spans="1:18" s="283" customFormat="1" ht="69" x14ac:dyDescent="0.3">
      <c r="A10" s="651"/>
      <c r="B10" s="298" t="s">
        <v>510</v>
      </c>
      <c r="C10" s="299">
        <v>3</v>
      </c>
      <c r="D10" s="502" t="s">
        <v>634</v>
      </c>
      <c r="E10" s="549" t="s">
        <v>511</v>
      </c>
      <c r="F10" s="299">
        <f>C10*$A$12</f>
        <v>6</v>
      </c>
      <c r="G10" s="301">
        <v>39.44</v>
      </c>
      <c r="H10" s="261">
        <f>ROUND(F10*G10,2)</f>
        <v>236.64</v>
      </c>
      <c r="L10" s="302"/>
      <c r="M10" s="37"/>
      <c r="N10" s="37"/>
      <c r="O10" s="37"/>
      <c r="P10" s="37"/>
      <c r="Q10" s="37"/>
      <c r="R10" s="3"/>
    </row>
    <row r="11" spans="1:18" s="283" customFormat="1" ht="41.4" x14ac:dyDescent="0.3">
      <c r="A11" s="303" t="s">
        <v>512</v>
      </c>
      <c r="B11" s="304" t="s">
        <v>513</v>
      </c>
      <c r="C11" s="299">
        <v>1</v>
      </c>
      <c r="D11" s="305" t="s">
        <v>632</v>
      </c>
      <c r="E11" s="549" t="s">
        <v>514</v>
      </c>
      <c r="F11" s="299">
        <f>C11*$A$12</f>
        <v>2</v>
      </c>
      <c r="G11" s="301">
        <v>72.13</v>
      </c>
      <c r="H11" s="560">
        <f>ROUND(F11*G11,2)</f>
        <v>144.26</v>
      </c>
      <c r="L11" s="302">
        <v>50.53</v>
      </c>
      <c r="M11" s="37">
        <f>ROUND(IF(Dados!$I$59="SIM",L11*Dados!$N$59,L11),2)</f>
        <v>50.53</v>
      </c>
      <c r="N11" s="37">
        <f>ROUND(IF(Dados!$I$60="SIM",M11*Dados!$N$60,M11),2)</f>
        <v>50.53</v>
      </c>
      <c r="O11" s="37">
        <f>ROUND(IF(Dados!$I$61="SIM",N11*Dados!$N$61,N11),2)</f>
        <v>50.53</v>
      </c>
      <c r="P11" s="37">
        <f>ROUND(IF(Dados!$I$62="SIM",O11*Dados!$N$62,O11),2)</f>
        <v>50.53</v>
      </c>
      <c r="Q11" s="37">
        <f>ROUND(IF(Dados!$I$63="SIM",P11*Dados!$N$63,P11),2)</f>
        <v>50.53</v>
      </c>
      <c r="R11" s="3">
        <f>IF(Dados!$D$66="INICIAL",L11,IF(Dados!$D$66="1º IPCA",M11,IF(Dados!$D$66="2º IPCA",N11,IF(Dados!$D$66="3º IPCA",O11,IF(Dados!$D$66="4º IPCA",P11,IF(Dados!$D$66="5º IPCA",Q11,))))))</f>
        <v>50.53</v>
      </c>
    </row>
    <row r="12" spans="1:18" s="283" customFormat="1" ht="41.4" x14ac:dyDescent="0.3">
      <c r="A12" s="547">
        <f>Dados!B7+Dados!B8</f>
        <v>2</v>
      </c>
      <c r="B12" s="298" t="s">
        <v>515</v>
      </c>
      <c r="C12" s="299">
        <v>1</v>
      </c>
      <c r="D12" s="305" t="s">
        <v>633</v>
      </c>
      <c r="E12" s="549" t="s">
        <v>514</v>
      </c>
      <c r="F12" s="299">
        <f>C12*$A$12</f>
        <v>2</v>
      </c>
      <c r="G12" s="301">
        <v>50.05</v>
      </c>
      <c r="H12" s="560">
        <f>ROUND(F12*G12,2)</f>
        <v>100.1</v>
      </c>
      <c r="L12" s="302">
        <v>50.85</v>
      </c>
      <c r="M12" s="37">
        <f>ROUND(IF(Dados!$I$59="SIM",L12*Dados!$N$59,L12),2)</f>
        <v>50.85</v>
      </c>
      <c r="N12" s="37">
        <f>ROUND(IF(Dados!$I$60="SIM",M12*Dados!$N$60,M12),2)</f>
        <v>50.85</v>
      </c>
      <c r="O12" s="37">
        <f>ROUND(IF(Dados!$I$61="SIM",N12*Dados!$N$61,N12),2)</f>
        <v>50.85</v>
      </c>
      <c r="P12" s="37">
        <f>ROUND(IF(Dados!$I$62="SIM",O12*Dados!$N$62,O12),2)</f>
        <v>50.85</v>
      </c>
      <c r="Q12" s="37">
        <f>ROUND(IF(Dados!$I$63="SIM",P12*Dados!$N$63,P12),2)</f>
        <v>50.85</v>
      </c>
      <c r="R12" s="3">
        <f>IF(Dados!$D$66="INICIAL",L12,IF(Dados!$D$66="1º IPCA",M12,IF(Dados!$D$66="2º IPCA",N12,IF(Dados!$D$66="3º IPCA",O12,IF(Dados!$D$66="4º IPCA",P12,IF(Dados!$D$66="5º IPCA",Q12,))))))</f>
        <v>50.85</v>
      </c>
    </row>
    <row r="13" spans="1:18" s="283" customFormat="1" x14ac:dyDescent="0.3">
      <c r="A13" s="649" t="s">
        <v>497</v>
      </c>
      <c r="B13" s="649"/>
      <c r="C13" s="649"/>
      <c r="D13" s="649"/>
      <c r="E13" s="649"/>
      <c r="F13" s="649"/>
      <c r="G13" s="649"/>
      <c r="H13" s="561">
        <f>SUM(H9:H12)</f>
        <v>781</v>
      </c>
      <c r="L13" s="262"/>
      <c r="M13" s="262"/>
      <c r="N13" s="262"/>
      <c r="O13" s="262"/>
      <c r="P13" s="262"/>
      <c r="Q13" s="262"/>
    </row>
    <row r="14" spans="1:18" s="283" customFormat="1" ht="15.6" x14ac:dyDescent="0.3">
      <c r="A14" s="650" t="s">
        <v>516</v>
      </c>
      <c r="B14" s="650"/>
      <c r="C14" s="650"/>
      <c r="D14" s="650"/>
      <c r="E14" s="650"/>
      <c r="F14" s="650"/>
      <c r="G14" s="306"/>
      <c r="H14" s="562">
        <f>ROUND(H13/$A$12/12,2)</f>
        <v>32.54</v>
      </c>
      <c r="L14" s="262"/>
      <c r="M14" s="262"/>
      <c r="N14" s="262"/>
      <c r="O14" s="262"/>
      <c r="P14" s="262"/>
      <c r="Q14" s="262"/>
    </row>
    <row r="15" spans="1:18" s="283" customFormat="1" ht="9" customHeight="1" x14ac:dyDescent="0.3">
      <c r="A15" s="307"/>
      <c r="B15" s="308"/>
      <c r="C15" s="309"/>
      <c r="D15" s="310"/>
      <c r="E15" s="310"/>
      <c r="F15" s="309"/>
      <c r="G15" s="311"/>
      <c r="H15" s="563"/>
      <c r="L15" s="262"/>
      <c r="M15" s="262"/>
      <c r="N15" s="262"/>
      <c r="O15" s="262"/>
      <c r="P15" s="262"/>
      <c r="Q15" s="262"/>
    </row>
    <row r="16" spans="1:18" ht="27.6" x14ac:dyDescent="0.3">
      <c r="A16" s="291" t="s">
        <v>500</v>
      </c>
      <c r="B16" s="292" t="s">
        <v>249</v>
      </c>
      <c r="C16" s="293" t="s">
        <v>501</v>
      </c>
      <c r="D16" s="294" t="s">
        <v>502</v>
      </c>
      <c r="E16" s="294" t="s">
        <v>503</v>
      </c>
      <c r="F16" s="295" t="s">
        <v>504</v>
      </c>
      <c r="G16" s="296" t="s">
        <v>505</v>
      </c>
      <c r="H16" s="564" t="s">
        <v>191</v>
      </c>
    </row>
    <row r="17" spans="1:9" ht="32.25" customHeight="1" x14ac:dyDescent="0.3">
      <c r="A17" s="546" t="s">
        <v>517</v>
      </c>
      <c r="B17" s="298" t="s">
        <v>518</v>
      </c>
      <c r="C17" s="299">
        <v>1</v>
      </c>
      <c r="D17" s="300" t="s">
        <v>519</v>
      </c>
      <c r="E17" s="549" t="s">
        <v>520</v>
      </c>
      <c r="F17" s="299">
        <f>C17*A18</f>
        <v>1</v>
      </c>
      <c r="G17" s="301">
        <v>13.33</v>
      </c>
      <c r="H17" s="560">
        <f>ROUND(F17*G17,2)</f>
        <v>13.33</v>
      </c>
    </row>
    <row r="18" spans="1:9" ht="82.8" x14ac:dyDescent="0.3">
      <c r="A18" s="548">
        <f>Dados!B8</f>
        <v>1</v>
      </c>
      <c r="B18" s="304" t="s">
        <v>521</v>
      </c>
      <c r="C18" s="299">
        <v>1</v>
      </c>
      <c r="D18" s="305" t="s">
        <v>522</v>
      </c>
      <c r="E18" s="549" t="s">
        <v>523</v>
      </c>
      <c r="F18" s="299">
        <f>C18*A18</f>
        <v>1</v>
      </c>
      <c r="G18" s="301">
        <v>25.76</v>
      </c>
      <c r="H18" s="560">
        <f>ROUND(F18*G18,2)</f>
        <v>25.76</v>
      </c>
    </row>
    <row r="19" spans="1:9" x14ac:dyDescent="0.3">
      <c r="A19" s="649" t="s">
        <v>497</v>
      </c>
      <c r="B19" s="649"/>
      <c r="C19" s="649"/>
      <c r="D19" s="649"/>
      <c r="E19" s="649"/>
      <c r="F19" s="649"/>
      <c r="G19" s="649"/>
      <c r="H19" s="561">
        <f>SUM(H17:H18)</f>
        <v>39.090000000000003</v>
      </c>
    </row>
    <row r="20" spans="1:9" ht="16.2" thickBot="1" x14ac:dyDescent="0.35">
      <c r="A20" s="650" t="s">
        <v>524</v>
      </c>
      <c r="B20" s="650"/>
      <c r="C20" s="650"/>
      <c r="D20" s="650"/>
      <c r="E20" s="650"/>
      <c r="F20" s="650"/>
      <c r="G20" s="306"/>
      <c r="H20" s="562">
        <f>ROUND(H19/A18/12,2)</f>
        <v>3.26</v>
      </c>
    </row>
    <row r="21" spans="1:9" x14ac:dyDescent="0.3">
      <c r="H21" s="565"/>
      <c r="I21" s="506"/>
    </row>
    <row r="22" spans="1:9" ht="27.6" x14ac:dyDescent="0.3">
      <c r="A22" s="291" t="s">
        <v>500</v>
      </c>
      <c r="B22" s="292" t="s">
        <v>249</v>
      </c>
      <c r="C22" s="293" t="s">
        <v>501</v>
      </c>
      <c r="D22" s="294" t="s">
        <v>502</v>
      </c>
      <c r="E22" s="294" t="s">
        <v>503</v>
      </c>
      <c r="F22" s="295" t="s">
        <v>504</v>
      </c>
      <c r="G22" s="296" t="s">
        <v>505</v>
      </c>
      <c r="H22" s="564" t="s">
        <v>191</v>
      </c>
    </row>
    <row r="23" spans="1:9" ht="48.75" customHeight="1" x14ac:dyDescent="0.3">
      <c r="A23" s="546" t="s">
        <v>188</v>
      </c>
      <c r="B23" s="298" t="s">
        <v>508</v>
      </c>
      <c r="C23" s="299">
        <v>2</v>
      </c>
      <c r="D23" s="300" t="s">
        <v>631</v>
      </c>
      <c r="E23" s="549" t="s">
        <v>525</v>
      </c>
      <c r="F23" s="299">
        <f>C23*A25</f>
        <v>4</v>
      </c>
      <c r="G23" s="301">
        <v>77.98</v>
      </c>
      <c r="H23" s="560">
        <f>ROUND(F23*G23,2)</f>
        <v>311.92</v>
      </c>
    </row>
    <row r="24" spans="1:9" ht="55.5" customHeight="1" x14ac:dyDescent="0.3">
      <c r="A24" s="303" t="s">
        <v>512</v>
      </c>
      <c r="B24" s="298" t="s">
        <v>510</v>
      </c>
      <c r="C24" s="299">
        <v>3</v>
      </c>
      <c r="D24" s="502" t="s">
        <v>630</v>
      </c>
      <c r="E24" s="549" t="s">
        <v>526</v>
      </c>
      <c r="F24" s="299">
        <f>C24*A25</f>
        <v>6</v>
      </c>
      <c r="G24" s="301">
        <v>53.55</v>
      </c>
      <c r="H24" s="560">
        <f>ROUND(F24*G24,2)</f>
        <v>321.3</v>
      </c>
    </row>
    <row r="25" spans="1:9" ht="27.6" x14ac:dyDescent="0.3">
      <c r="A25" s="548">
        <f>Dados!B9</f>
        <v>2</v>
      </c>
      <c r="B25" s="304" t="s">
        <v>527</v>
      </c>
      <c r="C25" s="299">
        <v>1</v>
      </c>
      <c r="D25" s="305" t="s">
        <v>528</v>
      </c>
      <c r="E25" s="549" t="s">
        <v>514</v>
      </c>
      <c r="F25" s="299">
        <f>C25*A25</f>
        <v>2</v>
      </c>
      <c r="G25" s="301">
        <v>105.98</v>
      </c>
      <c r="H25" s="560">
        <f>ROUND(F25*G25,2)</f>
        <v>211.96</v>
      </c>
    </row>
    <row r="26" spans="1:9" x14ac:dyDescent="0.3">
      <c r="A26" s="649" t="s">
        <v>497</v>
      </c>
      <c r="B26" s="649"/>
      <c r="C26" s="649"/>
      <c r="D26" s="649"/>
      <c r="E26" s="649"/>
      <c r="F26" s="649"/>
      <c r="G26" s="649"/>
      <c r="H26" s="561">
        <f>SUM(H23:H25)</f>
        <v>845.18000000000006</v>
      </c>
    </row>
    <row r="27" spans="1:9" ht="16.2" thickBot="1" x14ac:dyDescent="0.35">
      <c r="A27" s="650" t="s">
        <v>529</v>
      </c>
      <c r="B27" s="650"/>
      <c r="C27" s="650"/>
      <c r="D27" s="650"/>
      <c r="E27" s="650"/>
      <c r="F27" s="650"/>
      <c r="G27" s="306"/>
      <c r="H27" s="562">
        <f>ROUND(H26/A25/12,2)</f>
        <v>35.22</v>
      </c>
    </row>
  </sheetData>
  <sheetProtection algorithmName="SHA-512" hashValue="+03nEYAvPFxjjlEiAM8oh7V0CkemXGfR+o/0afP99xlBgyChSleHA8XNdnyEOu6Tpj5qnTmj7+S9kDkYVQwHVA==" saltValue="WnbkMpYqSWy6UwwMBQOCRw==" spinCount="100000" sheet="1" objects="1" scenarios="1"/>
  <mergeCells count="17">
    <mergeCell ref="L1:Q4"/>
    <mergeCell ref="A4:H4"/>
    <mergeCell ref="A5:H5"/>
    <mergeCell ref="L5:L8"/>
    <mergeCell ref="M5:M8"/>
    <mergeCell ref="N5:N8"/>
    <mergeCell ref="O5:O8"/>
    <mergeCell ref="P5:P8"/>
    <mergeCell ref="Q5:Q8"/>
    <mergeCell ref="A6:H6"/>
    <mergeCell ref="A26:G26"/>
    <mergeCell ref="A27:F27"/>
    <mergeCell ref="A19:G19"/>
    <mergeCell ref="A20:F20"/>
    <mergeCell ref="A9:A10"/>
    <mergeCell ref="A13:G13"/>
    <mergeCell ref="A14:F14"/>
  </mergeCells>
  <pageMargins left="0.51180555555555596" right="0.51180555555555596" top="0.78749999999999998" bottom="0.78749999999999998" header="0.511811023622047" footer="0.511811023622047"/>
  <pageSetup paperSize="9" scale="63"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J22"/>
  <sheetViews>
    <sheetView showGridLines="0" tabSelected="1" topLeftCell="Q10" zoomScale="95" zoomScaleNormal="95" workbookViewId="0">
      <selection activeCell="W14" sqref="W14"/>
    </sheetView>
  </sheetViews>
  <sheetFormatPr defaultColWidth="9.109375" defaultRowHeight="14.4" x14ac:dyDescent="0.3"/>
  <cols>
    <col min="1" max="1" width="11.109375" style="1" customWidth="1"/>
    <col min="2" max="2" width="42.554687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0" style="1" customWidth="1"/>
    <col min="9" max="9" width="10.88671875" style="1" customWidth="1"/>
    <col min="10" max="10" width="13.6640625" style="1" customWidth="1"/>
    <col min="11" max="11" width="10.5546875" style="1" customWidth="1"/>
    <col min="12" max="12" width="9.5546875" style="1" customWidth="1"/>
    <col min="13" max="13" width="12.33203125" style="1" customWidth="1"/>
    <col min="14" max="14" width="7.44140625" style="1" customWidth="1"/>
    <col min="15" max="15" width="9" style="1" customWidth="1"/>
    <col min="16" max="16" width="12" style="1" customWidth="1"/>
    <col min="17" max="17" width="9.5546875" style="1" customWidth="1"/>
    <col min="18" max="18" width="11.33203125" style="1" customWidth="1"/>
    <col min="19" max="19" width="16.109375" style="1" customWidth="1"/>
    <col min="20" max="20" width="10.5546875" style="1" customWidth="1"/>
    <col min="21" max="21" width="9.5546875" style="1" customWidth="1"/>
    <col min="22" max="22" width="9.109375" style="1" customWidth="1"/>
    <col min="23" max="23" width="16.44140625" style="1" customWidth="1"/>
    <col min="24" max="259" width="9.109375" style="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4" width="9.109375" style="1"/>
  </cols>
  <sheetData>
    <row r="1" spans="1:1024" x14ac:dyDescent="0.3">
      <c r="A1" s="4"/>
      <c r="B1" s="379" t="str">
        <f>INSTRUÇÕES!B1</f>
        <v>Tribunal Regional Federal da 6ª Região</v>
      </c>
      <c r="C1" s="380"/>
      <c r="D1" s="380"/>
      <c r="E1" s="380"/>
      <c r="F1" s="380"/>
      <c r="G1" s="380"/>
      <c r="H1" s="380"/>
      <c r="I1" s="380"/>
      <c r="J1" s="381"/>
      <c r="K1" s="381"/>
      <c r="L1" s="381"/>
      <c r="M1" s="381"/>
      <c r="N1" s="381"/>
      <c r="O1" s="381"/>
      <c r="P1" s="381"/>
      <c r="Q1" s="381"/>
      <c r="R1" s="381"/>
      <c r="S1" s="381"/>
      <c r="T1" s="381"/>
      <c r="U1" s="381"/>
      <c r="V1" s="381"/>
      <c r="W1" s="382"/>
    </row>
    <row r="2" spans="1:1024" x14ac:dyDescent="0.3">
      <c r="A2" s="383"/>
      <c r="B2" s="112" t="str">
        <f>INSTRUÇÕES!B2</f>
        <v>Seção Judiciária de Minas Gerais</v>
      </c>
      <c r="C2" s="77"/>
      <c r="D2" s="77"/>
      <c r="E2" s="77"/>
      <c r="F2" s="77"/>
      <c r="G2" s="77"/>
      <c r="H2" s="77"/>
      <c r="I2" s="77"/>
      <c r="W2" s="384"/>
    </row>
    <row r="3" spans="1:1024" s="559" customFormat="1" ht="23.25" customHeight="1" x14ac:dyDescent="0.3">
      <c r="A3" s="7"/>
      <c r="B3" s="508" t="str">
        <f>INSTRUÇÕES!B3</f>
        <v>Subseção Judiciária de Viçosa</v>
      </c>
      <c r="C3" s="557"/>
      <c r="D3" s="557"/>
      <c r="E3" s="557"/>
      <c r="F3" s="557"/>
      <c r="G3" s="557"/>
      <c r="H3" s="557"/>
      <c r="I3" s="557"/>
      <c r="J3" s="11"/>
      <c r="K3" s="11"/>
      <c r="L3" s="11"/>
      <c r="M3" s="11"/>
      <c r="N3" s="11"/>
      <c r="O3" s="11"/>
      <c r="P3" s="11"/>
      <c r="Q3" s="11"/>
      <c r="R3" s="11"/>
      <c r="S3" s="11"/>
      <c r="T3" s="11"/>
      <c r="U3" s="11"/>
      <c r="V3" s="11"/>
      <c r="W3" s="558"/>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row>
    <row r="4" spans="1:1024" s="385" customFormat="1" ht="25.5" customHeight="1" x14ac:dyDescent="0.3">
      <c r="A4" s="657" t="s">
        <v>361</v>
      </c>
      <c r="B4" s="657"/>
      <c r="C4" s="657"/>
      <c r="D4" s="657"/>
      <c r="E4" s="657"/>
      <c r="F4" s="657"/>
      <c r="G4" s="657"/>
      <c r="H4" s="657"/>
      <c r="I4" s="657"/>
      <c r="J4" s="657"/>
      <c r="K4" s="657"/>
      <c r="L4" s="657"/>
      <c r="M4" s="657"/>
      <c r="N4" s="657"/>
      <c r="O4" s="657"/>
      <c r="P4" s="657"/>
      <c r="Q4" s="657"/>
      <c r="R4" s="657"/>
      <c r="S4" s="657"/>
      <c r="T4" s="657"/>
      <c r="U4" s="657"/>
      <c r="V4" s="657"/>
      <c r="W4" s="657"/>
    </row>
    <row r="5" spans="1:1024" s="117" customFormat="1" ht="21" customHeight="1" x14ac:dyDescent="0.3">
      <c r="A5" s="658" t="str">
        <f>"PREÇO MENSAL GLOBAL - "&amp;B3</f>
        <v>PREÇO MENSAL GLOBAL - Subseção Judiciária de Viçosa</v>
      </c>
      <c r="B5" s="658"/>
      <c r="C5" s="658"/>
      <c r="D5" s="658"/>
      <c r="E5" s="658"/>
      <c r="F5" s="658"/>
      <c r="G5" s="658"/>
      <c r="H5" s="658"/>
      <c r="I5" s="658"/>
      <c r="J5" s="658"/>
      <c r="K5" s="658"/>
      <c r="L5" s="658"/>
      <c r="M5" s="658"/>
      <c r="N5" s="658"/>
      <c r="O5" s="658"/>
      <c r="P5" s="658"/>
      <c r="Q5" s="658"/>
      <c r="R5" s="658"/>
      <c r="S5" s="658"/>
      <c r="T5" s="658"/>
      <c r="U5" s="658"/>
      <c r="V5" s="658"/>
      <c r="W5" s="658"/>
    </row>
    <row r="6" spans="1:1024" s="3" customFormat="1" ht="23.25" customHeight="1" x14ac:dyDescent="0.3">
      <c r="A6" s="659" t="str">
        <f>Dados!A4</f>
        <v>Sindicato utilizado - SINSERTH x SINTAPPI. Vigência: 2024/2025. Sendo a data base da categoria 01° de Abril. Com número de registro no MTE MG002103/2024.</v>
      </c>
      <c r="B6" s="659"/>
      <c r="C6" s="659"/>
      <c r="D6" s="659"/>
      <c r="E6" s="659"/>
      <c r="F6" s="659"/>
      <c r="G6" s="659"/>
      <c r="H6" s="659"/>
      <c r="I6" s="659"/>
      <c r="J6" s="659"/>
      <c r="K6" s="659"/>
      <c r="L6" s="659"/>
      <c r="M6" s="659"/>
      <c r="N6" s="659"/>
      <c r="O6" s="659"/>
      <c r="P6" s="659"/>
      <c r="Q6" s="659"/>
      <c r="R6" s="659"/>
      <c r="S6" s="659"/>
      <c r="T6" s="659"/>
      <c r="U6" s="659"/>
      <c r="V6" s="659"/>
      <c r="W6" s="659"/>
    </row>
    <row r="7" spans="1:1024" s="17" customFormat="1" ht="18.75" customHeight="1" x14ac:dyDescent="0.3">
      <c r="A7" s="386"/>
      <c r="B7" s="387"/>
      <c r="C7" s="387"/>
      <c r="D7" s="387"/>
      <c r="E7" s="388"/>
      <c r="F7" s="388"/>
      <c r="G7" s="388"/>
      <c r="H7" s="389" t="s">
        <v>362</v>
      </c>
      <c r="I7" s="390"/>
      <c r="J7" s="390"/>
      <c r="K7" s="388"/>
      <c r="L7" s="388"/>
      <c r="M7" s="388"/>
      <c r="N7" s="388"/>
      <c r="O7" s="388"/>
      <c r="P7" s="388"/>
      <c r="Q7" s="388"/>
      <c r="R7" s="388"/>
      <c r="S7" s="660" t="s">
        <v>363</v>
      </c>
      <c r="T7" s="660"/>
      <c r="U7" s="660"/>
      <c r="V7" s="660"/>
      <c r="W7" s="660"/>
    </row>
    <row r="8" spans="1:1024" s="17" customFormat="1" ht="22.5" customHeight="1" x14ac:dyDescent="0.3">
      <c r="A8" s="661" t="s">
        <v>364</v>
      </c>
      <c r="B8" s="662" t="s">
        <v>365</v>
      </c>
      <c r="C8" s="662"/>
      <c r="D8" s="663" t="s">
        <v>44</v>
      </c>
      <c r="E8" s="663"/>
      <c r="F8" s="663"/>
      <c r="G8" s="663"/>
      <c r="H8" s="663"/>
      <c r="I8" s="663"/>
      <c r="J8" s="663"/>
      <c r="K8" s="663"/>
      <c r="L8" s="663"/>
      <c r="M8" s="663"/>
      <c r="N8" s="663"/>
      <c r="O8" s="663"/>
      <c r="P8" s="663"/>
      <c r="Q8" s="663"/>
      <c r="R8" s="663"/>
      <c r="S8" s="663"/>
      <c r="T8" s="663"/>
      <c r="U8" s="663"/>
      <c r="V8" s="663"/>
      <c r="W8" s="664" t="s">
        <v>366</v>
      </c>
    </row>
    <row r="9" spans="1:1024" s="17" customFormat="1" ht="34.5" customHeight="1" x14ac:dyDescent="0.3">
      <c r="A9" s="661"/>
      <c r="B9" s="662"/>
      <c r="C9" s="662"/>
      <c r="D9" s="665" t="s">
        <v>367</v>
      </c>
      <c r="E9" s="665"/>
      <c r="F9" s="665"/>
      <c r="G9" s="665" t="s">
        <v>368</v>
      </c>
      <c r="H9" s="665"/>
      <c r="I9" s="665"/>
      <c r="J9" s="666" t="s">
        <v>369</v>
      </c>
      <c r="K9" s="666"/>
      <c r="L9" s="666"/>
      <c r="M9" s="666"/>
      <c r="N9" s="666"/>
      <c r="O9" s="666"/>
      <c r="P9" s="667" t="s">
        <v>370</v>
      </c>
      <c r="Q9" s="667"/>
      <c r="R9" s="667"/>
      <c r="S9" s="391" t="s">
        <v>371</v>
      </c>
      <c r="T9" s="668" t="s">
        <v>372</v>
      </c>
      <c r="U9" s="668"/>
      <c r="V9" s="668"/>
      <c r="W9" s="664"/>
    </row>
    <row r="10" spans="1:1024" s="17" customFormat="1" ht="27.75" customHeight="1" x14ac:dyDescent="0.3">
      <c r="A10" s="661"/>
      <c r="B10" s="662"/>
      <c r="C10" s="662"/>
      <c r="D10" s="669" t="s">
        <v>373</v>
      </c>
      <c r="E10" s="669"/>
      <c r="F10" s="669"/>
      <c r="G10" s="670" t="s">
        <v>374</v>
      </c>
      <c r="H10" s="671" t="s">
        <v>375</v>
      </c>
      <c r="I10" s="671"/>
      <c r="J10" s="672" t="s">
        <v>376</v>
      </c>
      <c r="K10" s="672"/>
      <c r="L10" s="672"/>
      <c r="M10" s="673" t="s">
        <v>377</v>
      </c>
      <c r="N10" s="673"/>
      <c r="O10" s="673"/>
      <c r="P10" s="674" t="s">
        <v>378</v>
      </c>
      <c r="Q10" s="674"/>
      <c r="R10" s="674"/>
      <c r="S10" s="675" t="s">
        <v>379</v>
      </c>
      <c r="T10" s="674" t="s">
        <v>380</v>
      </c>
      <c r="U10" s="674"/>
      <c r="V10" s="674"/>
      <c r="W10" s="664"/>
    </row>
    <row r="11" spans="1:1024" s="17" customFormat="1" ht="71.25" customHeight="1" thickBot="1" x14ac:dyDescent="0.35">
      <c r="A11" s="661"/>
      <c r="B11" s="392" t="s">
        <v>25</v>
      </c>
      <c r="C11" s="393" t="s">
        <v>26</v>
      </c>
      <c r="D11" s="550" t="s">
        <v>24</v>
      </c>
      <c r="E11" s="551" t="s">
        <v>381</v>
      </c>
      <c r="F11" s="394" t="s">
        <v>382</v>
      </c>
      <c r="G11" s="670"/>
      <c r="H11" s="552" t="s">
        <v>383</v>
      </c>
      <c r="I11" s="553" t="s">
        <v>384</v>
      </c>
      <c r="J11" s="554" t="s">
        <v>385</v>
      </c>
      <c r="K11" s="552" t="s">
        <v>33</v>
      </c>
      <c r="L11" s="555" t="s">
        <v>386</v>
      </c>
      <c r="M11" s="556" t="s">
        <v>387</v>
      </c>
      <c r="N11" s="551" t="s">
        <v>34</v>
      </c>
      <c r="O11" s="394" t="s">
        <v>388</v>
      </c>
      <c r="P11" s="556" t="s">
        <v>389</v>
      </c>
      <c r="Q11" s="551" t="s">
        <v>390</v>
      </c>
      <c r="R11" s="393" t="s">
        <v>391</v>
      </c>
      <c r="S11" s="675"/>
      <c r="T11" s="556" t="s">
        <v>392</v>
      </c>
      <c r="U11" s="551" t="s">
        <v>393</v>
      </c>
      <c r="V11" s="393" t="s">
        <v>394</v>
      </c>
      <c r="W11" s="664"/>
    </row>
    <row r="12" spans="1:1024" s="17" customFormat="1" ht="15.6" customHeight="1" x14ac:dyDescent="0.3">
      <c r="A12" s="676" t="s">
        <v>395</v>
      </c>
      <c r="B12" s="395" t="str">
        <f>Dados!C7</f>
        <v>Servente de Limpeza 40% Insalubridade</v>
      </c>
      <c r="C12" s="396">
        <f>Dados!D7</f>
        <v>200</v>
      </c>
      <c r="D12" s="397">
        <f>Dados!B7</f>
        <v>1</v>
      </c>
      <c r="E12" s="398">
        <f>'Servente Insalubre'!$F$45</f>
        <v>6710.92</v>
      </c>
      <c r="F12" s="399">
        <f>ROUND((D12*E12),2)</f>
        <v>6710.92</v>
      </c>
      <c r="G12" s="400">
        <f>'Servente Insalubre'!$I$45</f>
        <v>88.65</v>
      </c>
      <c r="H12" s="401">
        <f>'Ocorrências Mensais - FAT'!F11+'Ocorrências Mensais - FAT'!H11</f>
        <v>0</v>
      </c>
      <c r="I12" s="402">
        <f>(ROUND((G12/Dados!$G$33*H12)-(G12/'Ocorrências Mensais - FAT'!$E$5*'Ocorrências Mensais - FAT'!G11),2))</f>
        <v>0</v>
      </c>
      <c r="J12" s="403">
        <f>'Servente Insalubre'!$G$45</f>
        <v>5155.2700000000004</v>
      </c>
      <c r="K12" s="401">
        <f>'Ocorrências Mensais - FAT'!K11</f>
        <v>0</v>
      </c>
      <c r="L12" s="402">
        <f>J12/'Ocorrências Mensais - FAT'!$E$5*K12</f>
        <v>0</v>
      </c>
      <c r="M12" s="404">
        <f>'Custo Substituto'!$F$33</f>
        <v>4498.0200000000004</v>
      </c>
      <c r="N12" s="405">
        <f>'Ocorrências Mensais - FAT'!L11</f>
        <v>0</v>
      </c>
      <c r="O12" s="406">
        <f>M12/'Ocorrências Mensais - FAT'!$E$5*N12</f>
        <v>0</v>
      </c>
      <c r="P12" s="407">
        <f>'Servente Insalubre'!$H$45</f>
        <v>595.66</v>
      </c>
      <c r="Q12" s="408">
        <f>'Ocorrências Mensais - FAT'!M11</f>
        <v>0</v>
      </c>
      <c r="R12" s="406">
        <f>ROUND((P12/Dados!$G$36*Q12),2)</f>
        <v>0</v>
      </c>
      <c r="S12" s="409">
        <f>I12+L12+O12+R12</f>
        <v>0</v>
      </c>
      <c r="T12" s="410"/>
      <c r="U12" s="411"/>
      <c r="V12" s="412"/>
      <c r="W12" s="413">
        <f>ROUND((F12-S12+V12),2)</f>
        <v>6710.92</v>
      </c>
    </row>
    <row r="13" spans="1:1024" s="17" customFormat="1" ht="17.25" customHeight="1" x14ac:dyDescent="0.3">
      <c r="A13" s="677"/>
      <c r="B13" s="395" t="str">
        <f>Dados!C8</f>
        <v>Servente de Limpeza acúmulo de função Copeira</v>
      </c>
      <c r="C13" s="396">
        <f>Dados!D8</f>
        <v>200</v>
      </c>
      <c r="D13" s="397">
        <f>Dados!B8</f>
        <v>1</v>
      </c>
      <c r="E13" s="398">
        <f>'Servente acúmulo função Copeira'!$F$45</f>
        <v>5564.95</v>
      </c>
      <c r="F13" s="399">
        <f>ROUND((D13*E13),2)</f>
        <v>5564.95</v>
      </c>
      <c r="G13" s="414">
        <f>'Servente acúmulo função Copeira'!$I$45</f>
        <v>88.65</v>
      </c>
      <c r="H13" s="415">
        <f>'Ocorrências Mensais - FAT'!F12+'Ocorrências Mensais - FAT'!H12</f>
        <v>0</v>
      </c>
      <c r="I13" s="416">
        <f>(ROUND((G13/Dados!$G$33*H13)-(G13/'Ocorrências Mensais - FAT'!$E$5*'Ocorrências Mensais - FAT'!G12),2))</f>
        <v>0</v>
      </c>
      <c r="J13" s="417">
        <f>'Servente acúmulo função Copeira'!$G$45</f>
        <v>3908.82</v>
      </c>
      <c r="K13" s="415">
        <f>'Ocorrências Mensais - FAT'!K12</f>
        <v>0</v>
      </c>
      <c r="L13" s="416">
        <f>J13/'Ocorrências Mensais - FAT'!$E$5*K13</f>
        <v>0</v>
      </c>
      <c r="M13" s="417">
        <f>'Custo Substituto'!G33</f>
        <v>3416.9700000000003</v>
      </c>
      <c r="N13" s="415">
        <f>'Ocorrências Mensais - FAT'!L12</f>
        <v>0</v>
      </c>
      <c r="O13" s="418">
        <f>M13/'Ocorrências Mensais - FAT'!$E$5*N13</f>
        <v>0</v>
      </c>
      <c r="P13" s="419">
        <f>'Servente acúmulo função Copeira'!$H$45</f>
        <v>595.66</v>
      </c>
      <c r="Q13" s="420">
        <f>'Ocorrências Mensais - FAT'!M12</f>
        <v>0</v>
      </c>
      <c r="R13" s="418">
        <f>ROUND((P13/Dados!$G$36*Q13),2)</f>
        <v>0</v>
      </c>
      <c r="S13" s="421">
        <f>I13+L13+O13+R13</f>
        <v>0</v>
      </c>
      <c r="T13" s="407">
        <f>'Servente Insalubre'!$J$46</f>
        <v>44.75</v>
      </c>
      <c r="U13" s="420">
        <f>'Ocorrências Mensais - FAT'!N12</f>
        <v>0</v>
      </c>
      <c r="V13" s="422">
        <f>T13*U13</f>
        <v>0</v>
      </c>
      <c r="W13" s="413">
        <f>ROUND((F13-S13+V13),2)</f>
        <v>5564.95</v>
      </c>
    </row>
    <row r="14" spans="1:1024" s="17" customFormat="1" ht="16.2" thickBot="1" x14ac:dyDescent="0.35">
      <c r="A14" s="505" t="s">
        <v>396</v>
      </c>
      <c r="B14" s="395" t="str">
        <f>Dados!C9</f>
        <v>Auxiliar Administrativo</v>
      </c>
      <c r="C14" s="396">
        <f>Dados!D9</f>
        <v>200</v>
      </c>
      <c r="D14" s="397">
        <f>Dados!B9</f>
        <v>2</v>
      </c>
      <c r="E14" s="398">
        <f>'Auxiliar Administrativo'!$F$45</f>
        <v>4558.42</v>
      </c>
      <c r="F14" s="399">
        <f>ROUND((D14*E14),2)</f>
        <v>9116.84</v>
      </c>
      <c r="G14" s="414">
        <f>'Auxiliar Administrativo'!$I$45</f>
        <v>62.18</v>
      </c>
      <c r="H14" s="415">
        <f>'Ocorrências Mensais - FAT'!F13+'Ocorrências Mensais - FAT'!H13</f>
        <v>0</v>
      </c>
      <c r="I14" s="416">
        <f>(ROUND((G14/Dados!$G$33*H14)-(G14/'Ocorrências Mensais - FAT'!$E$5*'Ocorrências Mensais - FAT'!G13),2))</f>
        <v>0</v>
      </c>
      <c r="J14" s="417">
        <f>'Auxiliar Administrativo'!$G$45</f>
        <v>4558.42</v>
      </c>
      <c r="K14" s="415">
        <f>'Ocorrências Mensais - FAT'!K13</f>
        <v>0</v>
      </c>
      <c r="L14" s="416">
        <f>J14/'Ocorrências Mensais - FAT'!$E$5*K14</f>
        <v>0</v>
      </c>
      <c r="M14" s="417">
        <f>'Custo Substituto'!H33</f>
        <v>3983.8999999999996</v>
      </c>
      <c r="N14" s="415">
        <f>'Ocorrências Mensais - FAT'!L13</f>
        <v>0</v>
      </c>
      <c r="O14" s="418">
        <f>M14/'Ocorrências Mensais - FAT'!$E$5*N14</f>
        <v>0</v>
      </c>
      <c r="P14" s="419">
        <f>'Auxiliar Administrativo'!$H$45</f>
        <v>595.66</v>
      </c>
      <c r="Q14" s="420">
        <f>'Ocorrências Mensais - FAT'!M13</f>
        <v>0</v>
      </c>
      <c r="R14" s="418">
        <f>ROUND((P14/Dados!$G$36*Q14),2)</f>
        <v>0</v>
      </c>
      <c r="S14" s="421">
        <f>I14+L14+O14+R14</f>
        <v>0</v>
      </c>
      <c r="T14" s="423"/>
      <c r="U14" s="424"/>
      <c r="V14" s="425"/>
      <c r="W14" s="413">
        <f>ROUND((F14-S14+V14),2)</f>
        <v>9116.84</v>
      </c>
    </row>
    <row r="15" spans="1:1024" s="56" customFormat="1" ht="21.75" customHeight="1" thickBot="1" x14ac:dyDescent="0.35">
      <c r="A15" s="681" t="s">
        <v>397</v>
      </c>
      <c r="B15" s="681"/>
      <c r="C15" s="681"/>
      <c r="D15" s="426">
        <f>SUM(D12:D14)</f>
        <v>4</v>
      </c>
      <c r="E15" s="427"/>
      <c r="F15" s="428">
        <f>SUM(F12:F14)</f>
        <v>21392.71</v>
      </c>
      <c r="G15" s="429"/>
      <c r="H15" s="427">
        <f t="shared" ref="H15:O15" si="0">SUM(H12:H14)</f>
        <v>0</v>
      </c>
      <c r="I15" s="430">
        <f t="shared" si="0"/>
        <v>0</v>
      </c>
      <c r="J15" s="431">
        <f t="shared" si="0"/>
        <v>13622.51</v>
      </c>
      <c r="K15" s="427">
        <f t="shared" si="0"/>
        <v>0</v>
      </c>
      <c r="L15" s="430">
        <f t="shared" si="0"/>
        <v>0</v>
      </c>
      <c r="M15" s="432">
        <f t="shared" si="0"/>
        <v>11898.89</v>
      </c>
      <c r="N15" s="427">
        <f t="shared" si="0"/>
        <v>0</v>
      </c>
      <c r="O15" s="428">
        <f t="shared" si="0"/>
        <v>0</v>
      </c>
      <c r="P15" s="429"/>
      <c r="Q15" s="427">
        <f>SUM(Q12:Q14)</f>
        <v>0</v>
      </c>
      <c r="R15" s="428">
        <f>SUM(R12:R14)</f>
        <v>0</v>
      </c>
      <c r="S15" s="433">
        <f>SUM(S12:S14)</f>
        <v>0</v>
      </c>
      <c r="T15" s="434"/>
      <c r="U15" s="427">
        <f>SUM(U12:U14)</f>
        <v>0</v>
      </c>
      <c r="V15" s="430">
        <f>SUM(V12:V14)</f>
        <v>0</v>
      </c>
      <c r="W15" s="435">
        <f>SUM(W12:W14)</f>
        <v>21392.71</v>
      </c>
      <c r="X15" s="436" t="s">
        <v>398</v>
      </c>
      <c r="Y15" s="437"/>
    </row>
    <row r="16" spans="1:1024" s="50" customFormat="1" ht="18" customHeight="1" x14ac:dyDescent="0.3">
      <c r="A16" s="682" t="s">
        <v>399</v>
      </c>
      <c r="B16" s="682"/>
      <c r="C16" s="682"/>
      <c r="D16" s="682"/>
      <c r="E16" s="682"/>
      <c r="F16" s="682"/>
      <c r="G16" s="682"/>
      <c r="H16" s="682"/>
      <c r="I16" s="682"/>
      <c r="J16" s="682"/>
      <c r="K16" s="682"/>
      <c r="L16" s="682"/>
      <c r="M16" s="682"/>
      <c r="N16" s="682"/>
      <c r="O16" s="682"/>
      <c r="P16" s="682"/>
      <c r="Q16" s="682"/>
      <c r="R16" s="682"/>
      <c r="S16" s="682"/>
      <c r="T16" s="682"/>
      <c r="U16" s="682"/>
      <c r="V16" s="682"/>
      <c r="W16" s="438">
        <f>Materiais!K42+Materiais!K54</f>
        <v>2562.2574999999993</v>
      </c>
    </row>
    <row r="17" spans="1:23" s="50" customFormat="1" ht="20.25" customHeight="1" x14ac:dyDescent="0.3">
      <c r="A17" s="682" t="s">
        <v>400</v>
      </c>
      <c r="B17" s="682"/>
      <c r="C17" s="682"/>
      <c r="D17" s="682"/>
      <c r="E17" s="682"/>
      <c r="F17" s="682"/>
      <c r="G17" s="682"/>
      <c r="H17" s="682"/>
      <c r="I17" s="682"/>
      <c r="J17" s="682"/>
      <c r="K17" s="682"/>
      <c r="L17" s="682"/>
      <c r="M17" s="682"/>
      <c r="N17" s="682"/>
      <c r="O17" s="682"/>
      <c r="P17" s="682"/>
      <c r="Q17" s="682"/>
      <c r="R17" s="682"/>
      <c r="S17" s="682"/>
      <c r="T17" s="682"/>
      <c r="U17" s="682"/>
      <c r="V17" s="682"/>
      <c r="W17" s="439">
        <f>((W15*12))</f>
        <v>256712.52</v>
      </c>
    </row>
    <row r="18" spans="1:23" s="440" customFormat="1" ht="24" customHeight="1" x14ac:dyDescent="0.3">
      <c r="A18" s="683" t="s">
        <v>50</v>
      </c>
      <c r="B18" s="683"/>
      <c r="C18" s="683"/>
      <c r="D18" s="683"/>
      <c r="E18" s="683"/>
      <c r="F18" s="683"/>
      <c r="G18" s="683"/>
      <c r="H18" s="683"/>
      <c r="I18" s="683"/>
      <c r="J18" s="683"/>
      <c r="K18" s="683"/>
      <c r="L18" s="683"/>
      <c r="M18" s="683"/>
      <c r="N18" s="683"/>
      <c r="O18" s="683"/>
      <c r="P18" s="683"/>
      <c r="Q18" s="683"/>
      <c r="R18" s="683"/>
      <c r="S18" s="683"/>
      <c r="T18" s="683"/>
      <c r="U18" s="683"/>
      <c r="V18" s="683"/>
      <c r="W18" s="683"/>
    </row>
    <row r="19" spans="1:23" s="50" customFormat="1" ht="26.25" customHeight="1" x14ac:dyDescent="0.3">
      <c r="A19" s="678"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19" s="678"/>
      <c r="C19" s="678"/>
      <c r="D19" s="678"/>
      <c r="E19" s="678"/>
      <c r="F19" s="678"/>
      <c r="G19" s="678"/>
      <c r="H19" s="678"/>
      <c r="I19" s="678"/>
      <c r="J19" s="678"/>
      <c r="K19" s="678"/>
      <c r="L19" s="678"/>
      <c r="M19" s="678"/>
      <c r="N19" s="678"/>
      <c r="O19" s="678"/>
      <c r="P19" s="678"/>
      <c r="Q19" s="678"/>
      <c r="R19" s="678"/>
      <c r="S19" s="678"/>
      <c r="T19" s="678"/>
      <c r="U19" s="678"/>
      <c r="V19" s="678"/>
      <c r="W19" s="678"/>
    </row>
    <row r="20" spans="1:23" s="441" customFormat="1" ht="18.75" customHeight="1" x14ac:dyDescent="0.3">
      <c r="A20" s="679"/>
      <c r="B20" s="679"/>
      <c r="C20" s="679"/>
      <c r="D20" s="679"/>
      <c r="E20" s="679"/>
      <c r="F20" s="679"/>
      <c r="G20" s="679"/>
      <c r="H20" s="679"/>
      <c r="I20" s="679"/>
      <c r="J20" s="679"/>
      <c r="K20" s="679"/>
      <c r="L20" s="679"/>
      <c r="M20" s="679"/>
      <c r="N20" s="679"/>
      <c r="O20" s="679"/>
      <c r="P20" s="679"/>
      <c r="Q20" s="679"/>
      <c r="R20" s="679"/>
      <c r="S20" s="679"/>
      <c r="T20" s="679"/>
      <c r="U20" s="679"/>
      <c r="V20" s="679"/>
      <c r="W20" s="679"/>
    </row>
    <row r="21" spans="1:23" x14ac:dyDescent="0.3">
      <c r="A21" s="680"/>
      <c r="B21" s="680"/>
      <c r="C21" s="680"/>
      <c r="D21" s="680"/>
      <c r="E21" s="680"/>
      <c r="F21" s="680"/>
      <c r="G21" s="680"/>
      <c r="H21" s="680"/>
      <c r="I21" s="680"/>
      <c r="J21" s="680"/>
      <c r="K21" s="680"/>
      <c r="L21" s="680"/>
      <c r="M21" s="680"/>
      <c r="N21" s="680"/>
      <c r="O21" s="680"/>
      <c r="P21" s="680"/>
      <c r="Q21" s="680"/>
      <c r="R21" s="680"/>
      <c r="S21" s="680"/>
      <c r="T21" s="680"/>
      <c r="U21" s="680"/>
      <c r="V21" s="680"/>
      <c r="W21" s="680"/>
    </row>
    <row r="22" spans="1:23" x14ac:dyDescent="0.3">
      <c r="A22" s="680"/>
      <c r="B22" s="680"/>
      <c r="C22" s="680"/>
      <c r="D22" s="680"/>
      <c r="E22" s="680"/>
      <c r="F22" s="680"/>
      <c r="G22" s="680"/>
      <c r="H22" s="680"/>
      <c r="I22" s="680"/>
      <c r="J22" s="680"/>
      <c r="K22" s="680"/>
      <c r="L22" s="680"/>
      <c r="M22" s="680"/>
      <c r="N22" s="680"/>
      <c r="O22" s="680"/>
      <c r="P22" s="680"/>
      <c r="Q22" s="680"/>
      <c r="R22" s="680"/>
      <c r="S22" s="680"/>
      <c r="T22" s="680"/>
      <c r="U22" s="680"/>
      <c r="V22" s="680"/>
      <c r="W22" s="680"/>
    </row>
  </sheetData>
  <sheetProtection algorithmName="SHA-512" hashValue="7uwPVuI3GXT+jk2qOrRu+6BBeLi6XHFjbdOv5dqiX6Yky6/FoNCmZ0nMVmjRNr6vXninhaUO1U753yRBQpP/DQ==" saltValue="WOXuJW88flcS3xU+C75qrg==" spinCount="100000" sheet="1" objects="1" scenarios="1"/>
  <mergeCells count="30">
    <mergeCell ref="A12:A13"/>
    <mergeCell ref="A19:W19"/>
    <mergeCell ref="A20:W20"/>
    <mergeCell ref="A21:W21"/>
    <mergeCell ref="A22:W22"/>
    <mergeCell ref="A15:C15"/>
    <mergeCell ref="A16:V16"/>
    <mergeCell ref="A17:V17"/>
    <mergeCell ref="A18:W18"/>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ageMargins left="0.51180555555555596" right="0.51180555555555596" top="0.78749999999999998" bottom="0.78749999999999998" header="0.511811023622047" footer="0.511811023622047"/>
  <pageSetup paperSize="9" scale="43" orientation="landscape" horizontalDpi="300" verticalDpi="300"/>
  <colBreaks count="1" manualBreakCount="1">
    <brk id="23"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AMJ47"/>
  <sheetViews>
    <sheetView showGridLines="0" zoomScale="95" zoomScaleNormal="95" workbookViewId="0">
      <selection activeCell="H44" sqref="H44"/>
    </sheetView>
  </sheetViews>
  <sheetFormatPr defaultColWidth="9.109375" defaultRowHeight="14.4" x14ac:dyDescent="0.3"/>
  <cols>
    <col min="1" max="1" width="10.5546875" style="96" customWidth="1"/>
    <col min="2" max="2" width="27.6640625" style="96" customWidth="1"/>
    <col min="3" max="3" width="14.44140625" style="96" customWidth="1"/>
    <col min="4" max="5" width="15" style="96" customWidth="1"/>
    <col min="6" max="6" width="16.6640625" style="312" customWidth="1"/>
    <col min="7" max="8" width="13.109375" style="312" customWidth="1"/>
    <col min="9" max="10" width="12.5546875" style="312" customWidth="1"/>
    <col min="11" max="257" width="9.109375" style="96"/>
    <col min="258" max="258" width="10.5546875" style="96" customWidth="1"/>
    <col min="259" max="259" width="27.6640625" style="96" customWidth="1"/>
    <col min="260" max="260" width="14.44140625" style="96" customWidth="1"/>
    <col min="261" max="262" width="15" style="96" customWidth="1"/>
    <col min="263" max="263" width="16.6640625" style="96" customWidth="1"/>
    <col min="264" max="264" width="13.109375" style="96" customWidth="1"/>
    <col min="265" max="266" width="12.5546875" style="96" customWidth="1"/>
    <col min="267" max="513" width="9.109375" style="96"/>
    <col min="514" max="514" width="10.5546875" style="96" customWidth="1"/>
    <col min="515" max="515" width="27.6640625" style="96" customWidth="1"/>
    <col min="516" max="516" width="14.44140625" style="96" customWidth="1"/>
    <col min="517" max="518" width="15" style="96" customWidth="1"/>
    <col min="519" max="519" width="16.6640625" style="96" customWidth="1"/>
    <col min="520" max="520" width="13.109375" style="96" customWidth="1"/>
    <col min="521" max="522" width="12.5546875" style="96" customWidth="1"/>
    <col min="523" max="769" width="9.109375" style="96"/>
    <col min="770" max="770" width="10.5546875" style="96" customWidth="1"/>
    <col min="771" max="771" width="27.6640625" style="96" customWidth="1"/>
    <col min="772" max="772" width="14.44140625" style="96" customWidth="1"/>
    <col min="773" max="774" width="15" style="96" customWidth="1"/>
    <col min="775" max="775" width="16.6640625" style="96" customWidth="1"/>
    <col min="776" max="776" width="13.109375" style="96" customWidth="1"/>
    <col min="777" max="778" width="12.5546875" style="96" customWidth="1"/>
    <col min="779" max="1024" width="9.109375" style="96"/>
  </cols>
  <sheetData>
    <row r="1" spans="1:10" x14ac:dyDescent="0.3">
      <c r="A1" s="313"/>
      <c r="B1" s="93" t="str">
        <f>INSTRUÇÕES!B1</f>
        <v>Tribunal Regional Federal da 6ª Região</v>
      </c>
      <c r="C1" s="314"/>
      <c r="D1" s="314"/>
      <c r="E1" s="314"/>
      <c r="F1" s="315"/>
      <c r="G1" s="316"/>
      <c r="H1" s="316"/>
      <c r="I1" s="315"/>
      <c r="J1" s="317"/>
    </row>
    <row r="2" spans="1:10" x14ac:dyDescent="0.3">
      <c r="A2" s="318"/>
      <c r="B2" s="95" t="str">
        <f>INSTRUÇÕES!B2</f>
        <v>Seção Judiciária de Minas Gerais</v>
      </c>
      <c r="C2" s="319"/>
      <c r="D2" s="319"/>
      <c r="E2" s="319"/>
      <c r="F2" s="320"/>
      <c r="I2" s="320"/>
      <c r="J2" s="321"/>
    </row>
    <row r="3" spans="1:10" x14ac:dyDescent="0.3">
      <c r="A3" s="322"/>
      <c r="B3" s="323" t="str">
        <f>INSTRUÇÕES!B3</f>
        <v>Subseção Judiciária de Viçosa</v>
      </c>
      <c r="C3" s="319"/>
      <c r="D3" s="319"/>
      <c r="E3" s="319"/>
      <c r="F3" s="320"/>
      <c r="I3" s="320"/>
      <c r="J3" s="321"/>
    </row>
    <row r="4" spans="1:10" ht="19.5" customHeight="1" x14ac:dyDescent="0.3">
      <c r="A4" s="684" t="s">
        <v>530</v>
      </c>
      <c r="B4" s="684"/>
      <c r="C4" s="684"/>
      <c r="D4" s="684"/>
      <c r="E4" s="684"/>
      <c r="F4" s="684"/>
      <c r="G4" s="684"/>
      <c r="H4" s="684"/>
      <c r="I4" s="684"/>
      <c r="J4" s="684"/>
    </row>
    <row r="5" spans="1:10" ht="19.5" customHeight="1" x14ac:dyDescent="0.3">
      <c r="A5" s="685" t="s">
        <v>531</v>
      </c>
      <c r="B5" s="685"/>
      <c r="C5" s="685"/>
      <c r="D5" s="685"/>
      <c r="E5" s="685"/>
      <c r="F5" s="685"/>
      <c r="G5" s="685"/>
      <c r="H5" s="685"/>
      <c r="I5" s="685"/>
      <c r="J5" s="685"/>
    </row>
    <row r="6" spans="1:10" ht="36" customHeight="1" x14ac:dyDescent="0.3">
      <c r="A6" s="686" t="str">
        <f>Dados!A4</f>
        <v>Sindicato utilizado - SINSERTH x SINTAPPI. Vigência: 2024/2025. Sendo a data base da categoria 01° de Abril. Com número de registro no MTE MG002103/2024.</v>
      </c>
      <c r="B6" s="686"/>
      <c r="C6" s="686"/>
      <c r="D6" s="686"/>
      <c r="E6" s="686"/>
      <c r="F6" s="686"/>
      <c r="G6" s="686"/>
      <c r="H6" s="686"/>
      <c r="I6" s="686"/>
      <c r="J6" s="686"/>
    </row>
    <row r="7" spans="1:10" ht="19.5" customHeight="1" x14ac:dyDescent="0.3">
      <c r="A7" s="687" t="str">
        <f>Dados!C7</f>
        <v>Servente de Limpeza 40% Insalubridade</v>
      </c>
      <c r="B7" s="687"/>
      <c r="C7" s="687"/>
      <c r="D7" s="687"/>
      <c r="E7" s="687"/>
      <c r="F7" s="688" t="s">
        <v>532</v>
      </c>
      <c r="G7" s="688" t="s">
        <v>533</v>
      </c>
      <c r="H7" s="688" t="s">
        <v>534</v>
      </c>
      <c r="I7" s="688" t="s">
        <v>535</v>
      </c>
      <c r="J7" s="688" t="s">
        <v>536</v>
      </c>
    </row>
    <row r="8" spans="1:10" ht="19.5" customHeight="1" x14ac:dyDescent="0.3">
      <c r="A8" s="689" t="s">
        <v>537</v>
      </c>
      <c r="B8" s="689"/>
      <c r="C8" s="689"/>
      <c r="D8" s="689"/>
      <c r="E8" s="324" t="s">
        <v>485</v>
      </c>
      <c r="F8" s="688"/>
      <c r="G8" s="688"/>
      <c r="H8" s="688"/>
      <c r="I8" s="688"/>
      <c r="J8" s="688"/>
    </row>
    <row r="9" spans="1:10" ht="19.5" customHeight="1" x14ac:dyDescent="0.3">
      <c r="A9" s="690" t="s">
        <v>538</v>
      </c>
      <c r="B9" s="690"/>
      <c r="C9" s="690"/>
      <c r="D9" s="690"/>
      <c r="E9" s="690"/>
      <c r="F9" s="690"/>
      <c r="G9" s="690"/>
      <c r="H9" s="690"/>
      <c r="I9" s="690"/>
      <c r="J9" s="690"/>
    </row>
    <row r="10" spans="1:10" ht="24" customHeight="1" x14ac:dyDescent="0.3">
      <c r="A10" s="325" t="s">
        <v>486</v>
      </c>
      <c r="B10" s="691" t="s">
        <v>539</v>
      </c>
      <c r="C10" s="691"/>
      <c r="D10" s="326" t="s">
        <v>540</v>
      </c>
      <c r="E10" s="327" t="s">
        <v>541</v>
      </c>
      <c r="F10" s="692" t="s">
        <v>489</v>
      </c>
      <c r="G10" s="692"/>
      <c r="H10" s="692"/>
      <c r="I10" s="692"/>
      <c r="J10" s="692"/>
    </row>
    <row r="11" spans="1:10" ht="19.5" customHeight="1" x14ac:dyDescent="0.3">
      <c r="A11" s="693">
        <v>1</v>
      </c>
      <c r="B11" s="694" t="str">
        <f>A7</f>
        <v>Servente de Limpeza 40% Insalubridade</v>
      </c>
      <c r="C11" s="694"/>
      <c r="D11" s="328">
        <f>Dados!D7</f>
        <v>200</v>
      </c>
      <c r="E11" s="329">
        <f>Dados!E7</f>
        <v>1526.8</v>
      </c>
      <c r="F11" s="330">
        <f>ROUND(E11/220*D11,2)</f>
        <v>1388</v>
      </c>
      <c r="G11" s="330">
        <f>F11</f>
        <v>1388</v>
      </c>
      <c r="H11" s="330"/>
      <c r="I11" s="330"/>
      <c r="J11" s="331"/>
    </row>
    <row r="12" spans="1:10" ht="19.5" customHeight="1" x14ac:dyDescent="0.3">
      <c r="A12" s="693"/>
      <c r="B12" s="694" t="s">
        <v>542</v>
      </c>
      <c r="C12" s="694"/>
      <c r="D12" s="332">
        <f>Dados!G7</f>
        <v>0.4</v>
      </c>
      <c r="E12" s="329">
        <f>Dados!G26</f>
        <v>1518</v>
      </c>
      <c r="F12" s="330">
        <f>D12*E12</f>
        <v>607.20000000000005</v>
      </c>
      <c r="G12" s="330">
        <f>F12</f>
        <v>607.20000000000005</v>
      </c>
      <c r="H12" s="330"/>
      <c r="I12" s="330"/>
      <c r="J12" s="331">
        <f>F12</f>
        <v>607.20000000000005</v>
      </c>
    </row>
    <row r="13" spans="1:10" ht="20.25" customHeight="1" x14ac:dyDescent="0.3">
      <c r="A13" s="693"/>
      <c r="B13" s="333" t="s">
        <v>543</v>
      </c>
      <c r="C13" s="334">
        <f>Dados!I7</f>
        <v>0</v>
      </c>
      <c r="D13" s="334">
        <f>Dados!J7</f>
        <v>0</v>
      </c>
      <c r="E13" s="335">
        <f>Dados!L7</f>
        <v>0</v>
      </c>
      <c r="F13" s="336">
        <f>ROUND((E13*D13*C13),2)</f>
        <v>0</v>
      </c>
      <c r="G13" s="336">
        <f>F13</f>
        <v>0</v>
      </c>
      <c r="H13" s="336"/>
      <c r="I13" s="336"/>
      <c r="J13" s="337"/>
    </row>
    <row r="14" spans="1:10" ht="19.5" customHeight="1" x14ac:dyDescent="0.3">
      <c r="A14" s="693"/>
      <c r="B14" s="695" t="s">
        <v>544</v>
      </c>
      <c r="C14" s="695"/>
      <c r="D14" s="695"/>
      <c r="E14" s="695"/>
      <c r="F14" s="338">
        <f>SUM(F11:F13)</f>
        <v>1995.2</v>
      </c>
      <c r="G14" s="338">
        <f>SUM(G11:G13)</f>
        <v>1995.2</v>
      </c>
      <c r="H14" s="338">
        <f>SUM(H11:H13)</f>
        <v>0</v>
      </c>
      <c r="I14" s="338">
        <f>SUM(I11:I13)</f>
        <v>0</v>
      </c>
      <c r="J14" s="339">
        <f>SUM(J11:J13)</f>
        <v>607.20000000000005</v>
      </c>
    </row>
    <row r="15" spans="1:10" ht="19.5" customHeight="1" x14ac:dyDescent="0.3">
      <c r="A15" s="693"/>
      <c r="B15" s="696" t="s">
        <v>545</v>
      </c>
      <c r="C15" s="696"/>
      <c r="D15" s="696"/>
      <c r="E15" s="340">
        <f>Encargos!$C$57</f>
        <v>0.76400000000000001</v>
      </c>
      <c r="F15" s="330">
        <f>ROUND((E15*F14),2)</f>
        <v>1524.33</v>
      </c>
      <c r="G15" s="330">
        <f>F15</f>
        <v>1524.33</v>
      </c>
      <c r="H15" s="330"/>
      <c r="I15" s="330"/>
      <c r="J15" s="331">
        <f>ROUND((E15*J14),2)</f>
        <v>463.9</v>
      </c>
    </row>
    <row r="16" spans="1:10" ht="19.5" customHeight="1" x14ac:dyDescent="0.3">
      <c r="A16" s="697" t="s">
        <v>546</v>
      </c>
      <c r="B16" s="697"/>
      <c r="C16" s="697"/>
      <c r="D16" s="697"/>
      <c r="E16" s="697"/>
      <c r="F16" s="341">
        <f>SUM(F14:F15)</f>
        <v>3519.5299999999997</v>
      </c>
      <c r="G16" s="341">
        <f>SUM(G14:G15)</f>
        <v>3519.5299999999997</v>
      </c>
      <c r="H16" s="341">
        <f>SUM(H14:H15)</f>
        <v>0</v>
      </c>
      <c r="I16" s="341">
        <f>SUM(I14:I15)</f>
        <v>0</v>
      </c>
      <c r="J16" s="342">
        <f>SUM(J14:J15)</f>
        <v>1071.0999999999999</v>
      </c>
    </row>
    <row r="17" spans="1:12" ht="19.5" customHeight="1" x14ac:dyDescent="0.3">
      <c r="A17" s="698" t="s">
        <v>547</v>
      </c>
      <c r="B17" s="698"/>
      <c r="C17" s="698"/>
      <c r="D17" s="698"/>
      <c r="E17" s="698"/>
      <c r="F17" s="698"/>
      <c r="G17" s="698"/>
      <c r="H17" s="698"/>
      <c r="I17" s="698"/>
      <c r="J17" s="698"/>
    </row>
    <row r="18" spans="1:12" ht="19.5" customHeight="1" x14ac:dyDescent="0.3">
      <c r="A18" s="699" t="s">
        <v>548</v>
      </c>
      <c r="B18" s="699"/>
      <c r="C18" s="298" t="s">
        <v>488</v>
      </c>
      <c r="D18" s="700" t="s">
        <v>549</v>
      </c>
      <c r="E18" s="700"/>
      <c r="F18" s="701" t="s">
        <v>489</v>
      </c>
      <c r="G18" s="701"/>
      <c r="H18" s="701"/>
      <c r="I18" s="701"/>
      <c r="J18" s="701"/>
    </row>
    <row r="19" spans="1:12" ht="19.5" customHeight="1" x14ac:dyDescent="0.3">
      <c r="A19" s="702" t="s">
        <v>550</v>
      </c>
      <c r="B19" s="702"/>
      <c r="C19" s="344"/>
      <c r="D19" s="344"/>
      <c r="E19" s="344"/>
      <c r="F19" s="330">
        <f>Dados!N7</f>
        <v>32.54</v>
      </c>
      <c r="G19" s="330">
        <f>F19</f>
        <v>32.54</v>
      </c>
      <c r="H19" s="330"/>
      <c r="I19" s="330"/>
      <c r="J19" s="331"/>
    </row>
    <row r="20" spans="1:12" ht="19.5" customHeight="1" x14ac:dyDescent="0.3">
      <c r="A20" s="702" t="s">
        <v>551</v>
      </c>
      <c r="B20" s="702"/>
      <c r="C20" s="344"/>
      <c r="D20" s="344"/>
      <c r="E20" s="344"/>
      <c r="F20" s="330">
        <f>Dados!G29</f>
        <v>7.2</v>
      </c>
      <c r="G20" s="330">
        <f>F20</f>
        <v>7.2</v>
      </c>
      <c r="H20" s="330"/>
      <c r="I20" s="330"/>
      <c r="J20" s="331"/>
    </row>
    <row r="21" spans="1:12" ht="23.25" customHeight="1" x14ac:dyDescent="0.3">
      <c r="A21" s="703" t="s">
        <v>217</v>
      </c>
      <c r="B21" s="703"/>
      <c r="C21" s="344"/>
      <c r="D21" s="344"/>
      <c r="E21" s="344"/>
      <c r="F21" s="330">
        <f>Dados!G30</f>
        <v>0</v>
      </c>
      <c r="G21" s="330">
        <f>F21</f>
        <v>0</v>
      </c>
      <c r="H21" s="330"/>
      <c r="I21" s="330"/>
      <c r="J21" s="331"/>
    </row>
    <row r="22" spans="1:12" ht="19.5" customHeight="1" x14ac:dyDescent="0.3">
      <c r="A22" s="702" t="s">
        <v>218</v>
      </c>
      <c r="B22" s="702"/>
      <c r="C22" s="345">
        <f>Dados!$G$33</f>
        <v>22</v>
      </c>
      <c r="D22" s="345">
        <f>Dados!$G$32</f>
        <v>2</v>
      </c>
      <c r="E22" s="346">
        <f>Dados!$G$31</f>
        <v>3.5</v>
      </c>
      <c r="F22" s="330">
        <f>IF(ROUND((E22*D22*C22)-(F11*Dados!G34),2)&lt;0,0,ROUND((E22*D22*C22)-(F11*Dados!G34),2))</f>
        <v>70.72</v>
      </c>
      <c r="G22" s="330">
        <f>F22</f>
        <v>70.72</v>
      </c>
      <c r="H22" s="330"/>
      <c r="I22" s="330">
        <f>F22</f>
        <v>70.72</v>
      </c>
      <c r="J22" s="331"/>
    </row>
    <row r="23" spans="1:12" ht="19.5" customHeight="1" x14ac:dyDescent="0.3">
      <c r="A23" s="702" t="s">
        <v>227</v>
      </c>
      <c r="B23" s="702"/>
      <c r="C23" s="345">
        <f>Dados!G36</f>
        <v>22</v>
      </c>
      <c r="D23" s="347">
        <f>Dados!G37</f>
        <v>0.2</v>
      </c>
      <c r="E23" s="346">
        <f>Dados!G35</f>
        <v>27</v>
      </c>
      <c r="F23" s="348">
        <f>ROUND((IF(D11&gt;150,((C23*E23)-(C23*(D23*E23))),0)),2)</f>
        <v>475.2</v>
      </c>
      <c r="G23" s="330">
        <f>F23</f>
        <v>475.2</v>
      </c>
      <c r="H23" s="330">
        <f>$F$23</f>
        <v>475.2</v>
      </c>
      <c r="I23" s="348"/>
      <c r="J23" s="331"/>
    </row>
    <row r="24" spans="1:12" ht="19.5" customHeight="1" x14ac:dyDescent="0.3">
      <c r="A24" s="702" t="s">
        <v>230</v>
      </c>
      <c r="B24" s="702"/>
      <c r="C24" s="345"/>
      <c r="D24" s="345"/>
      <c r="E24" s="346"/>
      <c r="F24" s="348">
        <f>Dados!G38</f>
        <v>0</v>
      </c>
      <c r="G24" s="330"/>
      <c r="H24" s="330"/>
      <c r="I24" s="348"/>
      <c r="J24" s="331"/>
    </row>
    <row r="25" spans="1:12" ht="19.5" customHeight="1" x14ac:dyDescent="0.3">
      <c r="A25" s="702" t="s">
        <v>230</v>
      </c>
      <c r="B25" s="702"/>
      <c r="C25" s="345"/>
      <c r="D25" s="345"/>
      <c r="E25" s="346"/>
      <c r="F25" s="348">
        <f>Dados!G39</f>
        <v>0</v>
      </c>
      <c r="G25" s="330"/>
      <c r="H25" s="330"/>
      <c r="I25" s="348"/>
      <c r="J25" s="331"/>
    </row>
    <row r="26" spans="1:12" ht="19.5" customHeight="1" x14ac:dyDescent="0.3">
      <c r="A26" s="702" t="s">
        <v>552</v>
      </c>
      <c r="B26" s="702"/>
      <c r="C26" s="345"/>
      <c r="D26" s="346"/>
      <c r="E26" s="346"/>
      <c r="F26" s="330">
        <f>Dados!O7</f>
        <v>1241.05</v>
      </c>
      <c r="G26" s="330"/>
      <c r="H26" s="330"/>
      <c r="I26" s="330"/>
      <c r="J26" s="331"/>
      <c r="L26" s="349"/>
    </row>
    <row r="27" spans="1:12" ht="19.5" customHeight="1" x14ac:dyDescent="0.3">
      <c r="A27" s="343" t="s">
        <v>553</v>
      </c>
      <c r="B27" s="350"/>
      <c r="C27" s="345"/>
      <c r="D27" s="346"/>
      <c r="E27" s="346"/>
      <c r="F27" s="330"/>
      <c r="G27" s="330"/>
      <c r="H27" s="330"/>
      <c r="I27" s="330"/>
      <c r="J27" s="331"/>
    </row>
    <row r="28" spans="1:12" ht="19.5" customHeight="1" x14ac:dyDescent="0.3">
      <c r="A28" s="704" t="s">
        <v>554</v>
      </c>
      <c r="B28" s="704"/>
      <c r="C28" s="351"/>
      <c r="D28" s="352"/>
      <c r="E28" s="352"/>
      <c r="F28" s="336">
        <f>Dados!Q7</f>
        <v>7.55</v>
      </c>
      <c r="G28" s="336">
        <f>F28</f>
        <v>7.55</v>
      </c>
      <c r="H28" s="336"/>
      <c r="I28" s="336"/>
      <c r="J28" s="337"/>
    </row>
    <row r="29" spans="1:12" ht="19.5" customHeight="1" x14ac:dyDescent="0.3">
      <c r="A29" s="705" t="s">
        <v>555</v>
      </c>
      <c r="B29" s="705"/>
      <c r="C29" s="705"/>
      <c r="D29" s="705"/>
      <c r="E29" s="705"/>
      <c r="F29" s="341">
        <f>SUM(F19:F28)</f>
        <v>1834.26</v>
      </c>
      <c r="G29" s="341">
        <f>SUM(G19:G28)</f>
        <v>593.20999999999992</v>
      </c>
      <c r="H29" s="341">
        <f>SUM(H19:H28)</f>
        <v>475.2</v>
      </c>
      <c r="I29" s="341">
        <f>SUM(I19:I28)</f>
        <v>70.72</v>
      </c>
      <c r="J29" s="342">
        <f>SUM(J19:J28)</f>
        <v>0</v>
      </c>
    </row>
    <row r="30" spans="1:12" ht="19.5" customHeight="1" x14ac:dyDescent="0.3">
      <c r="A30" s="705" t="s">
        <v>556</v>
      </c>
      <c r="B30" s="705"/>
      <c r="C30" s="705"/>
      <c r="D30" s="705"/>
      <c r="E30" s="705"/>
      <c r="F30" s="341">
        <f>F16+F29</f>
        <v>5353.79</v>
      </c>
      <c r="G30" s="341">
        <f>G16+G29</f>
        <v>4112.74</v>
      </c>
      <c r="H30" s="341">
        <f>H16+H29</f>
        <v>475.2</v>
      </c>
      <c r="I30" s="341">
        <f>I16+I29</f>
        <v>70.72</v>
      </c>
      <c r="J30" s="342">
        <f>J16+J29</f>
        <v>1071.0999999999999</v>
      </c>
    </row>
    <row r="31" spans="1:12" ht="19.5" customHeight="1" x14ac:dyDescent="0.3">
      <c r="A31" s="690" t="s">
        <v>557</v>
      </c>
      <c r="B31" s="690"/>
      <c r="C31" s="690"/>
      <c r="D31" s="690"/>
      <c r="E31" s="690"/>
      <c r="F31" s="690"/>
      <c r="G31" s="690"/>
      <c r="H31" s="690"/>
      <c r="I31" s="690"/>
      <c r="J31" s="690"/>
    </row>
    <row r="32" spans="1:12" ht="19.5" customHeight="1" x14ac:dyDescent="0.3">
      <c r="A32" s="699" t="s">
        <v>558</v>
      </c>
      <c r="B32" s="699"/>
      <c r="C32" s="699"/>
      <c r="D32" s="353" t="s">
        <v>559</v>
      </c>
      <c r="E32" s="706" t="s">
        <v>489</v>
      </c>
      <c r="F32" s="706"/>
      <c r="G32" s="706"/>
      <c r="H32" s="706"/>
      <c r="I32" s="706"/>
      <c r="J32" s="706"/>
    </row>
    <row r="33" spans="1:12" ht="19.5" customHeight="1" x14ac:dyDescent="0.3">
      <c r="A33" s="354" t="s">
        <v>560</v>
      </c>
      <c r="B33" s="355"/>
      <c r="C33" s="355"/>
      <c r="D33" s="356">
        <f>Dados!$G$42</f>
        <v>0.03</v>
      </c>
      <c r="E33" s="357"/>
      <c r="F33" s="330">
        <f>ROUND((F30*$D$33),2)</f>
        <v>160.61000000000001</v>
      </c>
      <c r="G33" s="330">
        <f>ROUND((G30*$D$33),2)</f>
        <v>123.38</v>
      </c>
      <c r="H33" s="330">
        <f>ROUND((H30*$D$33),2)</f>
        <v>14.26</v>
      </c>
      <c r="I33" s="330">
        <f>ROUND((I30*$D$33),2)</f>
        <v>2.12</v>
      </c>
      <c r="J33" s="331">
        <f>ROUND((J30*$D$33),2)</f>
        <v>32.130000000000003</v>
      </c>
    </row>
    <row r="34" spans="1:12" ht="19.5" customHeight="1" x14ac:dyDescent="0.3">
      <c r="A34" s="707" t="s">
        <v>561</v>
      </c>
      <c r="B34" s="707"/>
      <c r="C34" s="707"/>
      <c r="D34" s="356"/>
      <c r="E34" s="357"/>
      <c r="F34" s="330">
        <f>F30+F33</f>
        <v>5514.4</v>
      </c>
      <c r="G34" s="330">
        <f>G30+G33</f>
        <v>4236.12</v>
      </c>
      <c r="H34" s="330">
        <f>H30+H33</f>
        <v>489.46</v>
      </c>
      <c r="I34" s="330">
        <f>I30+I33</f>
        <v>72.84</v>
      </c>
      <c r="J34" s="331">
        <f>J30+J33</f>
        <v>1103.23</v>
      </c>
    </row>
    <row r="35" spans="1:12" ht="19.5" customHeight="1" x14ac:dyDescent="0.3">
      <c r="A35" s="358" t="s">
        <v>235</v>
      </c>
      <c r="B35" s="359"/>
      <c r="C35" s="359"/>
      <c r="D35" s="360">
        <f>Dados!$G$43</f>
        <v>6.7900000000000002E-2</v>
      </c>
      <c r="E35" s="361"/>
      <c r="F35" s="336">
        <f>ROUND((F34*$D$35),2)</f>
        <v>374.43</v>
      </c>
      <c r="G35" s="336">
        <f>ROUND((G34*$D$35),2)</f>
        <v>287.63</v>
      </c>
      <c r="H35" s="336">
        <f>ROUND((H34*$D$35),2)</f>
        <v>33.229999999999997</v>
      </c>
      <c r="I35" s="336">
        <f>ROUND((I34*$D$35),2)</f>
        <v>4.95</v>
      </c>
      <c r="J35" s="337">
        <f>ROUND((J34*$D$35),2)</f>
        <v>74.91</v>
      </c>
    </row>
    <row r="36" spans="1:12" ht="19.5" customHeight="1" x14ac:dyDescent="0.3">
      <c r="A36" s="362" t="s">
        <v>562</v>
      </c>
      <c r="B36" s="363"/>
      <c r="C36" s="363"/>
      <c r="D36" s="364">
        <f>SUM(D33:D35)</f>
        <v>9.7900000000000001E-2</v>
      </c>
      <c r="E36" s="365"/>
      <c r="F36" s="341">
        <f>F33+F35</f>
        <v>535.04</v>
      </c>
      <c r="G36" s="341">
        <f>G33+G35</f>
        <v>411.01</v>
      </c>
      <c r="H36" s="341">
        <f>H33+H35</f>
        <v>47.489999999999995</v>
      </c>
      <c r="I36" s="341">
        <f>I33+I35</f>
        <v>7.07</v>
      </c>
      <c r="J36" s="342">
        <f>J33+J35</f>
        <v>107.03999999999999</v>
      </c>
    </row>
    <row r="37" spans="1:12" ht="19.5" customHeight="1" x14ac:dyDescent="0.3">
      <c r="A37" s="708" t="s">
        <v>563</v>
      </c>
      <c r="B37" s="708"/>
      <c r="C37" s="708"/>
      <c r="D37" s="708"/>
      <c r="E37" s="708"/>
      <c r="F37" s="366">
        <f>F30+F36</f>
        <v>5888.83</v>
      </c>
      <c r="G37" s="366">
        <f>G30+G36</f>
        <v>4523.75</v>
      </c>
      <c r="H37" s="366">
        <f>H30+H36</f>
        <v>522.68999999999994</v>
      </c>
      <c r="I37" s="366">
        <f>I30+I36</f>
        <v>77.789999999999992</v>
      </c>
      <c r="J37" s="367">
        <f>J30+J36</f>
        <v>1178.1399999999999</v>
      </c>
    </row>
    <row r="38" spans="1:12" ht="19.5" customHeight="1" x14ac:dyDescent="0.3">
      <c r="A38" s="709" t="s">
        <v>564</v>
      </c>
      <c r="B38" s="709"/>
      <c r="C38" s="709"/>
      <c r="D38" s="709"/>
      <c r="E38" s="709"/>
      <c r="F38" s="709"/>
      <c r="G38" s="709"/>
      <c r="H38" s="709"/>
      <c r="I38" s="709"/>
      <c r="J38" s="709"/>
    </row>
    <row r="39" spans="1:12" ht="19.5" customHeight="1" x14ac:dyDescent="0.3">
      <c r="A39" s="702" t="s">
        <v>241</v>
      </c>
      <c r="B39" s="702"/>
      <c r="C39" s="702"/>
      <c r="D39" s="356">
        <f>Dados!G50</f>
        <v>7.5999999999999998E-2</v>
      </c>
      <c r="E39" s="368"/>
      <c r="F39" s="330">
        <f>ROUND(($F$45*D39),2)</f>
        <v>510.03</v>
      </c>
      <c r="G39" s="330">
        <f>ROUND((G45*$D$39),2)</f>
        <v>391.8</v>
      </c>
      <c r="H39" s="330">
        <f>ROUND((H45*$D$39),2)</f>
        <v>45.27</v>
      </c>
      <c r="I39" s="330">
        <f>ROUND((I45*$D$39),2)</f>
        <v>6.74</v>
      </c>
      <c r="J39" s="331">
        <f>ROUND((J45*$D$39),2)</f>
        <v>102.04</v>
      </c>
    </row>
    <row r="40" spans="1:12" ht="19.5" customHeight="1" x14ac:dyDescent="0.3">
      <c r="A40" s="702" t="s">
        <v>243</v>
      </c>
      <c r="B40" s="702"/>
      <c r="C40" s="702"/>
      <c r="D40" s="356">
        <f>Dados!G51</f>
        <v>1.6500000000000001E-2</v>
      </c>
      <c r="E40" s="368"/>
      <c r="F40" s="330">
        <f>ROUND((F45*$D$40),2)</f>
        <v>110.73</v>
      </c>
      <c r="G40" s="330">
        <f>ROUND((G45*$D$40),2)</f>
        <v>85.06</v>
      </c>
      <c r="H40" s="330">
        <f>ROUND((H45*$D$40),2)</f>
        <v>9.83</v>
      </c>
      <c r="I40" s="330">
        <f>ROUND((I45*$D$40),2)</f>
        <v>1.46</v>
      </c>
      <c r="J40" s="331">
        <f>ROUND((J45*$D$40),2)</f>
        <v>22.15</v>
      </c>
    </row>
    <row r="41" spans="1:12" ht="19.5" customHeight="1" x14ac:dyDescent="0.3">
      <c r="A41" s="702" t="s">
        <v>244</v>
      </c>
      <c r="B41" s="702"/>
      <c r="C41" s="702"/>
      <c r="D41" s="356">
        <f>Dados!G52</f>
        <v>0.03</v>
      </c>
      <c r="E41" s="368"/>
      <c r="F41" s="330">
        <f>ROUND((F45*$D$41),2)</f>
        <v>201.33</v>
      </c>
      <c r="G41" s="330">
        <f>ROUND((G45*$D$41),2)</f>
        <v>154.66</v>
      </c>
      <c r="H41" s="330">
        <f>ROUND((H45*$D$41),2)</f>
        <v>17.87</v>
      </c>
      <c r="I41" s="330">
        <f>ROUND((I45*$D$41),2)</f>
        <v>2.66</v>
      </c>
      <c r="J41" s="331">
        <f>ROUND((J45*$D$41),2)</f>
        <v>40.28</v>
      </c>
    </row>
    <row r="42" spans="1:12" ht="19.5" customHeight="1" x14ac:dyDescent="0.3">
      <c r="A42" s="702" t="s">
        <v>230</v>
      </c>
      <c r="B42" s="702"/>
      <c r="C42" s="702"/>
      <c r="D42" s="356">
        <f>Dados!G53</f>
        <v>0</v>
      </c>
      <c r="E42" s="368"/>
      <c r="F42" s="330">
        <f>ROUND((F45*$D$42),2)</f>
        <v>0</v>
      </c>
      <c r="G42" s="330">
        <f>ROUND((G45*$D$42),2)</f>
        <v>0</v>
      </c>
      <c r="H42" s="330">
        <f>ROUND((H45*$D$42),2)</f>
        <v>0</v>
      </c>
      <c r="I42" s="330">
        <f>ROUND((I45*$D$42),2)</f>
        <v>0</v>
      </c>
      <c r="J42" s="331">
        <f>ROUND((J45*$D$42),2)</f>
        <v>0</v>
      </c>
    </row>
    <row r="43" spans="1:12" ht="19.5" customHeight="1" x14ac:dyDescent="0.3">
      <c r="A43" s="711" t="s">
        <v>565</v>
      </c>
      <c r="B43" s="711"/>
      <c r="C43" s="711"/>
      <c r="D43" s="369">
        <f>SUM(D39:D42)</f>
        <v>0.1225</v>
      </c>
      <c r="E43" s="370"/>
      <c r="F43" s="371">
        <f>SUM(F39:F42)</f>
        <v>822.09</v>
      </c>
      <c r="G43" s="371">
        <f>SUM(G39:G42)</f>
        <v>631.52</v>
      </c>
      <c r="H43" s="371">
        <f>SUM(H39:H42)</f>
        <v>72.97</v>
      </c>
      <c r="I43" s="371">
        <f>SUM(I39:I42)</f>
        <v>10.86</v>
      </c>
      <c r="J43" s="372">
        <f>SUM(J39:J41)</f>
        <v>164.47</v>
      </c>
    </row>
    <row r="44" spans="1:12" ht="19.5" customHeight="1" x14ac:dyDescent="0.3">
      <c r="A44" s="712" t="str">
        <f>CONCATENATE("Custo Mensal - ",A7)</f>
        <v>Custo Mensal - Servente de Limpeza 40% Insalubridade</v>
      </c>
      <c r="B44" s="712"/>
      <c r="C44" s="712"/>
      <c r="D44" s="712"/>
      <c r="E44" s="712"/>
      <c r="F44" s="373">
        <f>ROUND(F37/(1-D43),2)</f>
        <v>6710.92</v>
      </c>
      <c r="G44" s="373">
        <f>ROUND(G37/(1-D43),2)</f>
        <v>5155.2700000000004</v>
      </c>
      <c r="H44" s="373">
        <f>ROUND(H37/(1-D43),2)</f>
        <v>595.66</v>
      </c>
      <c r="I44" s="373">
        <f>ROUND(I37/(1-D43),2)</f>
        <v>88.65</v>
      </c>
      <c r="J44" s="374">
        <f>ROUND(J37/(1-D43),2)</f>
        <v>1342.61</v>
      </c>
    </row>
    <row r="45" spans="1:12" ht="19.5" customHeight="1" x14ac:dyDescent="0.3">
      <c r="A45" s="713" t="str">
        <f>CONCATENATE("Valor do Custo Mensal - ",A7)</f>
        <v>Valor do Custo Mensal - Servente de Limpeza 40% Insalubridade</v>
      </c>
      <c r="B45" s="713"/>
      <c r="C45" s="713"/>
      <c r="D45" s="713"/>
      <c r="E45" s="713"/>
      <c r="F45" s="373">
        <f>F44</f>
        <v>6710.92</v>
      </c>
      <c r="G45" s="373">
        <f>G44</f>
        <v>5155.2700000000004</v>
      </c>
      <c r="H45" s="373">
        <f>H44</f>
        <v>595.66</v>
      </c>
      <c r="I45" s="373">
        <f>I44</f>
        <v>88.65</v>
      </c>
      <c r="J45" s="374">
        <f>J44</f>
        <v>1342.61</v>
      </c>
      <c r="K45" s="375"/>
      <c r="L45" s="375"/>
    </row>
    <row r="46" spans="1:12" ht="27.75" customHeight="1" x14ac:dyDescent="0.3">
      <c r="A46" s="714" t="s">
        <v>566</v>
      </c>
      <c r="B46" s="714"/>
      <c r="C46" s="714"/>
      <c r="D46" s="714"/>
      <c r="E46" s="714"/>
      <c r="F46" s="376">
        <f>(F45/F14)</f>
        <v>3.3635324779470728</v>
      </c>
      <c r="G46" s="376">
        <f>(G45/G14)</f>
        <v>2.5838362068965517</v>
      </c>
      <c r="H46" s="710" t="s">
        <v>567</v>
      </c>
      <c r="I46" s="710"/>
      <c r="J46" s="377">
        <f>ROUND((J45/30),2)</f>
        <v>44.75</v>
      </c>
    </row>
    <row r="47" spans="1:12" ht="19.5" customHeight="1" x14ac:dyDescent="0.3"/>
  </sheetData>
  <sheetProtection algorithmName="SHA-512" hashValue="Qq/l9v0SbD0QfOk79APJwZ8oFsHOZrF2nDYDZ7O/RyGQCnKIisbAZhRC0kGYDWcTj+vWXd/W//rU1B1YKOyyLQ==" saltValue="pvbopbqASm3eMNPXTuV67w=="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596" right="0.51180555555555596" top="0.78749999999999998" bottom="0.78749999999999998" header="0.511811023622047" footer="0.511811023622047"/>
  <pageSetup paperSize="9" scale="67"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8</vt:i4>
      </vt:variant>
    </vt:vector>
  </HeadingPairs>
  <TitlesOfParts>
    <vt:vector size="21" baseType="lpstr">
      <vt:lpstr>Ocorrências Mensais - FAT</vt:lpstr>
      <vt:lpstr>INSTRUÇÕES</vt:lpstr>
      <vt:lpstr>Dados</vt:lpstr>
      <vt:lpstr>Encargos</vt:lpstr>
      <vt:lpstr>Materiais</vt:lpstr>
      <vt:lpstr>Equipamentos</vt:lpstr>
      <vt:lpstr>Uniformes</vt:lpstr>
      <vt:lpstr>Resumo</vt:lpstr>
      <vt:lpstr>Servente Insalubre</vt:lpstr>
      <vt:lpstr>Servente acúmulo função Copeira</vt:lpstr>
      <vt:lpstr>Auxiliar Administrativo</vt:lpstr>
      <vt:lpstr>Custo Substituto</vt:lpstr>
      <vt:lpstr>IPCA</vt:lpstr>
      <vt:lpstr>'Auxiliar Administrativo'!Area_de_impressao</vt:lpstr>
      <vt:lpstr>Dados!Area_de_impressao</vt:lpstr>
      <vt:lpstr>Encargos!Area_de_impressao</vt:lpstr>
      <vt:lpstr>Materiais!Area_de_impressao</vt:lpstr>
      <vt:lpstr>Resumo!Area_de_impressao</vt:lpstr>
      <vt:lpstr>'Servente acúmulo função Copeira'!Area_de_impressao</vt:lpstr>
      <vt:lpstr>'Servente Insalubre'!Area_de_impressao</vt:lpstr>
      <vt:lpstr>Uniformes!Area_de_impressao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cp:keywords/>
  <dc:description/>
  <cp:lastModifiedBy>Rodrigo Soares Camargos</cp:lastModifiedBy>
  <cp:revision>18</cp:revision>
  <dcterms:created xsi:type="dcterms:W3CDTF">2015-06-05T18:17:20Z</dcterms:created>
  <dcterms:modified xsi:type="dcterms:W3CDTF">2025-01-31T17:38:56Z</dcterms:modified>
  <cp:category/>
  <cp:contentStatus/>
</cp:coreProperties>
</file>