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9.xml.rels" ContentType="application/vnd.openxmlformats-package.relationships+xml"/>
  <Override PartName="/xl/worksheets/_rels/sheet10.xml.rels" ContentType="application/vnd.openxmlformats-package.relationships+xml"/>
  <Override PartName="/xl/worksheets/_rels/sheet11.xml.rels" ContentType="application/vnd.openxmlformats-package.relationships+xml"/>
  <Override PartName="/xl/worksheets/_rels/sheet12.xml.rels" ContentType="application/vnd.openxmlformats-package.relationships+xml"/>
  <Override PartName="/xl/worksheets/_rels/sheet13.xml.rels" ContentType="application/vnd.openxmlformats-package.relationships+xml"/>
  <Override PartName="/xl/worksheets/_rels/sheet14.xml.rels" ContentType="application/vnd.openxmlformats-package.relationships+xml"/>
  <Override PartName="/xl/worksheets/_rels/sheet15.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drawings/_rels/drawing6.xml.rels" ContentType="application/vnd.openxmlformats-package.relationships+xml"/>
  <Override PartName="/xl/drawings/_rels/drawing7.xml.rels" ContentType="application/vnd.openxmlformats-package.relationships+xml"/>
  <Override PartName="/xl/drawings/_rels/drawing8.xml.rels" ContentType="application/vnd.openxmlformats-package.relationships+xml"/>
  <Override PartName="/xl/drawings/_rels/drawing9.xml.rels" ContentType="application/vnd.openxmlformats-package.relationships+xml"/>
  <Override PartName="/xl/drawings/_rels/drawing10.xml.rels" ContentType="application/vnd.openxmlformats-package.relationships+xml"/>
  <Override PartName="/xl/drawings/_rels/drawing11.xml.rels" ContentType="application/vnd.openxmlformats-package.relationships+xml"/>
  <Override PartName="/xl/drawings/_rels/drawing12.xml.rels" ContentType="application/vnd.openxmlformats-package.relationships+xml"/>
  <Override PartName="/xl/drawings/_rels/drawing13.xml.rels" ContentType="application/vnd.openxmlformats-package.relationships+xml"/>
  <Override PartName="/xl/drawings/_rels/drawing14.xml.rels" ContentType="application/vnd.openxmlformats-package.relationships+xml"/>
  <Override PartName="/xl/drawings/_rels/drawing15.xml.rels" ContentType="application/vnd.openxmlformats-package.relationships+xml"/>
  <Override PartName="/xl/drawings/drawing15.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1" activeTab="12"/>
  </bookViews>
  <sheets>
    <sheet name="Ocorrências Mensais - FAT" sheetId="1" state="hidden" r:id="rId3"/>
    <sheet name="INSTRUÇÕES" sheetId="2" state="visible" r:id="rId4"/>
    <sheet name="Dados" sheetId="3" state="visible" r:id="rId5"/>
    <sheet name="Encargos" sheetId="4" state="visible" r:id="rId6"/>
    <sheet name="Materiais" sheetId="5" state="visible" r:id="rId7"/>
    <sheet name="EPI" sheetId="6" state="visible" r:id="rId8"/>
    <sheet name="Equipamentos" sheetId="7" state="visible" r:id="rId9"/>
    <sheet name="Unif" sheetId="8" state="visible" r:id="rId10"/>
    <sheet name="Serv Ins" sheetId="9" state="visible" r:id="rId11"/>
    <sheet name="Serv Copeira" sheetId="10" state="visible" r:id="rId12"/>
    <sheet name="Aux Adm 150" sheetId="11" state="visible" r:id="rId13"/>
    <sheet name="Aux Adm 200" sheetId="12" state="visible" r:id="rId14"/>
    <sheet name="Resumo" sheetId="13" state="visible" r:id="rId15"/>
    <sheet name="Custo Estimado Substituto" sheetId="14" state="visible" r:id="rId16"/>
    <sheet name="IPCA" sheetId="15" state="hidden" r:id="rId17"/>
  </sheets>
  <definedNames>
    <definedName function="false" hidden="false" localSheetId="10" name="_xlnm.Print_Area" vbProcedure="false">'Aux Adm 150'!$A$1:$J$46</definedName>
    <definedName function="false" hidden="false" localSheetId="11" name="_xlnm.Print_Area" vbProcedure="false">'Aux Adm 200'!$A$1:$J$46</definedName>
    <definedName function="false" hidden="false" localSheetId="2" name="_xlnm.Print_Area" vbProcedure="false">Dados!$A$1:$S$55</definedName>
    <definedName function="false" hidden="false" localSheetId="3" name="_xlnm.Print_Area" vbProcedure="false">Encargos!$A$1:$H$59</definedName>
    <definedName function="false" hidden="false" localSheetId="4" name="_xlnm.Print_Area" vbProcedure="false">Materiais!$A$1:$L$58</definedName>
    <definedName function="false" hidden="false" localSheetId="9" name="_xlnm.Print_Area" vbProcedure="false">'Serv Copeira'!$A$1:$J$46</definedName>
    <definedName function="false" hidden="false" localSheetId="8" name="_xlnm.Print_Area" vbProcedure="false">'Serv Ins'!$A$1:$J$46</definedName>
    <definedName function="false" hidden="false" localSheetId="7" name="_xlnm.Print_Area" vbProcedure="false">Unif!$A$1:$H$27</definedName>
    <definedName function="false" hidden="false" name="BS" vbProcedure="false">NA()</definedName>
    <definedName function="false" hidden="false" name="BT" vbProcedure="false">NA()</definedName>
    <definedName function="false" hidden="false" name="CIDADE" vbProcedure="false">NA()</definedName>
    <definedName function="false" hidden="false" name="CIDADES" vbProcedure="false">NA()</definedName>
    <definedName function="false" hidden="false" name="CPMF" vbProcedure="false">NA()</definedName>
    <definedName function="false" hidden="false" name="d" vbProcedure="false">NA()</definedName>
    <definedName function="false" hidden="false" name="ENCARGOS" vbProcedure="false">NA()</definedName>
    <definedName function="false" hidden="false" name="Excel_BuiltIn_Print_Area_1_1" vbProcedure="false">"$#REF!.$A$2:$C$99"</definedName>
    <definedName function="false" hidden="false" name="Excel_BuiltIn_Print_Area_6_1" vbProcedure="false">NA()</definedName>
    <definedName function="false" hidden="false" name="Excel_BuiltIn_Print_Area_7_1" vbProcedure="false">NA()</definedName>
    <definedName function="false" hidden="false" name="Excel_BuiltIn_Print_Area_8_1" vbProcedure="false">NA()</definedName>
    <definedName function="false" hidden="false" name="Excel_BuiltIn_Print_Area_9_1" vbProcedure="false">NA()</definedName>
    <definedName function="false" hidden="false" name="ISS" vbProcedure="false">NA()</definedName>
    <definedName function="false" hidden="false" name="Jornada" vbProcedure="false">NA()</definedName>
    <definedName function="false" hidden="false" name="TERRIT" vbProcedure="false">NA()</definedName>
    <definedName function="false" hidden="false" name="Tipo_de_Joranda_de_Trabalho" vbProcedure="false">NA()</definedName>
    <definedName function="false" hidden="false" name="TP_SERV" vbProcedure="false">NA()</definedName>
    <definedName function="false" hidden="false" name="TP_SERVPERC" vbProcedure="false">NA()</definedName>
    <definedName function="false" hidden="false" name="VRSELEC" vbProcedure="false">NA()</definedName>
    <definedName function="false" hidden="false" localSheetId="2" name="Print_Area_0" vbProcedure="false">Dados!$A$1:$S$55</definedName>
    <definedName function="false" hidden="false" localSheetId="3" name="Print_Area_0" vbProcedure="false">Encargos!$A$1:$H$59</definedName>
    <definedName function="false" hidden="false" localSheetId="4" name="Print_Area_0" vbProcedure="false">Materiais!$A$1:$L$58</definedName>
    <definedName function="false" hidden="false" localSheetId="7" name="Print_Area_0" vbProcedure="false">Unif!$A$1:$H$27</definedName>
    <definedName function="false" hidden="false" localSheetId="8" name="Print_Area_0" vbProcedure="false">'Serv Ins'!$A$1:$J$46</definedName>
    <definedName function="false" hidden="false" localSheetId="9" name="Print_Area_0" vbProcedure="false">'Serv Copeira'!$A$1:$J$46</definedName>
    <definedName function="false" hidden="false" localSheetId="10" name="Print_Area_0" vbProcedure="false">'Aux Adm 150'!$A$1:$J$46</definedName>
    <definedName function="false" hidden="false" localSheetId="11" name="Print_Area_0" vbProcedure="false">'Aux Adm 200'!$A$1:$J$46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<sst xmlns="http://schemas.openxmlformats.org/spreadsheetml/2006/main" count="1181" uniqueCount="663">
  <si>
    <t xml:space="preserve">OCORRÊNCIAS MENSAIS DO FATURAMENTO </t>
  </si>
  <si>
    <t xml:space="preserve">UTILIZAÇÃO DO GESTOR CONTRATUAL PARA REALIZAÇÃO DO FATURAMENTO MENSAL</t>
  </si>
  <si>
    <t xml:space="preserve">DEFINIR VERSÃO DE APRESENTAÇÃO:</t>
  </si>
  <si>
    <t xml:space="preserve">PLANILHA PARA LICITAÇÃO (PRECIFICAÇÃO)</t>
  </si>
  <si>
    <t xml:space="preserve">DEFINIR BASE DE DESCONTOS/GLOSAS:</t>
  </si>
  <si>
    <t xml:space="preserve">MÊS CONTÁBIL</t>
  </si>
  <si>
    <r>
      <rPr>
        <b val="true"/>
        <sz val="10"/>
        <rFont val="Calibri"/>
        <family val="2"/>
        <charset val="1"/>
      </rPr>
      <t xml:space="preserve">INSTRUÇÕES DE PREENCHIMENTO
UTILIZAÇÃO EXCLUSIVA FISCAL/GESTOR
PARA AUXILIAR NO VALOR DE FATURAMENTO
Preencher as células destacadas na cor </t>
    </r>
    <r>
      <rPr>
        <b val="true"/>
        <sz val="10"/>
        <color rgb="FFFF0000"/>
        <rFont val="Calibri"/>
        <family val="2"/>
        <charset val="1"/>
      </rPr>
      <t xml:space="preserve">vermelha</t>
    </r>
    <r>
      <rPr>
        <b val="true"/>
        <sz val="10"/>
        <rFont val="Calibri"/>
        <family val="2"/>
        <charset val="1"/>
      </rPr>
      <t xml:space="preserve"> para realização dos cálculos das demais abas.
Não é necessário preenchimento de outras abas.</t>
    </r>
  </si>
  <si>
    <t xml:space="preserve">Informar número de Postos que não utilizam V.T.
(Coluna "D")</t>
  </si>
  <si>
    <t xml:space="preserve">Informar se titular do posto é optante pelo recebimento de V.T.
(Coluna "E")</t>
  </si>
  <si>
    <t xml:space="preserve">Desconto automático de V.T.
(Coluna "F")</t>
  </si>
  <si>
    <t xml:space="preserve">Preencher o número de dias (corridos) que o terceirizado que não recebe vt ficou afastado por férias ou faltas
(Coluna "G")</t>
  </si>
  <si>
    <t xml:space="preserve">Preencher nº de dias úteis em que o optante de V.T realizou trabalho em Home Office OU dias de Recesso Forense / Ponto facultativo
(Coluna "H")</t>
  </si>
  <si>
    <t xml:space="preserve">Conversão das horas de ausência em dias de ausência
(Coluna "I")</t>
  </si>
  <si>
    <t xml:space="preserve">Conversão das horas de ausência em dias de ausência
(Coluna "J")</t>
  </si>
  <si>
    <t xml:space="preserve">Nº dias de faltas comuns sem substituição.
(Coluna "K")</t>
  </si>
  <si>
    <t xml:space="preserve">Informar número de dias por férias no mês (dias)
(Coluna "L")</t>
  </si>
  <si>
    <t xml:space="preserve">Desconto de V.A. por dias de recesso forense e/ou ponto facultativo.
(Coluna "M")</t>
  </si>
  <si>
    <t xml:space="preserve">Nº de dias corridos de férias sem substituição quando o adicional de insalubridade é passado para outra servente do quadro.
(Coluna "N")</t>
  </si>
  <si>
    <t xml:space="preserve">Somatório de glosas.
(Coluna "O")</t>
  </si>
  <si>
    <t xml:space="preserve">Somatório de acrésimo por substituição do posto insalubre por outro profissional do quadro.
(Coluna "P")</t>
  </si>
  <si>
    <t xml:space="preserve">Informativo sobre valor faturado por tipo de função.
(Coluna "Q")</t>
  </si>
  <si>
    <t xml:space="preserve">Valores correspondentes ao fornecimento de materiais e epis.
(incluindo impostos)
(Coluna "R")</t>
  </si>
  <si>
    <t xml:space="preserve">Informar código de elemento de despesa
(Coluna "S")</t>
  </si>
  <si>
    <t xml:space="preserve">INFORMATIVO PARA GESTÃO CONTRATUAL</t>
  </si>
  <si>
    <t xml:space="preserve">Quant</t>
  </si>
  <si>
    <t xml:space="preserve">Descrição das Categorias</t>
  </si>
  <si>
    <t xml:space="preserve">Carga Horária (horas)</t>
  </si>
  <si>
    <t xml:space="preserve">Nº Postos não optantes pelo recebimento de V.T.</t>
  </si>
  <si>
    <t xml:space="preserve">Realizar glosa por não fornecimento de V.T.?</t>
  </si>
  <si>
    <t xml:space="preserve">Dias de
Glosa V.T.
Para Não Optantes</t>
  </si>
  <si>
    <t xml:space="preserve">Ajuste de V.T para fornecimento para
postos Não Optantes</t>
  </si>
  <si>
    <t xml:space="preserve">Dias de Home Office OU Recesso para os postos Optantes de V.T.</t>
  </si>
  <si>
    <t xml:space="preserve">Dias de faltas após conversão das horas
(planilha auxiliar)</t>
  </si>
  <si>
    <t xml:space="preserve">Quant. Atrasos e Faltas</t>
  </si>
  <si>
    <t xml:space="preserve">Dias de Férias</t>
  </si>
  <si>
    <t xml:space="preserve">Dias de Glosas de V.A no Mês</t>
  </si>
  <si>
    <t xml:space="preserve">*1 Dias de Deslocamento de Insalubridade</t>
  </si>
  <si>
    <t xml:space="preserve">VALOR TOTAL GLOSADO</t>
  </si>
  <si>
    <t xml:space="preserve">VALOR TOTAL ACRESCIDO</t>
  </si>
  <si>
    <t xml:space="preserve">Valor Mensal 
Faturado com aplicação de descontos</t>
  </si>
  <si>
    <t xml:space="preserve">VALOR TOTAL INSUMOS FORNECIDOS NO MÊS.</t>
  </si>
  <si>
    <t xml:space="preserve">Elemento de Despesa </t>
  </si>
  <si>
    <t xml:space="preserve">VALOR DE RETENÇÃO CONTA VINCULADA</t>
  </si>
  <si>
    <t xml:space="preserve">CÓDIGOS ELEMENTO DE DESPESA</t>
  </si>
  <si>
    <t xml:space="preserve">FATURAMENTO MENSAL</t>
  </si>
  <si>
    <t xml:space="preserve">RETENÇÃO 
GLOSA CONTA VINCULADA
(VERIFICAR NECESSIDADE)</t>
  </si>
  <si>
    <t xml:space="preserve">SIM</t>
  </si>
  <si>
    <t xml:space="preserve">ELEMENTO 2</t>
  </si>
  <si>
    <t xml:space="preserve">ELEMENTO 1</t>
  </si>
  <si>
    <t xml:space="preserve">VALOR TOTAL GLOSADOS</t>
  </si>
  <si>
    <t xml:space="preserve">OBSERVAÇÕES:</t>
  </si>
  <si>
    <t xml:space="preserve">1. Para apoio ao lançamento de ausências de horas, sugere-se a utilização da planilha complementar abaixo. O preenchimento das horas convertidas deve ocorrer na Coluna "I".</t>
  </si>
  <si>
    <t xml:space="preserve">Planilha auxiliar para conversão de horas de ausências em dias de faltas. (preenchimento coluna "I")</t>
  </si>
  <si>
    <t xml:space="preserve">Jornada</t>
  </si>
  <si>
    <t xml:space="preserve">Total de Horas</t>
  </si>
  <si>
    <t xml:space="preserve">Total de Minutos</t>
  </si>
  <si>
    <t xml:space="preserve">Conversão em Dias</t>
  </si>
  <si>
    <t xml:space="preserve">Obs: Informar a jornada de trabalho do posto analisado. Em sequência, informar as horas completas faltantes e posteriormente os minutos. Ex: 10:25h faltantes - Lançar 10 na célula "D22" e lançar 25 na célula "E22".
Lançar o resultado convertido na coluna "H".</t>
  </si>
  <si>
    <t xml:space="preserve">2. Na célula “N15” deverá ser informado a quantidade de dias em que o trabalho insalubre foi realizado por outra servente do quadro, durante as férias da Servente de Limpeza 40% insalubre - titular.</t>
  </si>
  <si>
    <t xml:space="preserve">ITEM</t>
  </si>
  <si>
    <t xml:space="preserve">DESCRIÇÃO DO MATERIAL DE IMPEZA
SERVENTES DE LIMPEZA</t>
  </si>
  <si>
    <t xml:space="preserve">GASTO MENSAL</t>
  </si>
  <si>
    <r>
      <rPr>
        <b val="true"/>
        <u val="single"/>
        <sz val="10"/>
        <rFont val="Calibri"/>
        <family val="2"/>
        <charset val="1"/>
      </rPr>
      <t xml:space="preserve">ANÁLISE CRÍTICA </t>
    </r>
    <r>
      <rPr>
        <b val="true"/>
        <sz val="10"/>
        <rFont val="Calibri"/>
        <family val="2"/>
        <charset val="1"/>
      </rPr>
      <t xml:space="preserve">SOBRE O FORNECIMENTO DOS MATERIAIS
ESTIMATIVA MENSAL x FORNECIMENTO EFETIVO
(INFORMAÇÃO COMO PARÂMETRO DE INDICATIVO)</t>
    </r>
  </si>
  <si>
    <t xml:space="preserve">REFERÊNCIA MENSAL PARA FORNECIMENTO</t>
  </si>
  <si>
    <t xml:space="preserve">Material</t>
  </si>
  <si>
    <t xml:space="preserve">Unid.</t>
  </si>
  <si>
    <t xml:space="preserve">Marcas de Referência</t>
  </si>
  <si>
    <t xml:space="preserve">QNTDE "REAL" FORNECIDA
NO MÊS</t>
  </si>
  <si>
    <t xml:space="preserve">Custo Mensal</t>
  </si>
  <si>
    <t xml:space="preserve">Quantidade Mensal</t>
  </si>
  <si>
    <t xml:space="preserve">Quantidade Total</t>
  </si>
  <si>
    <t xml:space="preserve">Periodicidade</t>
  </si>
  <si>
    <t xml:space="preserve">Divisor</t>
  </si>
  <si>
    <t xml:space="preserve">DESPESA MENSAL</t>
  </si>
  <si>
    <t xml:space="preserve">TAXA ADMINISTRATIVA</t>
  </si>
  <si>
    <t xml:space="preserve">LUCRO</t>
  </si>
  <si>
    <t xml:space="preserve">TRIBUTOS</t>
  </si>
  <si>
    <t xml:space="preserve">VALOR TOTAL COM MATERIAIS DE LIMPEZA</t>
  </si>
  <si>
    <t xml:space="preserve">MATERIAIS DE LIMPEZA COPA
COPEIRA</t>
  </si>
  <si>
    <t xml:space="preserve">VALOR TOTAL COM MATERIAIS DE COPA</t>
  </si>
  <si>
    <t xml:space="preserve">LISTA PARA OPÇÕES DE GLOSAS</t>
  </si>
  <si>
    <t xml:space="preserve">DIAS ÚTEIS (CONTRATO)</t>
  </si>
  <si>
    <t xml:space="preserve">Obs: Desconto por dias definidos em contrato.</t>
  </si>
  <si>
    <t xml:space="preserve">Obs: Desconto atualmente aplicado (30 dias corridos).</t>
  </si>
  <si>
    <t xml:space="preserve">DIAS DO MÊS VIGENTE</t>
  </si>
  <si>
    <t xml:space="preserve">Informar</t>
  </si>
  <si>
    <t xml:space="preserve">Obs: Desconto por dias úteis mensais, ocorrência variável, devendo ser informado mensalmente.</t>
  </si>
  <si>
    <t xml:space="preserve">JORNADA DE TRABALHO</t>
  </si>
  <si>
    <t xml:space="preserve">DIVISOR DE HORAS</t>
  </si>
  <si>
    <t xml:space="preserve">LISTA PARA TOTAL DE POSTOS</t>
  </si>
  <si>
    <t xml:space="preserve">Tribunal Regional Federal da 6ª Região</t>
  </si>
  <si>
    <t xml:space="preserve">Seção Judiciária de Minas Gerais</t>
  </si>
  <si>
    <t xml:space="preserve">Subseção Judiciária de Passos</t>
  </si>
  <si>
    <t xml:space="preserve">INSTRUÇÕES DE PREENCHIMENTO - ANEXO X - PLANILHAS DE COMPOSIÇÃO DE CUSTOS</t>
  </si>
  <si>
    <t xml:space="preserve">1.</t>
  </si>
  <si>
    <t xml:space="preserve">SOMENTE SERÃO ACEITAS MODIFICAÇÕES NAS CÉLULAS DESTACADAS NA COR AMARELA COMO NO EXEMPLO ABAIXO:</t>
  </si>
  <si>
    <t xml:space="preserve">Células de livre edição.</t>
  </si>
  <si>
    <t xml:space="preserve">2.</t>
  </si>
  <si>
    <r>
      <rPr>
        <sz val="10"/>
        <rFont val="Calibri"/>
        <family val="2"/>
        <charset val="1"/>
      </rPr>
      <t xml:space="preserve">As demais células estarão </t>
    </r>
    <r>
      <rPr>
        <b val="true"/>
        <sz val="10"/>
        <rFont val="Calibri"/>
        <family val="2"/>
        <charset val="1"/>
      </rPr>
      <t xml:space="preserve">bloqueadas</t>
    </r>
    <r>
      <rPr>
        <sz val="10"/>
        <rFont val="Calibri"/>
        <family val="2"/>
        <charset val="1"/>
      </rPr>
      <t xml:space="preserve"> para edição das licitantes.</t>
    </r>
  </si>
  <si>
    <t xml:space="preserve">3.</t>
  </si>
  <si>
    <t xml:space="preserve">As Abas necessárias para o preenchimento estão organizadas em uma sequência lógica, sendo Dados; Encargos; Materiais (limpeza, copa e limpeza de veículos); EPI; Equipamentos; Uniforme.</t>
  </si>
  <si>
    <t xml:space="preserve">Os nomes das abas estarão abreviados para otimização da planilha.</t>
  </si>
  <si>
    <r>
      <rPr>
        <b val="true"/>
        <sz val="10"/>
        <rFont val="Calibri"/>
        <family val="2"/>
        <charset val="1"/>
      </rPr>
      <t xml:space="preserve">Sugere-se o preenchimento das seguintes abas em sequência: </t>
    </r>
    <r>
      <rPr>
        <sz val="10"/>
        <rFont val="Calibri"/>
        <family val="2"/>
        <charset val="1"/>
      </rPr>
      <t xml:space="preserve">Dados, Encargos, Materiais, EPI, Equipamentos e Uniforme, para a realização de cálculos completa da planilha de composição de custos.</t>
    </r>
  </si>
  <si>
    <t xml:space="preserve">3.1</t>
  </si>
  <si>
    <t xml:space="preserve">Estas Abas estarão destacadas na Cor Amarela.</t>
  </si>
  <si>
    <t xml:space="preserve">3.2</t>
  </si>
  <si>
    <t xml:space="preserve">PREENCHIMENTO ABA "DADOS"</t>
  </si>
  <si>
    <t xml:space="preserve"> - Informar piso salarial de cada categoria, correspondente à jornada de 220h. (Células "E7":"E10").</t>
  </si>
  <si>
    <t xml:space="preserve"> - Informar o percentual de acúmulo de função a ser aplicado. (Célula "I8").</t>
  </si>
  <si>
    <t xml:space="preserve"> - Informar o salário base para cálculo da atividade acumulada. (Célula "K8").</t>
  </si>
  <si>
    <t xml:space="preserve"> - Informar os Dados da Apresentação da Proposta e relacionados à Convenção Coletiva de Trabalho. Tais informações não interferem na execução de cálculos, servem apenas para instruir o processo da análise da proposta. (Células "E13:E17").</t>
  </si>
  <si>
    <t xml:space="preserve"> - Informar o percentual correspondente ao RAT, conforme atividade principal da licitante. (Célula "G23").</t>
  </si>
  <si>
    <t xml:space="preserve"> - Informar o fator correspondente ao FAP, conforme extraído do relatório FapWeb. (Célula "G24").</t>
  </si>
  <si>
    <t xml:space="preserve"> - Informar o valor do salário mínimo nacional vigente (base de cálculo para a cotação de insalubridade). (Célula "G27").</t>
  </si>
  <si>
    <t xml:space="preserve"> - Informar o valor unitário do Seguro de Vida, nos casos exigidos, conforme legislação vigente. (Célula "G30").</t>
  </si>
  <si>
    <t xml:space="preserve"> - Informar o valor unitário do Programa de Assistência Familiar - PAF, nos casos exigidos, conforme legislação vigente. (Célula "G31").</t>
  </si>
  <si>
    <t xml:space="preserve"> - Informar o valor unitário da tarifa de transporte público vigente à data de apresentação da proposta, conforme legislação vigente. (Célula "G32").</t>
  </si>
  <si>
    <t xml:space="preserve"> - Informar o quantitativo unitário diário de tarifas de transporte público (ex.: 1 tarifa para ida e 1 tarifa para volta = Total de 2 tarifas). (Célula "G33").</t>
  </si>
  <si>
    <t xml:space="preserve"> - Informar o percentual de desconto à título de participação do trabalhador em relação ao fornecimento de vale transporte, nos casos exigidos, conforme legislação vigente. (Célula "G35").</t>
  </si>
  <si>
    <t xml:space="preserve"> - Informar o valor unitário do ticket de Vale Alimentação, nos casos exigidos, conforme legislação vigente. (Célula "G36").</t>
  </si>
  <si>
    <t xml:space="preserve"> - Informar o percentual de desconto à título de participação do trabalhador em relação ao fornecimento de Vale Alimentação, nos casos exigidos, conforme legislação vigente. (Célula "G38").</t>
  </si>
  <si>
    <t xml:space="preserve"> - Incluir outros custos não previstos previamente, bem como descrevê-los, em caso de previsão legal, devendo ser apresentadas justificativas para a inserção. (Células "B39" e "G39").</t>
  </si>
  <si>
    <t xml:space="preserve"> - Incluir outros custos não previstos previamente, bem como descrevê-los, em caso de previsão legal, devendo ser apresentadas justificativas para a inserção. (Células "B40" e "G40").</t>
  </si>
  <si>
    <t xml:space="preserve"> - Informar o percentual relativo às Despesas Administrativas da licitante. (Células "G43").</t>
  </si>
  <si>
    <t xml:space="preserve"> - Informar o percentual relativo ao Lucro da licitante. (Células "G44").</t>
  </si>
  <si>
    <t xml:space="preserve"> - Informar a opção tributária da licitante (Células "F50") conforme legislação vigente, OBSERVANDO as instruções contantes na Célula "B48".</t>
  </si>
  <si>
    <t xml:space="preserve"> - Informar o percentual da alíquota COFINS (Células "G51") conforme legislação vigente, OBSERVANDO as instruções contantes na Célula "B48".</t>
  </si>
  <si>
    <t xml:space="preserve"> - Informar o percentual da alíquota PIS/PASEP (Células "G52") conforme legislação vigente, OBSERVANDO as instruções contantes na Célula "B48".</t>
  </si>
  <si>
    <t xml:space="preserve"> - Informar o percentual da alíquota ISSQN (Células "G53") conforme legislação vigente, OBSERVANDO as instruções contantes na Célula "B48".</t>
  </si>
  <si>
    <t xml:space="preserve"> - Incluir outros impostos não inseridos previamente, bem como descrevê-los, em caso de previsão legal, devendo ser apresentadas justificativas para a inserção. (Células "B54" e "G54").</t>
  </si>
  <si>
    <t xml:space="preserve"> - Alterar SOMENTE aqueles destacados na COR AMARELA.</t>
  </si>
  <si>
    <t xml:space="preserve">3.3</t>
  </si>
  <si>
    <t xml:space="preserve">PREENCHIMENTO ABA "ENCARGOS"</t>
  </si>
  <si>
    <t xml:space="preserve"> - Informar os percentuais de encargos nas células destacadas em amarelo dispostas na "Coluna C", de acordo com sua descrição "Coluna B".</t>
  </si>
  <si>
    <t xml:space="preserve"> - Atentar-se às observações continuadas ao final do quadro de encargos (Célula "B59"), com as demais instruções cabíveis aos percentuais dispostos nesta Aba.</t>
  </si>
  <si>
    <t xml:space="preserve">3.4</t>
  </si>
  <si>
    <t xml:space="preserve">PREENCHIMENTO ABA "MATERIAIS"</t>
  </si>
  <si>
    <t xml:space="preserve"> - Informar os valores unitários de cada item nas células destacadas em amarelo dispostas na "Coluna G", de acordo com sua descrição "Colunas B:E".</t>
  </si>
  <si>
    <t xml:space="preserve"> - Atentar-se para o preenchimento de todos os quadros dispostos nesta Aba, sendo:</t>
  </si>
  <si>
    <t xml:space="preserve"> - Materiais de Limpeza (Células "G9:G43)</t>
  </si>
  <si>
    <t xml:space="preserve"> - Materiais de Copa (Células "G50:G56)</t>
  </si>
  <si>
    <t xml:space="preserve"> - O preenchimento das células da Coluna "H" está permitida somente para inserção de Observações, caso necessário.</t>
  </si>
  <si>
    <t xml:space="preserve">3.5</t>
  </si>
  <si>
    <t xml:space="preserve">PREENCHIMENTO ABA "EPI"</t>
  </si>
  <si>
    <t xml:space="preserve"> - Informar os valores unitários de cada item nas células destacadas em amarelo dispostas na "Coluna D", de acordo com sua descrição "Colunas B:C".</t>
  </si>
  <si>
    <t xml:space="preserve">3.6</t>
  </si>
  <si>
    <t xml:space="preserve">PREENCHIMENTO ABA "EQUIPAMENTOS"</t>
  </si>
  <si>
    <t xml:space="preserve">3.7</t>
  </si>
  <si>
    <t xml:space="preserve">PREENCHIMENTO ABA "UNIFORMES"</t>
  </si>
  <si>
    <t xml:space="preserve"> - Informar os valores unitários de cada peça de uniforme nas células destacadas em amarelo dispostas na "Coluna G", de acordo com sua descrição "Colunas B:F".</t>
  </si>
  <si>
    <t xml:space="preserve"> - Atentar-se às descrições complementares dispostas nas "Especificações" que visam melhor entendimento dos itens de uniforme solicitados.</t>
  </si>
  <si>
    <t xml:space="preserve">4.</t>
  </si>
  <si>
    <r>
      <rPr>
        <sz val="10"/>
        <rFont val="Calibri"/>
        <family val="2"/>
        <charset val="1"/>
      </rPr>
      <t xml:space="preserve">Destaca-se que após o preenchimento destas Abas (de acordo com as instruções contidas no item 3), os preços individuais das </t>
    </r>
    <r>
      <rPr>
        <b val="true"/>
        <sz val="10"/>
        <rFont val="Calibri"/>
        <family val="2"/>
        <charset val="1"/>
      </rPr>
      <t xml:space="preserve">categorias</t>
    </r>
    <r>
      <rPr>
        <sz val="10"/>
        <rFont val="Calibri"/>
        <family val="2"/>
        <charset val="1"/>
      </rPr>
      <t xml:space="preserve"> profissionais serão refletidos automaticamente para as suas abas correspondentes (Serv Ins, Serv, Copeira, Zel ac. e Aux).</t>
    </r>
  </si>
  <si>
    <t xml:space="preserve">4.1</t>
  </si>
  <si>
    <r>
      <rPr>
        <b val="true"/>
        <sz val="10"/>
        <rFont val="Calibri"/>
        <family val="2"/>
        <charset val="1"/>
      </rPr>
      <t xml:space="preserve">Não será necessário realizar nenhuma alteração nas abas contendo o detalhamento de custos de cada categoria profissional.</t>
    </r>
    <r>
      <rPr>
        <sz val="10"/>
        <rFont val="Calibri"/>
        <family val="2"/>
        <charset val="1"/>
      </rPr>
      <t xml:space="preserve"> Estas abas conterão apenas o reflexo dos dados preenchidos nas abas anteriores (conforme explicação nº 3).</t>
    </r>
  </si>
  <si>
    <t xml:space="preserve">4.2</t>
  </si>
  <si>
    <t xml:space="preserve">Estas abas estão destacadas na Cor Cinza.</t>
  </si>
  <si>
    <t xml:space="preserve">5.</t>
  </si>
  <si>
    <r>
      <rPr>
        <sz val="10"/>
        <rFont val="Calibri"/>
        <family val="2"/>
        <charset val="1"/>
      </rPr>
      <t xml:space="preserve">A Aba "</t>
    </r>
    <r>
      <rPr>
        <b val="true"/>
        <sz val="10"/>
        <rFont val="Calibri"/>
        <family val="2"/>
        <charset val="1"/>
      </rPr>
      <t xml:space="preserve">Resumo</t>
    </r>
    <r>
      <rPr>
        <sz val="10"/>
        <rFont val="Calibri"/>
        <family val="2"/>
        <charset val="1"/>
      </rPr>
      <t xml:space="preserve">" contém o detalhamento dos custos unitários por categoria profissional, além de conter o preço final da proposta.</t>
    </r>
  </si>
  <si>
    <t xml:space="preserve">5.1</t>
  </si>
  <si>
    <r>
      <rPr>
        <sz val="10"/>
        <rFont val="Calibri"/>
        <family val="2"/>
        <charset val="1"/>
      </rPr>
      <t xml:space="preserve">Para efeitos de lance/oferta, as licitantes devem considerar o valor da célula "T17", da Aba "Resumo", correspondente ao </t>
    </r>
    <r>
      <rPr>
        <b val="true"/>
        <sz val="10"/>
        <rFont val="Calibri"/>
        <family val="2"/>
        <charset val="1"/>
      </rPr>
      <t xml:space="preserve">VALOR MENSAL.</t>
    </r>
  </si>
  <si>
    <t xml:space="preserve">5.2</t>
  </si>
  <si>
    <t xml:space="preserve">Esta aba está destacada na Cor Azul.</t>
  </si>
  <si>
    <t xml:space="preserve">6.</t>
  </si>
  <si>
    <r>
      <rPr>
        <sz val="10"/>
        <rFont val="Calibri"/>
        <family val="2"/>
        <charset val="1"/>
      </rPr>
      <t xml:space="preserve">A Aba "</t>
    </r>
    <r>
      <rPr>
        <b val="true"/>
        <sz val="10"/>
        <rFont val="Calibri"/>
        <family val="2"/>
        <charset val="1"/>
      </rPr>
      <t xml:space="preserve">Custo Estimado Substituto</t>
    </r>
    <r>
      <rPr>
        <sz val="10"/>
        <rFont val="Calibri"/>
        <family val="2"/>
        <charset val="1"/>
      </rPr>
      <t xml:space="preserve">" contém valores estimados com os profissionais substitutos do titular em férias.</t>
    </r>
  </si>
  <si>
    <t xml:space="preserve">6.1</t>
  </si>
  <si>
    <t xml:space="preserve">Não será necessário realizar nenhuma alteração nesta aba, pois conterá apenas o reflexo dos dados preenchidos nas abas anteriores (conforme explicação nº 3).</t>
  </si>
  <si>
    <t xml:space="preserve">6.2</t>
  </si>
  <si>
    <t xml:space="preserve">ANEXO X - PLANILHA DE CUSTO E FORMAÇÃO DE PREÇO MENSAL ESTIMATIVO - PLANILHA DE DADOS</t>
  </si>
  <si>
    <t xml:space="preserve">Elemento de Despesa</t>
  </si>
  <si>
    <t xml:space="preserve">Quantidade de Postos</t>
  </si>
  <si>
    <t xml:space="preserve">Carga Horária
(Horas)</t>
  </si>
  <si>
    <t xml:space="preserve">*OBS 1 -
Salário Base I (Piso Para 220h/m)
(R$)</t>
  </si>
  <si>
    <t xml:space="preserve">Salário Base II
(Conforme Jornada Contratada)
(R$)</t>
  </si>
  <si>
    <t xml:space="preserve">
Insalubridade
Grau de Risco
(%)</t>
  </si>
  <si>
    <t xml:space="preserve">Valor Insalubridade
(R$)</t>
  </si>
  <si>
    <t xml:space="preserve">*OBS 2 -
Acúmulo de Função / Acréscimo Salarial
(%)</t>
  </si>
  <si>
    <t xml:space="preserve">*OBS 3 -
Tempo de Execução de Atividades em Acúmulo
(%)</t>
  </si>
  <si>
    <t xml:space="preserve">*OBS 4 -
Base Para Cálculo de Acúmulo de Função
(R$)</t>
  </si>
  <si>
    <t xml:space="preserve">Valor Acúmulo de Função
(R$)</t>
  </si>
  <si>
    <t xml:space="preserve">Remuneração Total
(Grupo A)
(R$)</t>
  </si>
  <si>
    <t xml:space="preserve">Uniforme
(R$)</t>
  </si>
  <si>
    <t xml:space="preserve">Material de Limpeza Rateado
(R$)</t>
  </si>
  <si>
    <t xml:space="preserve">Material de Copa Rateado
(R$)</t>
  </si>
  <si>
    <t xml:space="preserve">EPI</t>
  </si>
  <si>
    <t xml:space="preserve">Depreciação Rateada
(R$)</t>
  </si>
  <si>
    <t xml:space="preserve">CÓDIGO DE ELEMENTO DE DESPESA
(CONTROLE DA CONTRATANTE)</t>
  </si>
  <si>
    <t xml:space="preserve">RATEIO
INSUMOS</t>
  </si>
  <si>
    <t xml:space="preserve">Servente de Limpeza 40% Insalubridade</t>
  </si>
  <si>
    <t xml:space="preserve">Servente de Limpeza  ac. Copeira</t>
  </si>
  <si>
    <t xml:space="preserve">Auxiliar Administrativo</t>
  </si>
  <si>
    <t xml:space="preserve">OBS 1: Inserir piso salarial correspondente à jornada de 220h mensais.      OBS 2: Informar % de acúmulo de função.</t>
  </si>
  <si>
    <t xml:space="preserve">OBS 3: Informar % do tempo de acúmulo de função.   OBS 4: Informar salário base.</t>
  </si>
  <si>
    <t xml:space="preserve">TOTAL</t>
  </si>
  <si>
    <t xml:space="preserve">DADOS DA PROPOSTA</t>
  </si>
  <si>
    <t xml:space="preserve">Data de apresentação da proposta</t>
  </si>
  <si>
    <t xml:space="preserve">ABERTURA DA PROPOSTA</t>
  </si>
  <si>
    <t xml:space="preserve">Informar data de abertura do certame / data final para cadastro da proposta comercial.</t>
  </si>
  <si>
    <t xml:space="preserve">Sindicato utilizado</t>
  </si>
  <si>
    <t xml:space="preserve">SINSERHT x SINTAPPI</t>
  </si>
  <si>
    <t xml:space="preserve">Informar o sindicato utilizado pela Licitante.</t>
  </si>
  <si>
    <t xml:space="preserve">Número de registro da CCT - Código MTE</t>
  </si>
  <si>
    <t xml:space="preserve">MG002103/2024</t>
  </si>
  <si>
    <t xml:space="preserve">Informar o número de registro da Convenção Coletiva de Tralbalho utilizada no processo licitatório, junto ao Ministério do Trabalho e Emprego.</t>
  </si>
  <si>
    <t xml:space="preserve">Vigência da CCT utilizada</t>
  </si>
  <si>
    <t xml:space="preserve">2024/2025</t>
  </si>
  <si>
    <t xml:space="preserve">Informar a vigência da Convenção Coletiva de Trabalho utilizada no processo licitatório.</t>
  </si>
  <si>
    <t xml:space="preserve">Data base da categoria</t>
  </si>
  <si>
    <t xml:space="preserve">01° de Abril</t>
  </si>
  <si>
    <t xml:space="preserve">Informar a data base da Convenção Coletiva de Trabalho utilizada no processo licitatório.</t>
  </si>
  <si>
    <t xml:space="preserve">ENCARGOS SOCIAIS E TRABALHISTAS</t>
  </si>
  <si>
    <t xml:space="preserve">-</t>
  </si>
  <si>
    <t xml:space="preserve">Percentual de Encargos (TOTAL)</t>
  </si>
  <si>
    <t xml:space="preserve">SAT - Seguro Acidentes Trabalho</t>
  </si>
  <si>
    <t xml:space="preserve">RAT (Atividade Principal)</t>
  </si>
  <si>
    <t xml:space="preserve">Informar percentual correspondente à atividade preponderante da Licitante.</t>
  </si>
  <si>
    <t xml:space="preserve">FAP (Conforme FapWeb)</t>
  </si>
  <si>
    <t xml:space="preserve">Informar Fator extraído do documento FapWeb da Licitante.</t>
  </si>
  <si>
    <t xml:space="preserve">SALÁRIO BASE PARE CÁLCULO DE INSALUBRIDADE</t>
  </si>
  <si>
    <t xml:space="preserve">SALÁRIO MINÍMO NACIONAL </t>
  </si>
  <si>
    <t xml:space="preserve">Informar base salarial para fins de cálculo de Insalubridade.</t>
  </si>
  <si>
    <t xml:space="preserve">BENEFÍCIOS</t>
  </si>
  <si>
    <t xml:space="preserve">Seguro de Vida em Grupo</t>
  </si>
  <si>
    <t xml:space="preserve">Inserir valor unitário mensal.</t>
  </si>
  <si>
    <t xml:space="preserve">Programa de Assistência Familiar - PAF</t>
  </si>
  <si>
    <t xml:space="preserve">Vale Transporte</t>
  </si>
  <si>
    <t xml:space="preserve">Valor da tarifa</t>
  </si>
  <si>
    <t xml:space="preserve">Inserir o valor unitário da tarifa.</t>
  </si>
  <si>
    <t xml:space="preserve">Número de Tarifas por dia</t>
  </si>
  <si>
    <t xml:space="preserve">Inserir a quantidade de tarifas diárias.</t>
  </si>
  <si>
    <t xml:space="preserve">Número de dias para fornecimento</t>
  </si>
  <si>
    <t xml:space="preserve">Número de dias utilizados para a precificação. Número determinado em edital. Não será permitido alteração.</t>
  </si>
  <si>
    <t xml:space="preserve">Custeio do trabalhador (participação legal)</t>
  </si>
  <si>
    <t xml:space="preserve">Inserir percentual de participação do trabalhador.</t>
  </si>
  <si>
    <t xml:space="preserve">Vale Alimentação</t>
  </si>
  <si>
    <t xml:space="preserve">Valor Unitário do Ticket</t>
  </si>
  <si>
    <t xml:space="preserve">Inserir valor unitário do Ticket.</t>
  </si>
  <si>
    <t xml:space="preserve">Outros (inserir somente com a justificativa legal)</t>
  </si>
  <si>
    <t xml:space="preserve">Inserir valor unitário mensal, quando preenchido, e apresentar as justificativas legais para inclusão.</t>
  </si>
  <si>
    <t xml:space="preserve">MONTANTE C</t>
  </si>
  <si>
    <t xml:space="preserve">Despesas Administrativas</t>
  </si>
  <si>
    <t xml:space="preserve">Informar percentual da Licitante.</t>
  </si>
  <si>
    <t xml:space="preserve">Lucro</t>
  </si>
  <si>
    <t xml:space="preserve">MONTANTE D</t>
  </si>
  <si>
    <t xml:space="preserve">OBS:</t>
  </si>
  <si>
    <t xml:space="preserve">Opção Tributária</t>
  </si>
  <si>
    <t xml:space="preserve">LUCRO REAL</t>
  </si>
  <si>
    <t xml:space="preserve">Informar opção tributária da Licitante. Atentar-se às observações do "Montante D".</t>
  </si>
  <si>
    <t xml:space="preserve">COFINS</t>
  </si>
  <si>
    <t xml:space="preserve">Informar percentual da Licitante. Atentar-se às observações do "Montante D".</t>
  </si>
  <si>
    <t xml:space="preserve">PIS/PASEP</t>
  </si>
  <si>
    <t xml:space="preserve">ISSQN</t>
  </si>
  <si>
    <t xml:space="preserve">Informar percentual do código tributário municipal, local da execução das atividades.</t>
  </si>
  <si>
    <t xml:space="preserve">Informar o tipo de tributo e apresentar as justificativas legais para inclusão. Informar percentual da Licitante. Atentar-se às observações do "Montante D".</t>
  </si>
  <si>
    <t xml:space="preserve">Soma dos tributos</t>
  </si>
  <si>
    <t xml:space="preserve">PREVISÃO DE REAJUSTE IPCA - 12 (DOZE) MESES DE CONTRATO - INFORMATIVO PARA SER UTILIZADO DURANTE A GESTÃO CONTRATUAL</t>
  </si>
  <si>
    <t xml:space="preserve">UNIFORME</t>
  </si>
  <si>
    <t xml:space="preserve">MATERIAIS
DIVERSOS</t>
  </si>
  <si>
    <t xml:space="preserve">EPI COVID</t>
  </si>
  <si>
    <t xml:space="preserve">SEG VIDA</t>
  </si>
  <si>
    <t xml:space="preserve">FATOR DE APLICAÇÃO
(2 CASAS DECIMAIS)</t>
  </si>
  <si>
    <t xml:space="preserve">DATA DE APROVAÇÃO IPCA</t>
  </si>
  <si>
    <t xml:space="preserve">DOCUMENTO RELACIONADO ID</t>
  </si>
  <si>
    <t xml:space="preserve">1º REAJUSTE IPCA</t>
  </si>
  <si>
    <t xml:space="preserve">Percentual (%) aprovado</t>
  </si>
  <si>
    <t xml:space="preserve">Aplicar reajuste após solicitação da contratada?</t>
  </si>
  <si>
    <t xml:space="preserve">NÃO</t>
  </si>
  <si>
    <t xml:space="preserve">2º REAJUSTE IPCA</t>
  </si>
  <si>
    <t xml:space="preserve">3º REAJUSTE IPCA</t>
  </si>
  <si>
    <t xml:space="preserve">4º REAJUSTE IPCA</t>
  </si>
  <si>
    <t xml:space="preserve">5º REAJUSTE IPCA</t>
  </si>
  <si>
    <t xml:space="preserve">CONTROLE DE REAJUSTE IPCA - UNIFORME</t>
  </si>
  <si>
    <t xml:space="preserve">APLICAR
VALOR</t>
  </si>
  <si>
    <t xml:space="preserve">INICIAL</t>
  </si>
  <si>
    <t xml:space="preserve">CONTROLE DE REAJUSTE IPCA - MATERIAIS DIVERSOS</t>
  </si>
  <si>
    <t xml:space="preserve">CONTROLE DE REAJUSTE IPCA - EPI COVID</t>
  </si>
  <si>
    <t xml:space="preserve">CONTROLE DE REAJUSTE IPCA - SEGURO DE VIDA</t>
  </si>
  <si>
    <t xml:space="preserve">VALOR INICIAL DO CONTRATO</t>
  </si>
  <si>
    <t xml:space="preserve">1º REAJUSTE POR IPCA</t>
  </si>
  <si>
    <t xml:space="preserve">2º REAJUSTE POR IPCA</t>
  </si>
  <si>
    <t xml:space="preserve">3º REAJUSTE POR IPCA</t>
  </si>
  <si>
    <t xml:space="preserve">4º REAJUSTE POR IPCA</t>
  </si>
  <si>
    <t xml:space="preserve">5º REAJUSTE POR IPCA</t>
  </si>
  <si>
    <t xml:space="preserve">HISTÓRICO - CONTROLE DE CONTRATO - VERSÃO DE PLANILHA DE CUSTOS</t>
  </si>
  <si>
    <t xml:space="preserve">Planilha / Proposta comercial - Início do contrato (Licitação)</t>
  </si>
  <si>
    <t xml:space="preserve">PLANILHA - ID</t>
  </si>
  <si>
    <t xml:space="preserve">Obs: Planiha apresentada e aceita durante a fase de lances.</t>
  </si>
  <si>
    <t xml:space="preserve">1º Termo Aditivo</t>
  </si>
  <si>
    <t xml:space="preserve">Obs: Planilha ajustada com o acréscimo de 1 posto "X" - 200h.</t>
  </si>
  <si>
    <t xml:space="preserve">1º Termo de Apostilamento</t>
  </si>
  <si>
    <t xml:space="preserve">Obs: Repactuação CCT 2024 / Alteração do salário mínimo nacional.</t>
  </si>
  <si>
    <t xml:space="preserve">INFORMAR TERMO ADITIVO / APOSTILAMENTO / ALTERAÇÃO CONTRATUAL</t>
  </si>
  <si>
    <t xml:space="preserve">Obs: Descrever alerações. EX: Como é realizado no Extrato.</t>
  </si>
  <si>
    <t xml:space="preserve">Planilha de Encargos Sociais e Trabalhistas</t>
  </si>
  <si>
    <t xml:space="preserve">ANEXO X</t>
  </si>
  <si>
    <t xml:space="preserve">INSTRUÇÕES DE PREENCHIMENTO - Informar/Alterar somente as células destacadas na Cor Amarela, de acordo com o percentual da Licitante.</t>
  </si>
  <si>
    <t xml:space="preserve">QUADRO RESUMO</t>
  </si>
  <si>
    <t xml:space="preserve">DESCRIÇÃO</t>
  </si>
  <si>
    <t xml:space="preserve">PERCENTUAL</t>
  </si>
  <si>
    <t xml:space="preserve">Grupo A</t>
  </si>
  <si>
    <t xml:space="preserve">Encargos Previdenciários, FGTS e Outras Contribuições</t>
  </si>
  <si>
    <t xml:space="preserve">PREVIDÊNCIA SOCIAL - INSS</t>
  </si>
  <si>
    <t xml:space="preserve">SESI ou SESC</t>
  </si>
  <si>
    <t xml:space="preserve">SENAI ou SENAC</t>
  </si>
  <si>
    <t xml:space="preserve">INCRA</t>
  </si>
  <si>
    <t xml:space="preserve">Salário Educação</t>
  </si>
  <si>
    <t xml:space="preserve">FGTS</t>
  </si>
  <si>
    <t xml:space="preserve">SAT - Seguro Acidentes Trabalho - (RAT x FAP)</t>
  </si>
  <si>
    <t xml:space="preserve">  Alterar FAP e RAT na aba "DADOS"</t>
  </si>
  <si>
    <t xml:space="preserve">SEBRAE</t>
  </si>
  <si>
    <t xml:space="preserve">Total Grupo A - Encargos previdenciários, FGTS e Outras Contribuições</t>
  </si>
  <si>
    <t xml:space="preserve">Grupo B</t>
  </si>
  <si>
    <t xml:space="preserve">Grupo B.1</t>
  </si>
  <si>
    <t xml:space="preserve">13º Salário</t>
  </si>
  <si>
    <t xml:space="preserve">Adicional de Férias</t>
  </si>
  <si>
    <t xml:space="preserve">Subtotal</t>
  </si>
  <si>
    <t xml:space="preserve">Incidência do Grupo A sobre 13º salário e adicional de férias</t>
  </si>
  <si>
    <t xml:space="preserve">Total Grupo B.1 - 13º salário e adicional de férias</t>
  </si>
  <si>
    <t xml:space="preserve">Grupo B.2</t>
  </si>
  <si>
    <t xml:space="preserve">Afastamento Maternidade</t>
  </si>
  <si>
    <t xml:space="preserve">Licença Maternidade</t>
  </si>
  <si>
    <t xml:space="preserve">Incidência do Grupo A sobre o afastamento maternidade</t>
  </si>
  <si>
    <t xml:space="preserve">Total Grupo B.2 - Afastamento maternidade</t>
  </si>
  <si>
    <t xml:space="preserve">Grupo B.3</t>
  </si>
  <si>
    <t xml:space="preserve">Provisão para Rescisão</t>
  </si>
  <si>
    <t xml:space="preserve">Aviso Prévio Indenizado</t>
  </si>
  <si>
    <t xml:space="preserve">Incidência do FGTS sobre o Aviso Prévio Indenizado</t>
  </si>
  <si>
    <t xml:space="preserve">Multa do FGTS do Aviso Prévio Indenizado</t>
  </si>
  <si>
    <t xml:space="preserve">Aviso Prévio Trabalhado</t>
  </si>
  <si>
    <t xml:space="preserve">Incidência do Grupo A sobre o Aviso Prévio Trabalhado </t>
  </si>
  <si>
    <t xml:space="preserve">Multa do FGTS do Aviso Prévio Trabalhado </t>
  </si>
  <si>
    <t xml:space="preserve">Total Grupo B.3 - Provisão para rescisão</t>
  </si>
  <si>
    <t xml:space="preserve">Grupo B.4</t>
  </si>
  <si>
    <t xml:space="preserve">Composição do Custo de Reposição do Profissional Ausente</t>
  </si>
  <si>
    <t xml:space="preserve">Remuneração do profissional substituto</t>
  </si>
  <si>
    <t xml:space="preserve">Ausência por doença</t>
  </si>
  <si>
    <t xml:space="preserve">Licença Paternidade</t>
  </si>
  <si>
    <t xml:space="preserve">Ausências Legais</t>
  </si>
  <si>
    <t xml:space="preserve">Ausência por acidente de trabalho</t>
  </si>
  <si>
    <t xml:space="preserve">PERCENTUAIS PARA CONTINGENCIAMENTO DE ENCARGOS TRABALHISTAS A SEREM APLICADOS SOBRE A NOTA FISCAL (UTILIZAÇÃO DURANTE A VIGÊNCIA CONTRATUAL)</t>
  </si>
  <si>
    <t xml:space="preserve">Incidência do submódulo 4.1 sobre custo de reposição</t>
  </si>
  <si>
    <t xml:space="preserve">Total Grupo B.4 - Custo de reposição do profissional ausente</t>
  </si>
  <si>
    <t xml:space="preserve">Título</t>
  </si>
  <si>
    <t xml:space="preserve">VARIAÇÃO RAT AJUSTADO 0,50% A 6%</t>
  </si>
  <si>
    <t xml:space="preserve">Grupo C</t>
  </si>
  <si>
    <t xml:space="preserve">Outros (especificar)</t>
  </si>
  <si>
    <t xml:space="preserve">EMPRESAS</t>
  </si>
  <si>
    <t xml:space="preserve">Indenização Adicional</t>
  </si>
  <si>
    <t xml:space="preserve">Grupo </t>
  </si>
  <si>
    <t xml:space="preserve">Mínimo</t>
  </si>
  <si>
    <t xml:space="preserve">Máximo</t>
  </si>
  <si>
    <t xml:space="preserve">LICITANTE</t>
  </si>
  <si>
    <t xml:space="preserve">Total Grupo C - Indenização Adicional</t>
  </si>
  <si>
    <t xml:space="preserve">SUBMÓDULO E.1 - da IN 02/2008 MPOG:</t>
  </si>
  <si>
    <t xml:space="preserve">Quadro Resumo - Encargos Sociais e Trabalhistas</t>
  </si>
  <si>
    <t xml:space="preserve">SAT (RATxFAP):</t>
  </si>
  <si>
    <t xml:space="preserve">13º salário</t>
  </si>
  <si>
    <t xml:space="preserve">13º Salário + Adicional de Férias</t>
  </si>
  <si>
    <t xml:space="preserve">Férias</t>
  </si>
  <si>
    <t xml:space="preserve">1/3 constitucional</t>
  </si>
  <si>
    <t xml:space="preserve">Custo de Rescisão</t>
  </si>
  <si>
    <t xml:space="preserve">Custo de Reposição do profissional Ausente</t>
  </si>
  <si>
    <t xml:space="preserve">Incidência do Grupo A (*)</t>
  </si>
  <si>
    <t xml:space="preserve">Multa do FGTS</t>
  </si>
  <si>
    <t xml:space="preserve">Total dos Encargos Sociais Trabalhistas</t>
  </si>
  <si>
    <t xml:space="preserve">Encargos a contingenciar</t>
  </si>
  <si>
    <t xml:space="preserve">Taxa da conta-corrente vinculada (inciso II art. 2º IN 001/2013</t>
  </si>
  <si>
    <t xml:space="preserve">1. Não deverá haver alteração nos itens 9(9,09%), 10(3,03%), 13(3,49%) e 16(9,09%) dos percentuais acima, considerando que a Justiça Federal segue as diretrizes da IN 1/2016, de 20 de janeiro de 2016, do CJF, bem como o disposto no Art. 12 da Lei 13.932/2019, com vigência a partir de 01/01/2020.</t>
  </si>
  <si>
    <t xml:space="preserve">Total a contingenciar</t>
  </si>
  <si>
    <t xml:space="preserve">ANEXO X - CUSTO ESTIMATIVO DE MATERIAIS DE LIMPEZA</t>
  </si>
  <si>
    <t xml:space="preserve">INSTRUÇÕES DE PREENCHIMENTO - Informar/Alterar somente as células destacadas na Cor Amarela, de acordo com o valor unitário da Licitante.</t>
  </si>
  <si>
    <t xml:space="preserve">VALORES UNITÁRIOS DO CONTRATO, CORRIGIDOS PELO REAJUSTE DE IPCA.</t>
  </si>
  <si>
    <t xml:space="preserve">DESCRIÇÃO DO MATERIAL</t>
  </si>
  <si>
    <t xml:space="preserve">OBSERVAÇÕES</t>
  </si>
  <si>
    <t xml:space="preserve">REFERÊNCIA</t>
  </si>
  <si>
    <t xml:space="preserve">Quantidade</t>
  </si>
  <si>
    <t xml:space="preserve">Preço Unitário</t>
  </si>
  <si>
    <t xml:space="preserve">DIVISOR</t>
  </si>
  <si>
    <t xml:space="preserve">VALOR INICIAL DO CONTRATO
(Informar após o término da licitação)</t>
  </si>
  <si>
    <t xml:space="preserve">Água sanitária galão de 5 litros, composição do produto: hipoclorito de sódio 2,5%, hidróxido de sódio e veículo.,teor de cloro ativo entre 2,0 e 2,5% p/p.</t>
  </si>
  <si>
    <t xml:space="preserve">Galão</t>
  </si>
  <si>
    <t xml:space="preserve">Santa Clara</t>
  </si>
  <si>
    <t xml:space="preserve">bimestral</t>
  </si>
  <si>
    <t xml:space="preserve">Alcool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t>
  </si>
  <si>
    <t xml:space="preserve">Asseptgel</t>
  </si>
  <si>
    <t xml:space="preserve">mensal</t>
  </si>
  <si>
    <t xml:space="preserve">Álcool Líquido 1 Litro: Etilico Hidratado, para limpeza em geral, teor alcoolico 70 inpm. Aprovação Anvisa; Produto devera estar de acordo com legislacão vigente</t>
  </si>
  <si>
    <t xml:space="preserve">unid.</t>
  </si>
  <si>
    <t xml:space="preserve">Facilita</t>
  </si>
  <si>
    <t xml:space="preserve">Balde plástico em polietileno de alta densidade, alta resistência a impacto, com paredes e fundo reforçados, com reforço no encaixe da alça de aço zincado constando no corpo a marcado fabricante, capacidade de 12 litros.</t>
  </si>
  <si>
    <t xml:space="preserve">Arqplast</t>
  </si>
  <si>
    <t xml:space="preserve">anual</t>
  </si>
  <si>
    <t xml:space="preserve">Desentupidor Pia: Tipo: Sanfonado, Com Alto Poder De Sucção. Material: Borracha Flexível, Composto Por Polipropileno E Borracha Termoplástica. Plástico Resistente, Cabo Longo, mínimo 20 CM.</t>
  </si>
  <si>
    <t xml:space="preserve">Oliveira e Azevedo</t>
  </si>
  <si>
    <t xml:space="preserve">Desentupidor Vaso Sanitário Material: Borracha Flexível, Comprimento Cabo: 50 CM, Altura: 10 CM, Cor: Preta , Diâmetro: 16 CM, MaterialCabo: Madeira</t>
  </si>
  <si>
    <t xml:space="preserve">Canada</t>
  </si>
  <si>
    <t xml:space="preserve">Desinfetante concentrado líquido. Aroma floral. Embalagem com 5 litros.</t>
  </si>
  <si>
    <t xml:space="preserve">Mirax Floral Bouquet</t>
  </si>
  <si>
    <t xml:space="preserve">Escova para lavar multiuso, oval, base plástica e cerdas de escova para lavar multiuso, oval, base plástica e cerdas de nylon.</t>
  </si>
  <si>
    <t xml:space="preserve">Condor</t>
  </si>
  <si>
    <t xml:space="preserve">Escova Sanitária Redonda em plástico Branco contendo 01 escova para vaso sanitário e 01 suporte redondo: Branco Tamanho: 14 x 42 cm</t>
  </si>
  <si>
    <t xml:space="preserve">Limpamania</t>
  </si>
  <si>
    <t xml:space="preserve">Esponja Para Lavagem De Louças E Limpeza Em Geral, Dupla Face Sintética, Um Lado Em Espuma Poliuretano E Outro Em Fibra Sintética Abrasiva, Antibacteriana, Formato Retangular, Medindo Aproximadamente 110mm X 75mm X 20mm De Espessura. Pacote com 4 unidades.</t>
  </si>
  <si>
    <t xml:space="preserve">pacote</t>
  </si>
  <si>
    <t xml:space="preserve">Scotch-Brite</t>
  </si>
  <si>
    <t xml:space="preserve">Espanador de pó de penas nº 25. Medidas: 25 cm de penas e 40 cm de cabo</t>
  </si>
  <si>
    <t xml:space="preserve">Duster</t>
  </si>
  <si>
    <t xml:space="preserve">Extensão elétrica 20 metros 3 tomada 20a cabo pp2x1,5mm reforçada, 2 cabos de som 10m para ligar as caixas xlr/p10, 2cabos xlr para microfones sem fio (especificações mínima)</t>
  </si>
  <si>
    <t xml:space="preserve">Daneva</t>
  </si>
  <si>
    <t xml:space="preserve">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t>
  </si>
  <si>
    <t xml:space="preserve">Intextil</t>
  </si>
  <si>
    <t xml:space="preserve">Inseticida Aerossol, multiinseticida, frasco com mínimo 300 ml. Registro/ Autorização no ministério da saúde.</t>
  </si>
  <si>
    <t xml:space="preserve">Raid</t>
  </si>
  <si>
    <t xml:space="preserve">semestral</t>
  </si>
  <si>
    <t xml:space="preserve">Kit limpador de vidro: Rodo limpa vidros com cabo telescópico extensor de 06 (seis) metros. Extremidade composta por lavador de acrílico e limpador com lâmina de borracha de aproximadamente 35 cm. Utilizado para limpeza de vidros e vidraças.</t>
  </si>
  <si>
    <t xml:space="preserve">Bralimpia</t>
  </si>
  <si>
    <t xml:space="preserve">Limpa vidro 500ml (Veja ou similar)</t>
  </si>
  <si>
    <t xml:space="preserve">Veja</t>
  </si>
  <si>
    <t xml:space="preserve">Limpa Pedras Pisos, lajota removedor de encardido pedra e cerâmica - Ácido Sulfônico - 5 litros concentrado com baixo odor e pH ácido sinergicamente balanceado para uma ação rápida e eficaz. Limpeza pesada, sem danificar, de sujidades como terra, fuligem, ferrugem, incrustações e encardidos em geral.</t>
  </si>
  <si>
    <t xml:space="preserve">Pedrex</t>
  </si>
  <si>
    <t xml:space="preserve">trimestral</t>
  </si>
  <si>
    <t xml:space="preserve">Multiuso limpeza pesada 500ml - composição: alquil benzeno sulfonato de sódio, solvente, coadjuvantes, conservante, sequestrante, corante, fragrância e água. tensoativo biodegradável. frascos de 500 ml de produto (marca de referência: veja).</t>
  </si>
  <si>
    <t xml:space="preserve">Luva Segurança Com Forro. Material: 100% Látex Nitrílico , Tamanho: M ou G ,Aplicação: Manuseio Reagente Químico E Radioativo , Características Adicionais: Com Forro, Sem Talco, Pulso Com Bainha , Modelo: Palma Antiderrapante, Cor: Verde, Tipo: Ambidestra</t>
  </si>
  <si>
    <t xml:space="preserve">Par</t>
  </si>
  <si>
    <t xml:space="preserve">Bettanin</t>
  </si>
  <si>
    <t xml:space="preserve">Mangueira para jardim, com 50 metros de extensão, antitorção, com engate de torneira e esguicho</t>
  </si>
  <si>
    <t xml:space="preserve">Tramontina</t>
  </si>
  <si>
    <t xml:space="preserve">Pá p/ lixo em plástico resistente c/ cabo de madeira de 60cm de altura na vertical.</t>
  </si>
  <si>
    <t xml:space="preserve">Papel Higiênico Rolão 8 x 300m Folha Dupla - Institucional Rolão De 300 Metros, Neutro, Macio, Branco, Folha Dupla, Absorvente E Homogêneo Medindo: 10Cm X 300M. Pacote Com 8 Rolos. Material Hidrossolúvel (Solúvel Na Água), 100% Fibra Virgem. Produto Deverá Estar De Acordo Com As Normas Da Abnt Nbr 15464-9/2010 E Nbr 15134/2007. Não Poderá Esfarelar Durante O Uso, Não Poderá Apresentar Odor desagradável (Não Característico)</t>
  </si>
  <si>
    <t xml:space="preserve">Pacote 08 rolos</t>
  </si>
  <si>
    <t xml:space="preserve">Santher ou similar</t>
  </si>
  <si>
    <t xml:space="preserve">Papel Toalha Bobina 200m, Uso Institucional, Alta Absorção. Bobina De, No Mínimo, 200M Metros De Comprimento Por 20Cm De Largura, Auto Cortante (Picotado). Gofrado, Folha Simples; Em Bobina; Branco, Com Maciez E Absorção. Composto Com 100% Celulose Virgem, Máximo De 15Mm2/M2, Conforme Notam Tappi T437 Om-90; Alvura Acima De 82%, Conforme A Norma Iso; Absorção Máxima De 3. Embalado Em Caixa C/06 Rolos. As Informações Do Produto Deve Constar No Exterior Da Embalagem.</t>
  </si>
  <si>
    <t xml:space="preserve">Caixa com 06 tolos</t>
  </si>
  <si>
    <t xml:space="preserve">quadrimestral</t>
  </si>
  <si>
    <t xml:space="preserve">Rodo Plástico e borracha dupla expandida de 60cm, resistente e durável, que puxa e seca a água, feita em EVA e cepo em polipropileno com garras pontiagudas nas laterais para melhor fixar panos de chão.</t>
  </si>
  <si>
    <t xml:space="preserve">Brubalar</t>
  </si>
  <si>
    <t xml:space="preserve">Sabão em barra glicerinado - cor neutra. Pacote com 5 de 200g cada unidade.</t>
  </si>
  <si>
    <t xml:space="preserve">Minuano</t>
  </si>
  <si>
    <t xml:space="preserve">Sabão em Pó – Caixa de 0,8 a 1Kg. Sabão em pó, convencional, de primeira linha. Para lavar roupas e limpeza em geral.</t>
  </si>
  <si>
    <t xml:space="preserve">cx.</t>
  </si>
  <si>
    <t xml:space="preserve">Omo ou similar</t>
  </si>
  <si>
    <t xml:space="preserve">Sapólio em pó 300g</t>
  </si>
  <si>
    <t xml:space="preserve">unid</t>
  </si>
  <si>
    <t xml:space="preserve">Bombril</t>
  </si>
  <si>
    <t xml:space="preserve">Sabonete líquido Concentrado, cremoso perolizado, pronto pra uso, aroma erva-doce, lavanda ou similar, galão de 05 litros.</t>
  </si>
  <si>
    <t xml:space="preserve">Nobre, Start, Ikebana</t>
  </si>
  <si>
    <t xml:space="preserve">Saco de Algodão Tipo: Alvejado, Tamanho: 60 X 80 CM, Cor: Branco, Características Adicionais: Dupla Face</t>
  </si>
  <si>
    <t xml:space="preserve">Santa Margarida</t>
  </si>
  <si>
    <t xml:space="preserve">Saco plástico reforçado para lixo em polietileno, com capacidade de 100 litros, com estanqueidade suficiente para que não haja vazamento de lixo líquido. com espessura mínima de 10 micra, na cor preta. Pacote com 100 unidades.</t>
  </si>
  <si>
    <t xml:space="preserve">Pacote</t>
  </si>
  <si>
    <t xml:space="preserve">Polisac</t>
  </si>
  <si>
    <t xml:space="preserve">Saco plástico reforçado para lixo em polietileno, com capacidade de 20 litros, com estanqueidade suficiente para que não haja vazamento de lixo líquido. com espessura mínima de 09 micra, na cor preta. Pacote com 100 unidades.</t>
  </si>
  <si>
    <t xml:space="preserve">Altaplast</t>
  </si>
  <si>
    <t xml:space="preserve">Vassoura limpa teto, com cerdas macias de sisal e cabo de madeira de 2,70 metros. Ideal para uso na limpeza de locais de difícil acesso.</t>
  </si>
  <si>
    <t xml:space="preserve">Vassoura Material Cerdas: Pêlo Sintético, Comprimento Cepa: 60 CM, Tipo Cabo: Reforçado, Material Cabo: Madeira</t>
  </si>
  <si>
    <t xml:space="preserve">Vassoura de nylon, cerdas c/ ponta desfiada, corpo de madeira medindo aproximadamente 25 x 05cm, c/ cabo de no mínimo 1,50m de comprimento</t>
  </si>
  <si>
    <t xml:space="preserve">Carro Multifuncional Para Limpeza Kit completo - Para Transporte c/ Bolsa Para Coleta De No Mínimo 90 Litros, Com Tampa. Conjunto Balde Duplo De 25 Litros (Aproximadamente) Cada (Removível) 4 Organizadores/Prateleiras Para Acessórios; Rodízios Fixos E Giratórios. Balde espremedor, com rodas giratórias para mobilidade fácil, alça e cabo metálico resistente. Kit de limpeza contendo carrinho pequeno, placa, mop esfregão e espremedor</t>
  </si>
  <si>
    <t xml:space="preserve">ANEXO X - CUSTO ESTIMATIVO DE MATERIAIS DE LIMPEZA COPA</t>
  </si>
  <si>
    <t xml:space="preserve">Marca de Referência</t>
  </si>
  <si>
    <t xml:space="preserve">Coador de Café. Especificação: Em pano 100% algodão, cor branca, dimensões de 20cm (diâmetro) x 30cm (profundidade), cabo 16 cm de comprimento feito de arame de aço galvanizado revestido com PVC. O rótulo do produto deve estampar o nome do fabricante.</t>
  </si>
  <si>
    <t xml:space="preserve">Stolf</t>
  </si>
  <si>
    <t xml:space="preserve">Detergente líquido para louça, neutro, embalagem de 500ml, com tampa Push Pool. Deverá conter glicerina e ser testado e aprovado por dermatologistas. Com fórmula biodegradável. Deve possuir registro na Anvisa/Ministério da Saúde, o qual deverá estar impresso no rótulo.</t>
  </si>
  <si>
    <t xml:space="preserve">Limpol ou similar</t>
  </si>
  <si>
    <t xml:space="preserve">Esponja de LÃ DE AÇO, composição básica: aço carbono abrasivo, p/ limpeza em geral, acondicionada em embalagem plástica original do fabricante, peso líquido aproximado de 60g, pacote c/ 08 unidades</t>
  </si>
  <si>
    <t xml:space="preserve">Guardanapo de limpeza, em papel absorvente, folha simples, na cor branca, não gofrado, 4 dobras, dimensões mínimas 33 cm x 30 cm, 100% fibras naturais, embalado em pacote com 50 unidades, com dados do fabricante, data de fabricação e prazo de validade. Produto fabricado de acordo com as normas da ABNT/NBR. Do tipo Coquetel, Santepel, Snob ou de melhor qualidade </t>
  </si>
  <si>
    <t xml:space="preserve">Santepel</t>
  </si>
  <si>
    <t xml:space="preserve">Pano de copa aberto 100%  dimensões mínimas 40x60cm</t>
  </si>
  <si>
    <t xml:space="preserve">Karsten</t>
  </si>
  <si>
    <t xml:space="preserve">Sabão Glicerinado em Barra Neutro 200g</t>
  </si>
  <si>
    <t xml:space="preserve">ANEXO X - CUSTO ESTIMATIVO DE EPI</t>
  </si>
  <si>
    <t xml:space="preserve">Valores em R$</t>
  </si>
  <si>
    <t xml:space="preserve">Item</t>
  </si>
  <si>
    <t xml:space="preserve">Especificação</t>
  </si>
  <si>
    <t xml:space="preserve">Quant.</t>
  </si>
  <si>
    <t xml:space="preserve">Valor Unitário</t>
  </si>
  <si>
    <t xml:space="preserve">Valor Total</t>
  </si>
  <si>
    <t xml:space="preserve">Repasse Mensal</t>
  </si>
  <si>
    <t xml:space="preserve">Bota Segurança Material: Pvc - Cloreto De Polivinila , Material Sola: Antiderrapante , Cor: Preta , Tipo Cano: Longo Características Adicionais: Com Forro, Palmilha e Biqueira De Aço.</t>
  </si>
  <si>
    <t xml:space="preserve">Total de EPI de Servente</t>
  </si>
  <si>
    <t xml:space="preserve">ANEXO X - CUSTO ESTIMATIVO DE PREÇOS DE EQUIPAMENTOS</t>
  </si>
  <si>
    <t xml:space="preserve">RELAÇÃO DE MÁQUINAS E EQUIPAMENTOS </t>
  </si>
  <si>
    <t xml:space="preserve">EQUIPAMENTOS - SERVENTE</t>
  </si>
  <si>
    <t xml:space="preserve">Depreciação 10% ao Ano</t>
  </si>
  <si>
    <t xml:space="preserve">Aspirador de pó e de água, com potência mínima de 1200 W, tensão de alimentação: 127V, 220V (fornecimento conforme pedido) ou bivolt comutável, capacidade mínima de 10 Litros (água + pó), acompanha mangueira, tubos, bocal para piso, canto e estofados e adaptador, manual de instruções em português. Garantia mínima de 12Meses</t>
  </si>
  <si>
    <t xml:space="preserve">Carretel tipo: enrolador mangueira de jardim, Modelo: Móvel Acoplado ao Carrinho , Material Estrutural: Alumínio , Capacidade: 50 Metros De Mangueira ,Componentes Básicos: Engate Rápido E Mangotinho.</t>
  </si>
  <si>
    <t xml:space="preserve">Suporte fixo de metal para mangueira até 50 metros</t>
  </si>
  <si>
    <t xml:space="preserve">Escada doméstica, material alumínio, número degraus 8, características adicionais pés antiderrapantes, trava de segurança, capacidade 120 kg, tipo dobrável.</t>
  </si>
  <si>
    <t xml:space="preserve">Lavadora de alta pressão Karcher k3 1500W 110v ou Similar. Alta potência de 1450W no mínimo. Pressão máxima no mínimo de 1800psi, sem desperdícios de água e energia. Proteção em caso de superaquecimento. Ajuste de jato regulável. Rodas e alça retrátil para transporte.</t>
  </si>
  <si>
    <t xml:space="preserve">Total da Depreciação de Máquinas e Equipamentos - SERVENTE</t>
  </si>
  <si>
    <t xml:space="preserve">ANEXO X - CUSTO ESTIMATIVO DE PREÇOS DOS UNIFORMES</t>
  </si>
  <si>
    <t xml:space="preserve">Serviços de Limpeza e Conservação</t>
  </si>
  <si>
    <t xml:space="preserve">CATEGORIA</t>
  </si>
  <si>
    <t xml:space="preserve">QUANT.</t>
  </si>
  <si>
    <t xml:space="preserve">DESCRIÇÃO DE UNIFORME</t>
  </si>
  <si>
    <t xml:space="preserve">CORES</t>
  </si>
  <si>
    <t xml:space="preserve">TOTAL DO QUANTITATIVO</t>
  </si>
  <si>
    <t xml:space="preserve">PREÇO UNITÁRIO</t>
  </si>
  <si>
    <t xml:space="preserve">Servente </t>
  </si>
  <si>
    <t xml:space="preserve">Camisa Polo</t>
  </si>
  <si>
    <t xml:space="preserve">Camisa Polo - Material: Piquet | Tipo Manga: Meia Manga | Tipo Colarinho: Gola Polo| Tamanho: P, M, G, GG. Confeccionada em malha Piquet ou similar, sendo 50% poliéster e 50% algodão, em tecido não transparente com gramatura entre 190 a 220g/m². Modelo gola: tipo colarinho, com pé de gola, pespontada, com um botão para fechamento. Manga curta simples, sem botões. Comprimento alongado para permitir colocar dentro da calça. Aviamento e botões na mesma cor do tecido. Logotipo da empresa bordado no lado esquerdo. Sem bolsos. Etiqueta de composição e identificação do tecido, confecção, tamanho da peça e instruções de lavagem, conforme determinação do INMETRO.</t>
  </si>
  <si>
    <t xml:space="preserve">Azul Claro</t>
  </si>
  <si>
    <t xml:space="preserve">TOTAL DE POSTOS</t>
  </si>
  <si>
    <t xml:space="preserve">Calça com elastico</t>
  </si>
  <si>
    <t xml:space="preserve">Material: brim leve misto 67% Algodão / 33% Poliéster; Modelo: Unissex;  Quantidade Bolsos: 2 Laterais E 2 Traseiros; Tipo Cós: Com Elástico E Pala; Modelo: unissex;  características adicionais: com elástico e cordão na cintura, sem fecho, tamanhos PP, P, M, G, GG</t>
  </si>
  <si>
    <t xml:space="preserve">Azul Marinho</t>
  </si>
  <si>
    <t xml:space="preserve">Sapato de Segurança</t>
  </si>
  <si>
    <t xml:space="preserve">Botina segurança - Material: Couro, Material Sola: Borracha, Modelo: Com Elástico nas Laterais, Características Adicionais: Biqueira Em Polipropileno, Tamanho: Sob Medida</t>
  </si>
  <si>
    <t xml:space="preserve">Preto</t>
  </si>
  <si>
    <t xml:space="preserve">Camisa Malha</t>
  </si>
  <si>
    <t xml:space="preserve">Modelo unissex, confeccionado em Malha PV, com gramatura de 180g/m² ou superior, em tecido sem transparência, com manga curta, sem punho. Gola redonda e barra reta. Logotipo da empresa em silk screen.</t>
  </si>
  <si>
    <t xml:space="preserve">Soma</t>
  </si>
  <si>
    <t xml:space="preserve">CÁLCULO VALOR DO REPASSE MENSAL SERVENTE DE LIMPEZA </t>
  </si>
  <si>
    <t xml:space="preserve"> Copeira</t>
  </si>
  <si>
    <t xml:space="preserve">Jaleco</t>
  </si>
  <si>
    <t xml:space="preserve">Modelo em brim, confeccionado preferencialmente em 100% algodão. Gola modelo italiana. fechamento em botão. Frente com 3 (três) bolsos, sendo um na altura do peito e dois na altura da cintura. Botões e aviamentos na cor do tecido. Logotipo da empresa bordado.</t>
  </si>
  <si>
    <t xml:space="preserve">Branco</t>
  </si>
  <si>
    <t xml:space="preserve">Avental</t>
  </si>
  <si>
    <t xml:space="preserve">Avental de cozinheiro - 1,20 x 0,60 m (Tecido Oxford).  Cor: Preta , Características Adicionais: 2 Bolsos Dianteiros, Tamanho: Longo.</t>
  </si>
  <si>
    <t xml:space="preserve">CÁLCULO VALOR DO REPASSE MENSAL ACÚMULO COPEIRA</t>
  </si>
  <si>
    <t xml:space="preserve">Camisa Social</t>
  </si>
  <si>
    <r>
      <rPr>
        <b val="true"/>
        <sz val="10"/>
        <rFont val="Calibri"/>
        <family val="2"/>
        <charset val="1"/>
      </rPr>
      <t xml:space="preserve">Feminino: </t>
    </r>
    <r>
      <rPr>
        <sz val="10"/>
        <rFont val="Calibri"/>
        <family val="2"/>
        <charset val="1"/>
      </rPr>
      <t xml:space="preserve">modelo social, confeccionada em tricoline com elastano, sendo 3% elastano e no mínimo 40% algodão, tecido não transparente. Modelo Gola: Tipo colarinho, com pé de gola, entretelado, pespontada, com um botão para fechamento. Manga longa e punho entretelado, abotoamento com 02 (dois) botões. Um bolso frontal, bainha simples modelo de bico à altura do peito, lado esquerdo, reforços, botão reserva na vista interna; fralda: recortada na direção das costuras laterais e toda embainhada. Frente: Dupla, coberta com o próprio tecido da mesma cor em toda extensão, fechável por botões, sem pence. Traseira: 2 pences. Aviamento e botões na mesma cor do tecido. Etiqueta de composição e instrução de lavagem conforme determinação do INMETRO.                                                                                </t>
    </r>
    <r>
      <rPr>
        <b val="true"/>
        <sz val="10"/>
        <rFont val="Calibri"/>
        <family val="2"/>
        <charset val="1"/>
      </rPr>
      <t xml:space="preserve">Masculino:</t>
    </r>
    <r>
      <rPr>
        <sz val="10"/>
        <rFont val="Calibri"/>
        <family val="2"/>
        <charset val="1"/>
      </rPr>
      <t xml:space="preserve"> modelo social, confeccionada em tecido tricoline 60% poliéster e 40% algodão. Modelo Gola: Tipo colarinho, com pé de gola, entretelado, pespontada, com um botão para fechamento. Manga longa e punho entretelado, abotoamento com 02 (dois) botões. Um bolso frontal, bainha simples modelo de bico à altura do peito, lado esquerdo, reforços, botão reserva na vista interna; fralda: recortada na direção das costuras laterais e toda embainhada. Frente: Dupla, coberta com o próprio tecido da mesma cor em toda extensão, fechável por botões. Aviamento e botões na mesma cor do tecido. Etiqueta de composição e instrução de lavagem conforme determinação do INMETRO.</t>
    </r>
  </si>
  <si>
    <t xml:space="preserve">Calça Social</t>
  </si>
  <si>
    <r>
      <rPr>
        <b val="true"/>
        <sz val="10"/>
        <color rgb="FF000000"/>
        <rFont val="Calibri"/>
        <family val="2"/>
        <charset val="1"/>
      </rPr>
      <t xml:space="preserve">Feminino: </t>
    </r>
    <r>
      <rPr>
        <sz val="10"/>
        <color rgb="FF000000"/>
        <rFont val="Calibri"/>
        <family val="2"/>
        <charset val="1"/>
      </rPr>
      <t xml:space="preserve">Modelo social, confeccionada em tecido Gabardine com elastano (lado interno acetinado), 95% poliéster, 5% elastano, 1ª qualidade ou confeccionada em tecido plano encorpado 74% Poliéster, 20% Viscose, 6% Elastano. Modelo: Sem pregas, com cós alto. Frente: fechável por zíper comum de nylon fino trava automática, com 01(um) botão no cós na cor do tecido para fechamento, e gancho metálico interno. Cós no próprio tecido entretelado com 6 passadores. Traseira: 2 (dois) pences. Barra: Máquina reta. Aviamento e botões na mesma cor do tecido. Etiqueta de composição e identificação do tecido, forro, confecção, tamanho da peça e instruções de lavagem, conforme determinação do INMETRO.                                           </t>
    </r>
    <r>
      <rPr>
        <b val="true"/>
        <sz val="10"/>
        <color rgb="FF000000"/>
        <rFont val="Calibri"/>
        <family val="2"/>
        <charset val="1"/>
      </rPr>
      <t xml:space="preserve">Masculino:</t>
    </r>
    <r>
      <rPr>
        <sz val="10"/>
        <color rgb="FF000000"/>
        <rFont val="Calibri"/>
        <family val="2"/>
        <charset val="1"/>
      </rPr>
      <t xml:space="preserve"> Modelo social, confeccionada em Microfibra 100% poliéster maquinetada, sem pregas, 2 bolsos na frente tipo faca, 2 bolsos traseiros sendo um bolso do lado direito e um do lado esquerdo, embutidos sem portinhola, cerzidos, 1 pinchal em cada, fechamento por caseado e 1 botão. Ziper de nylon 18 cm trava automática; Cós no próprio tecido entretelado, fechável por gancho metálico e 1 botão na extensão, com 8 passantes de 1 cm; forro de bolso: 50% poliéster e 50% algodão na cor do tecido. Aviamento e botões na mesma cor do tecido. Etiqueta de composição e identificação do tecido, forro, confecção, tamanho da peça e instruções de lavagem, conforme determinação do INMETRO.</t>
    </r>
  </si>
  <si>
    <t xml:space="preserve">Sapato social</t>
  </si>
  <si>
    <r>
      <rPr>
        <b val="true"/>
        <sz val="10"/>
        <color rgb="FF000000"/>
        <rFont val="Calibri"/>
        <family val="2"/>
        <charset val="1"/>
      </rPr>
      <t xml:space="preserve">Feminino</t>
    </r>
    <r>
      <rPr>
        <sz val="10"/>
        <color rgb="FF000000"/>
        <rFont val="Calibri"/>
        <family val="2"/>
        <charset val="1"/>
      </rPr>
      <t xml:space="preserve">: Sapatilha Feminina material sintético; sola antiderrapante, confeccionado em couro na cor Preto, palmilha em EVA recoberta com tecido antimicrobiano. Tamanho: Sob Medida                                              </t>
    </r>
    <r>
      <rPr>
        <b val="true"/>
        <sz val="10"/>
        <color rgb="FF000000"/>
        <rFont val="Calibri"/>
        <family val="2"/>
        <charset val="1"/>
      </rPr>
      <t xml:space="preserve">Masculino:</t>
    </r>
    <r>
      <rPr>
        <sz val="10"/>
        <color rgb="FF000000"/>
        <rFont val="Calibri"/>
        <family val="2"/>
        <charset val="1"/>
      </rPr>
      <t xml:space="preserve"> modelo social de couro, tipo esporte fino masculino, cabedal em couro natural, com cadarço, palmilha almofadada acolchoado, contraforte, solado em borracha, costurado e colado, sistema anti-impacto para o joelho e antiderrapante.</t>
    </r>
  </si>
  <si>
    <t xml:space="preserve">CÁLCULO VALOR DO REPASSE MENSAL AUXILIAR ADMINISTRATIVO</t>
  </si>
  <si>
    <t xml:space="preserve">Planilha de Custo e Formação de Preço Mensal Por Categoria Profissional</t>
  </si>
  <si>
    <t xml:space="preserve">COM MATERIAL</t>
  </si>
  <si>
    <t xml:space="preserve">SEM MATERIAL</t>
  </si>
  <si>
    <t xml:space="preserve">CUSTO DE VALE ALIMENTAÇÃO</t>
  </si>
  <si>
    <t xml:space="preserve">CUSTO DE VALE-TRANSPORTE</t>
  </si>
  <si>
    <t xml:space="preserve">CUSTO INSALUBRIDADE</t>
  </si>
  <si>
    <t xml:space="preserve">33390.37.02 - Limpeza e Conservação</t>
  </si>
  <si>
    <t xml:space="preserve">MONTANTE "A" - Mão de Obra</t>
  </si>
  <si>
    <t xml:space="preserve">Função</t>
  </si>
  <si>
    <t xml:space="preserve">Carga Horária Mensal</t>
  </si>
  <si>
    <t xml:space="preserve"> Salário Base</t>
  </si>
  <si>
    <t xml:space="preserve">Adicional de Insalubridade</t>
  </si>
  <si>
    <t xml:space="preserve">Adicional Acúmulo de Função</t>
  </si>
  <si>
    <t xml:space="preserve">TOTAL DA REMUNERAÇÃO</t>
  </si>
  <si>
    <t xml:space="preserve">Encargos sociais e trabalhistas                         </t>
  </si>
  <si>
    <t xml:space="preserve">Total do Montante "A" ( Mão de Obra)</t>
  </si>
  <si>
    <t xml:space="preserve">MONTANTE "B" - INSUMOS</t>
  </si>
  <si>
    <t xml:space="preserve">Itens</t>
  </si>
  <si>
    <t xml:space="preserve">Valores Unitários</t>
  </si>
  <si>
    <t xml:space="preserve">Uniforme</t>
  </si>
  <si>
    <t xml:space="preserve">Seguro de vida  </t>
  </si>
  <si>
    <t xml:space="preserve">Material de Limpeza</t>
  </si>
  <si>
    <t xml:space="preserve">Material de Copa</t>
  </si>
  <si>
    <t xml:space="preserve">Depreciação de Equipamentos</t>
  </si>
  <si>
    <t xml:space="preserve">Total do Montante "B" (Insumos)</t>
  </si>
  <si>
    <t xml:space="preserve">Montante "A" + Montante "B"</t>
  </si>
  <si>
    <t xml:space="preserve">MONTANTE "C" - DEMAIS COMPONENTES</t>
  </si>
  <si>
    <t xml:space="preserve">ITENS</t>
  </si>
  <si>
    <t xml:space="preserve">Percentual</t>
  </si>
  <si>
    <t xml:space="preserve">Despesas administrativas/operacionais</t>
  </si>
  <si>
    <t xml:space="preserve">Base de cálculo do lucro</t>
  </si>
  <si>
    <t xml:space="preserve">Total do Montante "C" (Demais componentes)</t>
  </si>
  <si>
    <t xml:space="preserve">Montante "A" + Montante "B" + Montante "C"</t>
  </si>
  <si>
    <t xml:space="preserve">MONTANTE "D" - TRIBUTOS</t>
  </si>
  <si>
    <t xml:space="preserve">Total do Montante "D" (Tributos)</t>
  </si>
  <si>
    <t xml:space="preserve">FATOR K</t>
  </si>
  <si>
    <t xml:space="preserve">Deslocamento Insalubridade</t>
  </si>
  <si>
    <t xml:space="preserve">Valores Unitarios</t>
  </si>
  <si>
    <t xml:space="preserve">33390.37.01 - Serviços Administrativos</t>
  </si>
  <si>
    <t xml:space="preserve">ANEXO X - PLANILHA DE CUSTO E FORMAÇÃO DE PREÇO MENSAL ESTIMATIVO INTEGRAL - RESUMO</t>
  </si>
  <si>
    <t xml:space="preserve">MÊS: </t>
  </si>
  <si>
    <t xml:space="preserve">VALORES EM R$</t>
  </si>
  <si>
    <t xml:space="preserve">ELEMENTO DE DESPESA</t>
  </si>
  <si>
    <t xml:space="preserve">CATEGORIA PROFISSIONAL</t>
  </si>
  <si>
    <t xml:space="preserve">TOTAL DO FATURAMENTO MENSAL</t>
  </si>
  <si>
    <t xml:space="preserve">CUSTO MENSAL</t>
  </si>
  <si>
    <t xml:space="preserve">GLOSA VALE TRANSPORTE</t>
  </si>
  <si>
    <t xml:space="preserve">GLOSA DE ATRASOS, FALTAS E DESCONTO DO TITULAR EM FÉRIAS (sem material)</t>
  </si>
  <si>
    <t xml:space="preserve">GLOSA VALE ALIMENTAÇÃO</t>
  </si>
  <si>
    <t xml:space="preserve">TOTAL GLOSAS</t>
  </si>
  <si>
    <t xml:space="preserve">ACRÉSCIMO DE INSALUBRIDADE</t>
  </si>
  <si>
    <t xml:space="preserve">Homem-Mês</t>
  </si>
  <si>
    <t xml:space="preserve">Custo Mensal  do vale-transporte da categoria com Encargos</t>
  </si>
  <si>
    <t xml:space="preserve">GLOSA </t>
  </si>
  <si>
    <t xml:space="preserve">Glosa de Atrasos e Faltas</t>
  </si>
  <si>
    <t xml:space="preserve">Desconto Mensal do Titular em Férias sem substituição</t>
  </si>
  <si>
    <t xml:space="preserve">Desconto de Vale Alimentação em recesso forense ou ponto facultativo.</t>
  </si>
  <si>
    <t xml:space="preserve">Total da Glosa de Atrasos, Faltas, Desconto do Titular em Férias sem substituição e Desconto de V.A para recessos.</t>
  </si>
  <si>
    <t xml:space="preserve">PAGAMENTO INSALUBRIDADE EM SUBSTITUIÇÃO</t>
  </si>
  <si>
    <t xml:space="preserve">Custo Unitário da categoria</t>
  </si>
  <si>
    <t xml:space="preserve">Custo Mensal da categoria</t>
  </si>
  <si>
    <t xml:space="preserve">Dias de afastamento</t>
  </si>
  <si>
    <t xml:space="preserve">Valor da Glosa do vale transporte da categoria</t>
  </si>
  <si>
    <t xml:space="preserve">Custo Homem-Mês               (sem material)</t>
  </si>
  <si>
    <t xml:space="preserve">Valor da Glosa de Atrasos e Faltas</t>
  </si>
  <si>
    <t xml:space="preserve">Custo Unitário da categoria Planilha de Férias</t>
  </si>
  <si>
    <t xml:space="preserve">Valor do Desconto Mensal </t>
  </si>
  <si>
    <t xml:space="preserve">Custo Mensal  do vale alimentação da categoria com Encargos</t>
  </si>
  <si>
    <t xml:space="preserve">Dias de Recesso e/ou ponto facultativo</t>
  </si>
  <si>
    <t xml:space="preserve">Valor da Glosa do vale alimentação da categoria</t>
  </si>
  <si>
    <t xml:space="preserve">Valor Insalubridade por dia</t>
  </si>
  <si>
    <t xml:space="preserve">Quantidade de Dias</t>
  </si>
  <si>
    <t xml:space="preserve">Valor Devido</t>
  </si>
  <si>
    <t xml:space="preserve">TOTAL DO FATURAMENTO MENSAL </t>
  </si>
  <si>
    <t xml:space="preserve">Valor para Lance - Registro de oferta</t>
  </si>
  <si>
    <t xml:space="preserve">VALOR DO MATERIAL</t>
  </si>
  <si>
    <t xml:space="preserve">TOTAL DO FATURAMENTO ANUAL</t>
  </si>
  <si>
    <t xml:space="preserve">2. Na célula “R13 ou R14” deverá ser informado a quantidade de dias em que o trabalho insalubre foi realizado por outra servente do quadro, durante as férias da titular.</t>
  </si>
  <si>
    <t xml:space="preserve">ANEXO X - PLANILHA DE CUSTO E FORMAÇÃO DE PREÇO MENSAL ESTIMATIVO DO PROFISSIONAL SUBSTITUTO DO TITULAR EM FÉRIAS </t>
  </si>
  <si>
    <t xml:space="preserve">DESCRIÇÃO </t>
  </si>
  <si>
    <t xml:space="preserve">4.5</t>
  </si>
  <si>
    <t xml:space="preserve">Valor em R$</t>
  </si>
  <si>
    <t xml:space="preserve">Módulo 1 - Total da Remuneração</t>
  </si>
  <si>
    <t xml:space="preserve">A</t>
  </si>
  <si>
    <t xml:space="preserve">G</t>
  </si>
  <si>
    <t xml:space="preserve">Total do Custo MENSAL de Reposição do Profissional Ausente em Férias</t>
  </si>
  <si>
    <t xml:space="preserve">Total do Custo ANUAL de Reposição do Profissional Ausente em Férias</t>
  </si>
  <si>
    <t xml:space="preserve">Módulo 2 - Benefícios Mensais e Diários</t>
  </si>
  <si>
    <t xml:space="preserve">Vale-Alimentação</t>
  </si>
  <si>
    <t xml:space="preserve">B</t>
  </si>
  <si>
    <t xml:space="preserve">Vale-Transporte</t>
  </si>
  <si>
    <t xml:space="preserve">C</t>
  </si>
  <si>
    <t xml:space="preserve">Outros (sem concessão do intervalo intrajornada)</t>
  </si>
  <si>
    <t xml:space="preserve">Total de Benefícios Mensais e Diários</t>
  </si>
  <si>
    <t xml:space="preserve">Módulo 5 - Custos Indiretos, Lucros e Tributos</t>
  </si>
  <si>
    <t xml:space="preserve">Custos Indiretos (Despesas Operacionais e Administrativas)</t>
  </si>
  <si>
    <t xml:space="preserve">Tributos</t>
  </si>
  <si>
    <t xml:space="preserve">C.1</t>
  </si>
  <si>
    <t xml:space="preserve">Tributos Federais (PIS E COFINS)</t>
  </si>
  <si>
    <t xml:space="preserve">C.2</t>
  </si>
  <si>
    <t xml:space="preserve">Tributos Estaduais (especificar)</t>
  </si>
  <si>
    <t xml:space="preserve">C.3</t>
  </si>
  <si>
    <t xml:space="preserve">Tributos Municipais (ISS)</t>
  </si>
  <si>
    <t xml:space="preserve">C.4</t>
  </si>
  <si>
    <t xml:space="preserve">Total dos Custos Indiretos e Tributos</t>
  </si>
  <si>
    <t xml:space="preserve">CUSTO TOTAL DO PROFISSIONAL SUBSTITUTO</t>
  </si>
  <si>
    <t xml:space="preserve">Resumo do Custo Por Empregado Substituto do Titular em Férias</t>
  </si>
  <si>
    <t xml:space="preserve">Mão de Obra Vinculada à Execução Contratual  (Valor Por Empregado)</t>
  </si>
  <si>
    <t xml:space="preserve">Módulo 1 - Composição Remuneração * 12 (Anual)</t>
  </si>
  <si>
    <t xml:space="preserve">Subtotal (A+B)</t>
  </si>
  <si>
    <t xml:space="preserve">E</t>
  </si>
  <si>
    <t xml:space="preserve">Módulo 5 - Custos Indiretos, Tributos e Lucro</t>
  </si>
  <si>
    <t xml:space="preserve">Valor Total Mensal Por Empregado Substituto do Titular em Férias </t>
  </si>
  <si>
    <t xml:space="preserve">Subseção Judiciária de Sete Lagoas</t>
  </si>
  <si>
    <t xml:space="preserve">Período:</t>
  </si>
  <si>
    <t xml:space="preserve">ÍNDICE </t>
  </si>
  <si>
    <t xml:space="preserve">IPCA/ IBGE</t>
  </si>
  <si>
    <t xml:space="preserve">DIAS</t>
  </si>
  <si>
    <t xml:space="preserve">Pró-rata</t>
  </si>
  <si>
    <t xml:space="preserve">VALOR ATUAL</t>
  </si>
  <si>
    <t xml:space="preserve">ANO</t>
  </si>
  <si>
    <t xml:space="preserve">MÊS</t>
  </si>
  <si>
    <t xml:space="preserve">ÍNDICE %</t>
  </si>
  <si>
    <t xml:space="preserve">%</t>
  </si>
  <si>
    <t xml:space="preserve">AGO</t>
  </si>
  <si>
    <t xml:space="preserve">SET</t>
  </si>
  <si>
    <t xml:space="preserve">OUT</t>
  </si>
  <si>
    <t xml:space="preserve">NOV</t>
  </si>
  <si>
    <t xml:space="preserve">DEZ</t>
  </si>
  <si>
    <t xml:space="preserve">JAN</t>
  </si>
  <si>
    <t xml:space="preserve">FEV</t>
  </si>
  <si>
    <t xml:space="preserve">MAR</t>
  </si>
  <si>
    <t xml:space="preserve">ABR</t>
  </si>
  <si>
    <t xml:space="preserve">MAI</t>
  </si>
  <si>
    <t xml:space="preserve">JUN</t>
  </si>
  <si>
    <t xml:space="preserve">JUL</t>
  </si>
  <si>
    <t xml:space="preserve">INDICE ACUMULADO</t>
  </si>
</sst>
</file>

<file path=xl/styles.xml><?xml version="1.0" encoding="utf-8"?>
<styleSheet xmlns="http://schemas.openxmlformats.org/spreadsheetml/2006/main">
  <numFmts count="16">
    <numFmt numFmtId="164" formatCode="General"/>
    <numFmt numFmtId="165" formatCode="General"/>
    <numFmt numFmtId="166" formatCode="0"/>
    <numFmt numFmtId="167" formatCode="0.00"/>
    <numFmt numFmtId="168" formatCode="_-* #,##0.00_-;\-* #,##0.00_-;_-* \-??_-;_-@_-"/>
    <numFmt numFmtId="169" formatCode="_-&quot;R$ &quot;* #,##0.00_-;&quot;-R$ &quot;* #,##0.00_-;_-&quot;R$ &quot;* \-??_-;_-@_-"/>
    <numFmt numFmtId="170" formatCode="#,##0.00"/>
    <numFmt numFmtId="171" formatCode="#,##0_ ;\-#,##0\ "/>
    <numFmt numFmtId="172" formatCode="0.00%"/>
    <numFmt numFmtId="173" formatCode="#,##0"/>
    <numFmt numFmtId="174" formatCode="d/m/yyyy"/>
    <numFmt numFmtId="175" formatCode="0.0000"/>
    <numFmt numFmtId="176" formatCode="0%"/>
    <numFmt numFmtId="177" formatCode="_(* #,##0.00_);_(* \(#,##0.00\);_(* \-??_);_(@_)"/>
    <numFmt numFmtId="178" formatCode="@"/>
    <numFmt numFmtId="179" formatCode="* #,##0.00\ ;* \(#,##0.00\);* \-#\ ;@\ "/>
  </numFmts>
  <fonts count="49">
    <font>
      <sz val="11"/>
      <color rgb="FF000000"/>
      <name val="Calibri"/>
      <family val="2"/>
      <charset val="1"/>
    </font>
    <font>
      <sz val="10"/>
      <name val="Arial"/>
      <family val="0"/>
    </font>
    <font>
      <sz val="10"/>
      <name val="Arial"/>
      <family val="0"/>
    </font>
    <font>
      <sz val="10"/>
      <name val="Arial"/>
      <family val="0"/>
    </font>
    <font>
      <sz val="11"/>
      <name val="Calibri"/>
      <family val="2"/>
      <charset val="1"/>
    </font>
    <font>
      <sz val="10"/>
      <color rgb="FF333333"/>
      <name val="Calibri"/>
      <family val="2"/>
      <charset val="1"/>
    </font>
    <font>
      <b val="true"/>
      <sz val="18"/>
      <name val="Calibri"/>
      <family val="2"/>
      <charset val="1"/>
    </font>
    <font>
      <b val="true"/>
      <sz val="16"/>
      <name val="Calibri"/>
      <family val="2"/>
      <charset val="1"/>
    </font>
    <font>
      <b val="true"/>
      <sz val="11"/>
      <name val="Calibri"/>
      <family val="2"/>
      <charset val="1"/>
    </font>
    <font>
      <sz val="12"/>
      <name val="Calibri"/>
      <family val="2"/>
      <charset val="1"/>
    </font>
    <font>
      <b val="true"/>
      <sz val="10"/>
      <name val="Calibri"/>
      <family val="2"/>
      <charset val="1"/>
    </font>
    <font>
      <b val="true"/>
      <sz val="10"/>
      <color rgb="FFFF0000"/>
      <name val="Calibri"/>
      <family val="2"/>
      <charset val="1"/>
    </font>
    <font>
      <sz val="10"/>
      <name val="Calibri"/>
      <family val="2"/>
      <charset val="1"/>
    </font>
    <font>
      <sz val="9"/>
      <name val="Calibri"/>
      <family val="2"/>
      <charset val="1"/>
    </font>
    <font>
      <sz val="10"/>
      <color rgb="FFFF0000"/>
      <name val="Calibri"/>
      <family val="2"/>
      <charset val="1"/>
    </font>
    <font>
      <sz val="11"/>
      <color rgb="FF808080"/>
      <name val="Calibri"/>
      <family val="2"/>
      <charset val="1"/>
    </font>
    <font>
      <b val="true"/>
      <i val="true"/>
      <u val="single"/>
      <sz val="11"/>
      <name val="Calibri"/>
      <family val="2"/>
      <charset val="1"/>
    </font>
    <font>
      <sz val="11"/>
      <color rgb="FFFF0000"/>
      <name val="Calibri"/>
      <family val="2"/>
      <charset val="1"/>
    </font>
    <font>
      <b val="true"/>
      <u val="single"/>
      <sz val="10"/>
      <name val="Calibri"/>
      <family val="2"/>
      <charset val="1"/>
    </font>
    <font>
      <sz val="10"/>
      <color rgb="FF000000"/>
      <name val="Calibri"/>
      <family val="2"/>
      <charset val="1"/>
    </font>
    <font>
      <sz val="8"/>
      <name val="Calibri"/>
      <family val="2"/>
      <charset val="1"/>
    </font>
    <font>
      <b val="true"/>
      <sz val="12"/>
      <name val="Calibri"/>
      <family val="2"/>
      <charset val="1"/>
    </font>
    <font>
      <sz val="10"/>
      <color rgb="FFFFFFFF"/>
      <name val="Calibri"/>
      <family val="2"/>
      <charset val="1"/>
    </font>
    <font>
      <b val="true"/>
      <sz val="14"/>
      <name val="Calibri"/>
      <family val="2"/>
      <charset val="1"/>
    </font>
    <font>
      <b val="true"/>
      <sz val="11"/>
      <color rgb="FF000000"/>
      <name val="Calibri"/>
      <family val="2"/>
      <charset val="1"/>
    </font>
    <font>
      <b val="true"/>
      <sz val="11"/>
      <color rgb="FFFF0000"/>
      <name val="Calibri"/>
      <family val="2"/>
      <charset val="1"/>
    </font>
    <font>
      <b val="true"/>
      <sz val="12"/>
      <color rgb="FF333333"/>
      <name val="Calibri"/>
      <family val="2"/>
      <charset val="1"/>
    </font>
    <font>
      <b val="true"/>
      <sz val="11"/>
      <color rgb="FF333333"/>
      <name val="Calibri"/>
      <family val="2"/>
      <charset val="1"/>
    </font>
    <font>
      <b val="true"/>
      <sz val="9"/>
      <color rgb="FF333333"/>
      <name val="Calibri"/>
      <family val="2"/>
      <charset val="1"/>
    </font>
    <font>
      <b val="true"/>
      <sz val="9"/>
      <name val="Calibri"/>
      <family val="2"/>
      <charset val="1"/>
    </font>
    <font>
      <b val="true"/>
      <sz val="10"/>
      <color rgb="FF000000"/>
      <name val="Calibri"/>
      <family val="2"/>
      <charset val="1"/>
    </font>
    <font>
      <b val="true"/>
      <sz val="8"/>
      <name val="Calibri"/>
      <family val="2"/>
      <charset val="1"/>
    </font>
    <font>
      <b val="true"/>
      <sz val="9"/>
      <color rgb="FFFF0000"/>
      <name val="Calibri"/>
      <family val="2"/>
      <charset val="1"/>
    </font>
    <font>
      <b val="true"/>
      <sz val="6"/>
      <name val="Calibri"/>
      <family val="2"/>
      <charset val="1"/>
    </font>
    <font>
      <b val="true"/>
      <sz val="12"/>
      <color rgb="FFBFBFBF"/>
      <name val="Calibri"/>
      <family val="2"/>
      <charset val="1"/>
    </font>
    <font>
      <b val="true"/>
      <sz val="10"/>
      <color rgb="FFC00000"/>
      <name val="Calibri"/>
      <family val="2"/>
      <charset val="1"/>
    </font>
    <font>
      <b val="true"/>
      <sz val="7"/>
      <name val="Calibri"/>
      <family val="2"/>
      <charset val="1"/>
    </font>
    <font>
      <sz val="10"/>
      <color rgb="FFC00000"/>
      <name val="Calibri"/>
      <family val="2"/>
      <charset val="1"/>
    </font>
    <font>
      <sz val="10"/>
      <color rgb="FF000000"/>
      <name val="Times New Roman"/>
      <family val="1"/>
      <charset val="1"/>
    </font>
    <font>
      <b val="true"/>
      <sz val="12"/>
      <name val="Times New Roman"/>
      <family val="1"/>
      <charset val="1"/>
    </font>
    <font>
      <b val="true"/>
      <sz val="28"/>
      <name val="Calibri"/>
      <family val="2"/>
      <charset val="1"/>
    </font>
    <font>
      <b val="true"/>
      <sz val="26"/>
      <name val="Calibri"/>
      <family val="2"/>
      <charset val="1"/>
    </font>
    <font>
      <sz val="14"/>
      <name val="Calibri"/>
      <family val="2"/>
      <charset val="1"/>
    </font>
    <font>
      <b val="true"/>
      <sz val="12.5"/>
      <name val="Calibri"/>
      <family val="2"/>
      <charset val="1"/>
    </font>
    <font>
      <b val="true"/>
      <sz val="12"/>
      <color rgb="FF000000"/>
      <name val="Calibri"/>
      <family val="2"/>
      <charset val="1"/>
    </font>
    <font>
      <b val="true"/>
      <sz val="9"/>
      <color rgb="FF000000"/>
      <name val="Calibri"/>
      <family val="2"/>
      <charset val="1"/>
    </font>
    <font>
      <b val="true"/>
      <sz val="10"/>
      <color rgb="FFFFFFFF"/>
      <name val="Calibri"/>
      <family val="2"/>
      <charset val="1"/>
    </font>
    <font>
      <sz val="10"/>
      <name val="Times New Roman"/>
      <family val="1"/>
      <charset val="1"/>
    </font>
    <font>
      <b val="true"/>
      <sz val="8"/>
      <color rgb="FFFF0000"/>
      <name val="Calibri"/>
      <family val="2"/>
      <charset val="1"/>
    </font>
  </fonts>
  <fills count="21">
    <fill>
      <patternFill patternType="none"/>
    </fill>
    <fill>
      <patternFill patternType="gray125"/>
    </fill>
    <fill>
      <patternFill patternType="solid">
        <fgColor rgb="FFFFFF99"/>
        <bgColor rgb="FFFFFFCC"/>
      </patternFill>
    </fill>
    <fill>
      <patternFill patternType="solid">
        <fgColor rgb="FFF8CBAD"/>
        <bgColor rgb="FFFFC7CE"/>
      </patternFill>
    </fill>
    <fill>
      <patternFill patternType="solid">
        <fgColor rgb="FFFFFFCC"/>
        <bgColor rgb="FFFFF2CC"/>
      </patternFill>
    </fill>
    <fill>
      <patternFill patternType="solid">
        <fgColor rgb="FFDCE6F2"/>
        <bgColor rgb="FFDEEBF7"/>
      </patternFill>
    </fill>
    <fill>
      <patternFill patternType="solid">
        <fgColor rgb="FFF2DCDB"/>
        <bgColor rgb="FFD9D9D9"/>
      </patternFill>
    </fill>
    <fill>
      <patternFill patternType="solid">
        <fgColor rgb="FF606060"/>
        <bgColor rgb="FF595959"/>
      </patternFill>
    </fill>
    <fill>
      <patternFill patternType="solid">
        <fgColor rgb="FFFFFFFF"/>
        <bgColor rgb="FFF2F2F2"/>
      </patternFill>
    </fill>
    <fill>
      <patternFill patternType="solid">
        <fgColor rgb="FFF2F2F2"/>
        <bgColor rgb="FFDEEBF7"/>
      </patternFill>
    </fill>
    <fill>
      <patternFill patternType="solid">
        <fgColor rgb="FF3366CC"/>
        <bgColor rgb="FF0066CC"/>
      </patternFill>
    </fill>
    <fill>
      <patternFill patternType="solid">
        <fgColor rgb="FFD9D9D9"/>
        <bgColor rgb="FFDCE6F2"/>
      </patternFill>
    </fill>
    <fill>
      <patternFill patternType="solid">
        <fgColor theme="1" tint="0.3499"/>
        <bgColor rgb="FF606060"/>
      </patternFill>
    </fill>
    <fill>
      <patternFill patternType="solid">
        <fgColor rgb="FFDEEBF7"/>
        <bgColor rgb="FFDCE6F2"/>
      </patternFill>
    </fill>
    <fill>
      <patternFill patternType="solid">
        <fgColor rgb="FF10243E"/>
        <bgColor rgb="FF333333"/>
      </patternFill>
    </fill>
    <fill>
      <patternFill patternType="solid">
        <fgColor rgb="FFBDD7EE"/>
        <bgColor rgb="FFD9D9D9"/>
      </patternFill>
    </fill>
    <fill>
      <patternFill patternType="solid">
        <fgColor rgb="FFC0C0C0"/>
        <bgColor rgb="FFBFBFBF"/>
      </patternFill>
    </fill>
    <fill>
      <patternFill patternType="solid">
        <fgColor rgb="FFFFF2CC"/>
        <bgColor rgb="FFFFFFCC"/>
      </patternFill>
    </fill>
    <fill>
      <patternFill patternType="solid">
        <fgColor rgb="FFADB9CA"/>
        <bgColor rgb="FFBFBFBF"/>
      </patternFill>
    </fill>
    <fill>
      <patternFill patternType="solid">
        <fgColor rgb="FF00B0F0"/>
        <bgColor rgb="FF33CCCC"/>
      </patternFill>
    </fill>
    <fill>
      <patternFill patternType="solid">
        <fgColor rgb="FF808080"/>
        <bgColor rgb="FF969696"/>
      </patternFill>
    </fill>
  </fills>
  <borders count="72">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thin"/>
      <right style="thin"/>
      <top style="thin"/>
      <bottom style="thin"/>
      <diagonal/>
    </border>
    <border diagonalUp="false" diagonalDown="false">
      <left style="medium"/>
      <right style="thin"/>
      <top style="medium"/>
      <bottom style="medium"/>
      <diagonal/>
    </border>
    <border diagonalUp="false" diagonalDown="false">
      <left style="thin"/>
      <right/>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medium"/>
      <right style="medium"/>
      <top style="medium"/>
      <bottom style="medium"/>
      <diagonal/>
    </border>
    <border diagonalUp="false" diagonalDown="false">
      <left/>
      <right style="thin"/>
      <top style="medium"/>
      <bottom style="medium"/>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top/>
      <bottom style="thin"/>
      <diagonal/>
    </border>
    <border diagonalUp="false" diagonalDown="false">
      <left style="thin"/>
      <right style="medium"/>
      <top/>
      <bottom style="thin"/>
      <diagonal/>
    </border>
    <border diagonalUp="false" diagonalDown="false">
      <left style="medium"/>
      <right style="medium"/>
      <top/>
      <bottom style="thin"/>
      <diagonal/>
    </border>
    <border diagonalUp="false" diagonalDown="false">
      <left/>
      <right style="thin"/>
      <top/>
      <bottom style="thin"/>
      <diagonal/>
    </border>
    <border diagonalUp="false" diagonalDown="false">
      <left style="medium"/>
      <right style="thin"/>
      <top style="thin"/>
      <bottom style="thin"/>
      <diagonal/>
    </border>
    <border diagonalUp="false" diagonalDown="false">
      <left style="thin"/>
      <right/>
      <top style="thin"/>
      <bottom style="thin"/>
      <diagonal/>
    </border>
    <border diagonalUp="false" diagonalDown="false">
      <left style="thin"/>
      <right style="medium"/>
      <top style="thin"/>
      <bottom style="thin"/>
      <diagonal/>
    </border>
    <border diagonalUp="false" diagonalDown="false">
      <left style="medium"/>
      <right style="medium"/>
      <top style="thin"/>
      <bottom style="thin"/>
      <diagonal/>
    </border>
    <border diagonalUp="false" diagonalDown="false">
      <left/>
      <right style="thin"/>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top style="thin"/>
      <bottom style="medium"/>
      <diagonal/>
    </border>
    <border diagonalUp="false" diagonalDown="false">
      <left style="thin"/>
      <right style="medium"/>
      <top style="thin"/>
      <bottom style="medium"/>
      <diagonal/>
    </border>
    <border diagonalUp="false" diagonalDown="false">
      <left style="medium"/>
      <right style="medium"/>
      <top style="thin"/>
      <bottom style="medium"/>
      <diagonal/>
    </border>
    <border diagonalUp="false" diagonalDown="false">
      <left style="thin"/>
      <right/>
      <top/>
      <bottom style="medium"/>
      <diagonal/>
    </border>
    <border diagonalUp="false" diagonalDown="false">
      <left style="medium"/>
      <right style="thin"/>
      <top/>
      <bottom style="medium"/>
      <diagonal/>
    </border>
    <border diagonalUp="false" diagonalDown="false">
      <left style="thin"/>
      <right style="medium"/>
      <top/>
      <bottom style="medium"/>
      <diagonal/>
    </border>
    <border diagonalUp="false" diagonalDown="false">
      <left/>
      <right style="thin"/>
      <top style="thin"/>
      <bottom style="medium"/>
      <diagonal/>
    </border>
    <border diagonalUp="false" diagonalDown="false">
      <left/>
      <right/>
      <top style="thin"/>
      <botto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medium"/>
      <top style="medium"/>
      <bottom style="thin"/>
      <diagonal/>
    </border>
    <border diagonalUp="false" diagonalDown="false">
      <left style="medium"/>
      <right style="medium"/>
      <top style="medium"/>
      <bottom/>
      <diagonal/>
    </border>
    <border diagonalUp="false" diagonalDown="false">
      <left style="medium"/>
      <right/>
      <top style="thin"/>
      <bottom style="thin"/>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right/>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right/>
      <top/>
      <bottom style="thin"/>
      <diagonal/>
    </border>
    <border diagonalUp="false" diagonalDown="false">
      <left/>
      <right style="thin"/>
      <top style="medium"/>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medium"/>
      <top style="thin"/>
      <bottom style="thin"/>
      <diagonal/>
    </border>
    <border diagonalUp="false" diagonalDown="false">
      <left style="medium"/>
      <right style="thin"/>
      <top style="thin"/>
      <bottom/>
      <diagonal/>
    </border>
    <border diagonalUp="false" diagonalDown="false">
      <left style="medium"/>
      <right style="medium"/>
      <top/>
      <bottom style="medium"/>
      <diagonal/>
    </border>
    <border diagonalUp="false" diagonalDown="false">
      <left style="medium"/>
      <right/>
      <top style="thin"/>
      <bottom/>
      <diagonal/>
    </border>
    <border diagonalUp="false" diagonalDown="false">
      <left/>
      <right style="medium"/>
      <top style="thin"/>
      <bottom/>
      <diagonal/>
    </border>
    <border diagonalUp="false" diagonalDown="false">
      <left style="thin"/>
      <right style="thin"/>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top style="thin"/>
      <bottom style="medium"/>
      <diagonal/>
    </border>
    <border diagonalUp="false" diagonalDown="false">
      <left style="thin"/>
      <right/>
      <top style="thin"/>
      <bottom/>
      <diagonal/>
    </border>
    <border diagonalUp="false" diagonalDown="false">
      <left style="thin"/>
      <right style="medium"/>
      <top style="thin"/>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style="thin"/>
      <right style="thin"/>
      <top/>
      <bottom style="medium"/>
      <diagonal/>
    </border>
    <border diagonalUp="false" diagonalDown="false">
      <left style="thin"/>
      <right style="medium"/>
      <top/>
      <bottom/>
      <diagonal/>
    </border>
    <border diagonalUp="false" diagonalDown="false">
      <left style="medium"/>
      <right style="medium"/>
      <top style="thin"/>
      <bottom/>
      <diagonal/>
    </border>
    <border diagonalUp="false" diagonalDown="false">
      <left/>
      <right style="medium"/>
      <top style="medium"/>
      <bottom style="medium"/>
      <diagonal/>
    </border>
    <border diagonalUp="false" diagonalDown="false">
      <left style="medium"/>
      <right/>
      <top style="medium"/>
      <bottom style="thin"/>
      <diagonal/>
    </border>
    <border diagonalUp="false" diagonalDown="false">
      <left style="medium"/>
      <right style="thin"/>
      <top style="medium"/>
      <bottom/>
      <diagonal/>
    </border>
    <border diagonalUp="false" diagonalDown="false">
      <left/>
      <right style="thin"/>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right style="thin"/>
      <top/>
      <bottom style="mediu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169"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176" fontId="0" fillId="0" borderId="0" applyFont="true" applyBorder="false" applyAlignment="true" applyProtection="false">
      <alignment horizontal="general" vertical="bottom" textRotation="0" wrapText="false" indent="0" shrinkToFit="false"/>
    </xf>
    <xf numFmtId="179" fontId="47" fillId="0" borderId="0" applyFont="true" applyBorder="false" applyAlignment="true" applyProtection="false">
      <alignment horizontal="general" vertical="bottom" textRotation="0" wrapText="false" indent="0" shrinkToFit="false"/>
    </xf>
  </cellStyleXfs>
  <cellXfs count="67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5" fontId="5" fillId="0" borderId="2"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4" fillId="0" borderId="3" xfId="0" applyFont="true" applyBorder="true" applyAlignment="true" applyProtection="false">
      <alignment horizontal="general" vertical="top" textRotation="0" wrapText="false" indent="0" shrinkToFit="false"/>
      <protection locked="true" hidden="false"/>
    </xf>
    <xf numFmtId="165" fontId="5" fillId="0"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center" vertical="top" textRotation="0" wrapText="fals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4" fontId="4" fillId="0" borderId="0" xfId="0" applyFont="true" applyBorder="false" applyAlignment="true" applyProtection="false">
      <alignment horizontal="center" vertical="top"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5" fontId="5" fillId="0" borderId="0" xfId="0" applyFont="true" applyBorder="false" applyAlignment="true" applyProtection="false">
      <alignment horizontal="left" vertical="top" textRotation="0" wrapText="false" indent="0" shrinkToFit="false"/>
      <protection locked="true" hidden="false"/>
    </xf>
    <xf numFmtId="164" fontId="7" fillId="2" borderId="4" xfId="0" applyFont="true" applyBorder="true" applyAlignment="true" applyProtection="false">
      <alignment horizontal="center" vertical="center" textRotation="0" wrapText="true" indent="0" shrinkToFit="false"/>
      <protection locked="true" hidden="false"/>
    </xf>
    <xf numFmtId="164" fontId="8" fillId="2" borderId="4"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5" fontId="4" fillId="0" borderId="4" xfId="0" applyFont="true" applyBorder="true" applyAlignment="true" applyProtection="false">
      <alignment horizontal="center" vertical="center" textRotation="0" wrapText="false" indent="0" shrinkToFit="false"/>
      <protection locked="true" hidden="false"/>
    </xf>
    <xf numFmtId="164" fontId="10" fillId="3" borderId="5" xfId="0" applyFont="true" applyBorder="true" applyAlignment="true" applyProtection="false">
      <alignment horizontal="center" vertical="center" textRotation="0" wrapText="true" indent="0" shrinkToFit="false"/>
      <protection locked="true" hidden="false"/>
    </xf>
    <xf numFmtId="164" fontId="12" fillId="3" borderId="6" xfId="0" applyFont="true" applyBorder="true" applyAlignment="true" applyProtection="false">
      <alignment horizontal="center" vertical="center" textRotation="0" wrapText="true" indent="0" shrinkToFit="false"/>
      <protection locked="true" hidden="false"/>
    </xf>
    <xf numFmtId="164" fontId="12" fillId="3" borderId="5" xfId="0" applyFont="true" applyBorder="true" applyAlignment="true" applyProtection="false">
      <alignment horizontal="center" vertical="center" textRotation="0" wrapText="true" indent="0" shrinkToFit="false"/>
      <protection locked="true" hidden="false"/>
    </xf>
    <xf numFmtId="164" fontId="12" fillId="3" borderId="7" xfId="0" applyFont="true" applyBorder="true" applyAlignment="true" applyProtection="false">
      <alignment horizontal="center" vertical="center" textRotation="0" wrapText="true" indent="0" shrinkToFit="false"/>
      <protection locked="true" hidden="false"/>
    </xf>
    <xf numFmtId="164" fontId="12" fillId="3" borderId="8" xfId="0" applyFont="true" applyBorder="true" applyAlignment="true" applyProtection="false">
      <alignment horizontal="center" vertical="center" textRotation="0" wrapText="true" indent="0" shrinkToFit="false"/>
      <protection locked="true" hidden="false"/>
    </xf>
    <xf numFmtId="164" fontId="12" fillId="3" borderId="9" xfId="0" applyFont="true" applyBorder="true" applyAlignment="true" applyProtection="false">
      <alignment horizontal="center" vertical="center" textRotation="0" wrapText="true" indent="0" shrinkToFit="false"/>
      <protection locked="true" hidden="false"/>
    </xf>
    <xf numFmtId="164" fontId="13" fillId="3" borderId="9" xfId="0" applyFont="true" applyBorder="true" applyAlignment="true" applyProtection="false">
      <alignment horizontal="center" vertical="center" textRotation="0" wrapText="true" indent="0" shrinkToFit="false"/>
      <protection locked="true" hidden="false"/>
    </xf>
    <xf numFmtId="164" fontId="12" fillId="3" borderId="10" xfId="0" applyFont="true" applyBorder="true" applyAlignment="true" applyProtection="false">
      <alignment horizontal="center" vertical="center" textRotation="0" wrapText="true" indent="0" shrinkToFit="false"/>
      <protection locked="true" hidden="false"/>
    </xf>
    <xf numFmtId="164" fontId="8" fillId="4" borderId="8" xfId="0" applyFont="true" applyBorder="true" applyAlignment="true" applyProtection="false">
      <alignment horizontal="center" vertical="center" textRotation="0" wrapText="true" indent="0" shrinkToFit="false"/>
      <protection locked="true" hidden="false"/>
    </xf>
    <xf numFmtId="164" fontId="10" fillId="5" borderId="11" xfId="0" applyFont="true" applyBorder="true" applyAlignment="true" applyProtection="false">
      <alignment horizontal="center" vertical="center" textRotation="0" wrapText="true" indent="0" shrinkToFit="false"/>
      <protection locked="true" hidden="false"/>
    </xf>
    <xf numFmtId="164" fontId="10" fillId="5" borderId="12" xfId="0" applyFont="true" applyBorder="true" applyAlignment="true" applyProtection="false">
      <alignment horizontal="center" vertical="center" textRotation="0" wrapText="true" indent="0" shrinkToFit="false"/>
      <protection locked="true" hidden="false"/>
    </xf>
    <xf numFmtId="164" fontId="10" fillId="5" borderId="13" xfId="0" applyFont="true" applyBorder="true" applyAlignment="true" applyProtection="false">
      <alignment horizontal="center" vertical="center" textRotation="0" wrapText="true" indent="0" shrinkToFit="false"/>
      <protection locked="true" hidden="false"/>
    </xf>
    <xf numFmtId="164" fontId="10" fillId="5" borderId="14" xfId="0" applyFont="true" applyBorder="true" applyAlignment="true" applyProtection="false">
      <alignment horizontal="center" vertical="center" textRotation="0" wrapText="true" indent="0" shrinkToFit="false"/>
      <protection locked="true" hidden="false"/>
    </xf>
    <xf numFmtId="164" fontId="10" fillId="5" borderId="15" xfId="0" applyFont="true" applyBorder="true" applyAlignment="true" applyProtection="false">
      <alignment horizontal="center" vertical="center" textRotation="0" wrapText="true" indent="0" shrinkToFit="false"/>
      <protection locked="true" hidden="false"/>
    </xf>
    <xf numFmtId="164" fontId="10" fillId="5" borderId="16" xfId="0" applyFont="true" applyBorder="true" applyAlignment="true" applyProtection="false">
      <alignment horizontal="center" vertical="center" textRotation="0" wrapText="true" indent="0" shrinkToFit="false"/>
      <protection locked="true" hidden="false"/>
    </xf>
    <xf numFmtId="166" fontId="12" fillId="0" borderId="17" xfId="0" applyFont="true" applyBorder="true" applyAlignment="true" applyProtection="false">
      <alignment horizontal="center" vertical="center" textRotation="0" wrapText="false" indent="0" shrinkToFit="false"/>
      <protection locked="true" hidden="false"/>
    </xf>
    <xf numFmtId="165" fontId="12" fillId="0" borderId="4" xfId="0" applyFont="true" applyBorder="true" applyAlignment="true" applyProtection="false">
      <alignment horizontal="general" vertical="center" textRotation="0" wrapText="false" indent="0" shrinkToFit="false"/>
      <protection locked="true" hidden="false"/>
    </xf>
    <xf numFmtId="166" fontId="12" fillId="0" borderId="4" xfId="0" applyFont="true" applyBorder="true" applyAlignment="true" applyProtection="false">
      <alignment horizontal="center" vertical="center" textRotation="0" wrapText="false" indent="0" shrinkToFit="false"/>
      <protection locked="true" hidden="false"/>
    </xf>
    <xf numFmtId="164" fontId="14" fillId="6" borderId="18" xfId="0" applyFont="true" applyBorder="true" applyAlignment="true" applyProtection="true">
      <alignment horizontal="center" vertical="center" textRotation="0" wrapText="false" indent="0" shrinkToFit="false"/>
      <protection locked="false" hidden="false"/>
    </xf>
    <xf numFmtId="164" fontId="14" fillId="6" borderId="4" xfId="0" applyFont="true" applyBorder="true" applyAlignment="true" applyProtection="true">
      <alignment horizontal="center" vertical="center" textRotation="0" wrapText="false" indent="0" shrinkToFit="false"/>
      <protection locked="false" hidden="false"/>
    </xf>
    <xf numFmtId="167" fontId="14" fillId="6" borderId="17" xfId="0" applyFont="true" applyBorder="true" applyAlignment="true" applyProtection="true">
      <alignment horizontal="center" vertical="center" textRotation="0" wrapText="false" indent="0" shrinkToFit="false"/>
      <protection locked="false" hidden="false"/>
    </xf>
    <xf numFmtId="167" fontId="12" fillId="0" borderId="19" xfId="0" applyFont="true" applyBorder="true" applyAlignment="true" applyProtection="false">
      <alignment horizontal="center" vertical="center" textRotation="0" wrapText="false" indent="0" shrinkToFit="false"/>
      <protection locked="true" hidden="false"/>
    </xf>
    <xf numFmtId="164" fontId="14" fillId="6" borderId="20" xfId="0" applyFont="true" applyBorder="true" applyAlignment="true" applyProtection="true">
      <alignment horizontal="center" vertical="center" textRotation="0" wrapText="false" indent="0" shrinkToFit="false"/>
      <protection locked="false" hidden="false"/>
    </xf>
    <xf numFmtId="168" fontId="15" fillId="7" borderId="20" xfId="0" applyFont="true" applyBorder="true" applyAlignment="true" applyProtection="false">
      <alignment horizontal="center" vertical="center" textRotation="0" wrapText="false" indent="0" shrinkToFit="false"/>
      <protection locked="true" hidden="false"/>
    </xf>
    <xf numFmtId="168" fontId="12" fillId="0" borderId="21" xfId="0" applyFont="true" applyBorder="true" applyAlignment="true" applyProtection="false">
      <alignment horizontal="center" vertical="center" textRotation="0" wrapText="false" indent="0" shrinkToFit="false"/>
      <protection locked="true" hidden="false"/>
    </xf>
    <xf numFmtId="168" fontId="15" fillId="7" borderId="4" xfId="0" applyFont="true" applyBorder="true" applyAlignment="true" applyProtection="false">
      <alignment horizontal="center" vertical="center" textRotation="0" wrapText="false" indent="0" shrinkToFit="false"/>
      <protection locked="true" hidden="false"/>
    </xf>
    <xf numFmtId="169" fontId="12" fillId="0" borderId="4" xfId="0" applyFont="true" applyBorder="true" applyAlignment="true" applyProtection="false">
      <alignment horizontal="center" vertical="center" textRotation="0" wrapText="false" indent="0" shrinkToFit="false"/>
      <protection locked="true" hidden="false"/>
    </xf>
    <xf numFmtId="170" fontId="12" fillId="0" borderId="19" xfId="0" applyFont="true" applyBorder="true" applyAlignment="true" applyProtection="false">
      <alignment horizontal="general" vertical="center" textRotation="0" wrapText="false" indent="0" shrinkToFit="false"/>
      <protection locked="true" hidden="false"/>
    </xf>
    <xf numFmtId="165" fontId="12" fillId="0" borderId="4" xfId="0" applyFont="true" applyBorder="true" applyAlignment="true" applyProtection="false">
      <alignment horizontal="center" vertical="center" textRotation="0" wrapText="false" indent="0" shrinkToFit="false"/>
      <protection locked="true" hidden="false"/>
    </xf>
    <xf numFmtId="169" fontId="12" fillId="0" borderId="4" xfId="17" applyFont="true" applyBorder="true" applyAlignment="true" applyProtection="true">
      <alignment horizontal="center" vertical="center" textRotation="0" wrapText="false" indent="0" shrinkToFit="false"/>
      <protection locked="true" hidden="false"/>
    </xf>
    <xf numFmtId="169" fontId="12" fillId="0" borderId="19" xfId="17" applyFont="true" applyBorder="true" applyAlignment="true" applyProtection="true">
      <alignment horizontal="center" vertical="center" textRotation="0" wrapText="false" indent="0" shrinkToFit="false"/>
      <protection locked="true" hidden="false"/>
    </xf>
    <xf numFmtId="165" fontId="12" fillId="0" borderId="21" xfId="0" applyFont="true" applyBorder="true" applyAlignment="true" applyProtection="false">
      <alignment horizontal="center" vertical="center" textRotation="0" wrapText="false" indent="0" shrinkToFit="false"/>
      <protection locked="true" hidden="false"/>
    </xf>
    <xf numFmtId="166" fontId="12" fillId="0" borderId="22" xfId="0" applyFont="true" applyBorder="true" applyAlignment="true" applyProtection="false">
      <alignment horizontal="center" vertical="center" textRotation="0" wrapText="false" indent="0" shrinkToFit="false"/>
      <protection locked="true" hidden="false"/>
    </xf>
    <xf numFmtId="166" fontId="12" fillId="0" borderId="23" xfId="0" applyFont="true" applyBorder="true" applyAlignment="true" applyProtection="false">
      <alignment horizontal="center" vertical="center" textRotation="0" wrapText="false" indent="0" shrinkToFit="false"/>
      <protection locked="true" hidden="false"/>
    </xf>
    <xf numFmtId="164" fontId="14" fillId="6" borderId="23" xfId="0" applyFont="true" applyBorder="true" applyAlignment="true" applyProtection="true">
      <alignment horizontal="center" vertical="center" textRotation="0" wrapText="false" indent="0" shrinkToFit="false"/>
      <protection locked="false" hidden="false"/>
    </xf>
    <xf numFmtId="164" fontId="14" fillId="6" borderId="24" xfId="0" applyFont="true" applyBorder="true" applyAlignment="true" applyProtection="true">
      <alignment horizontal="center" vertical="center" textRotation="0" wrapText="false" indent="0" shrinkToFit="false"/>
      <protection locked="false" hidden="false"/>
    </xf>
    <xf numFmtId="167" fontId="14" fillId="6" borderId="22" xfId="0" applyFont="true" applyBorder="true" applyAlignment="true" applyProtection="true">
      <alignment horizontal="center" vertical="center" textRotation="0" wrapText="false" indent="0" shrinkToFit="false"/>
      <protection locked="false" hidden="false"/>
    </xf>
    <xf numFmtId="167" fontId="12" fillId="0" borderId="25" xfId="0" applyFont="true" applyBorder="true" applyAlignment="true" applyProtection="false">
      <alignment horizontal="center" vertical="center" textRotation="0" wrapText="false" indent="0" shrinkToFit="false"/>
      <protection locked="true" hidden="false"/>
    </xf>
    <xf numFmtId="164" fontId="14" fillId="6" borderId="26" xfId="0" applyFont="true" applyBorder="true" applyAlignment="true" applyProtection="true">
      <alignment horizontal="center" vertical="center" textRotation="0" wrapText="false" indent="0" shrinkToFit="false"/>
      <protection locked="false" hidden="false"/>
    </xf>
    <xf numFmtId="164" fontId="10" fillId="5" borderId="22" xfId="0" applyFont="true" applyBorder="true" applyAlignment="true" applyProtection="false">
      <alignment horizontal="center" vertical="center" textRotation="0" wrapText="true" indent="0" shrinkToFit="false"/>
      <protection locked="true" hidden="false"/>
    </xf>
    <xf numFmtId="165" fontId="10" fillId="5" borderId="27" xfId="0" applyFont="true" applyBorder="true" applyAlignment="true" applyProtection="false">
      <alignment horizontal="center" vertical="center" textRotation="0" wrapText="false" indent="0" shrinkToFit="false"/>
      <protection locked="true" hidden="false"/>
    </xf>
    <xf numFmtId="164" fontId="10" fillId="5" borderId="28" xfId="0" applyFont="true" applyBorder="true" applyAlignment="true" applyProtection="false">
      <alignment horizontal="center" vertical="center" textRotation="0" wrapText="false" indent="0" shrinkToFit="false"/>
      <protection locked="true" hidden="false"/>
    </xf>
    <xf numFmtId="170" fontId="10" fillId="5" borderId="29" xfId="0" applyFont="true" applyBorder="true" applyAlignment="true" applyProtection="false">
      <alignment horizontal="center" vertical="center" textRotation="0" wrapText="false" indent="0" shrinkToFit="false"/>
      <protection locked="true" hidden="false"/>
    </xf>
    <xf numFmtId="165" fontId="10" fillId="5" borderId="9" xfId="0" applyFont="true" applyBorder="true" applyAlignment="true" applyProtection="false">
      <alignment horizontal="center" vertical="center" textRotation="0" wrapText="false" indent="0" shrinkToFit="false"/>
      <protection locked="true" hidden="false"/>
    </xf>
    <xf numFmtId="165" fontId="10" fillId="5" borderId="26" xfId="0" applyFont="true" applyBorder="true" applyAlignment="true" applyProtection="false">
      <alignment horizontal="center" vertical="center" textRotation="0" wrapText="false" indent="0" shrinkToFit="false"/>
      <protection locked="true" hidden="false"/>
    </xf>
    <xf numFmtId="165" fontId="10" fillId="5" borderId="30" xfId="0" applyFont="true" applyBorder="true" applyAlignment="true" applyProtection="false">
      <alignment horizontal="center" vertical="center" textRotation="0" wrapText="false" indent="0" shrinkToFit="false"/>
      <protection locked="true" hidden="false"/>
    </xf>
    <xf numFmtId="165" fontId="10" fillId="5" borderId="23" xfId="0" applyFont="true" applyBorder="true" applyAlignment="true" applyProtection="false">
      <alignment horizontal="center" vertical="center" textRotation="0" wrapText="false" indent="0" shrinkToFit="false"/>
      <protection locked="true" hidden="false"/>
    </xf>
    <xf numFmtId="165" fontId="10" fillId="5" borderId="25" xfId="0" applyFont="true" applyBorder="true" applyAlignment="true" applyProtection="false">
      <alignment horizontal="center" vertical="center" textRotation="0" wrapText="false" indent="0" shrinkToFit="false"/>
      <protection locked="true" hidden="false"/>
    </xf>
    <xf numFmtId="164" fontId="10" fillId="5" borderId="22" xfId="0" applyFont="true" applyBorder="true" applyAlignment="true" applyProtection="false">
      <alignment horizontal="general" vertical="center"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0" fillId="5" borderId="4"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true">
      <alignment horizontal="center" vertical="center" textRotation="0" wrapText="false" indent="0" shrinkToFit="false"/>
      <protection locked="false" hidden="false"/>
    </xf>
    <xf numFmtId="167" fontId="12" fillId="0" borderId="4" xfId="0" applyFont="true" applyBorder="true" applyAlignment="true" applyProtection="true">
      <alignment horizontal="center" vertical="center" textRotation="0" wrapText="false" indent="0" shrinkToFit="false"/>
      <protection locked="false" hidden="false"/>
    </xf>
    <xf numFmtId="164" fontId="12" fillId="0" borderId="31" xfId="0" applyFont="true" applyBorder="true" applyAlignment="true" applyProtection="false">
      <alignment horizontal="left" vertical="center" textRotation="0" wrapText="true" indent="0" shrinkToFit="false"/>
      <protection locked="true" hidden="false"/>
    </xf>
    <xf numFmtId="169" fontId="4" fillId="0" borderId="0" xfId="17" applyFont="true" applyBorder="true" applyAlignment="true" applyProtection="true">
      <alignment horizontal="left"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0" fillId="5" borderId="32" xfId="0" applyFont="true" applyBorder="true" applyAlignment="true" applyProtection="false">
      <alignment horizontal="center" vertical="center" textRotation="0" wrapText="true" indent="0" shrinkToFit="false"/>
      <protection locked="true" hidden="false"/>
    </xf>
    <xf numFmtId="164" fontId="10" fillId="5" borderId="33" xfId="0" applyFont="true" applyBorder="true" applyAlignment="true" applyProtection="false">
      <alignment horizontal="center" vertical="center" textRotation="0" wrapText="true" indent="0" shrinkToFit="false"/>
      <protection locked="true" hidden="false"/>
    </xf>
    <xf numFmtId="164" fontId="10" fillId="5" borderId="34" xfId="0" applyFont="true" applyBorder="true" applyAlignment="true" applyProtection="false">
      <alignment horizontal="center" vertical="center" textRotation="0" wrapText="true" indent="0" shrinkToFit="false"/>
      <protection locked="true" hidden="false"/>
    </xf>
    <xf numFmtId="164" fontId="18" fillId="4" borderId="35" xfId="0" applyFont="true" applyBorder="true" applyAlignment="true" applyProtection="false">
      <alignment horizontal="center" vertical="center" textRotation="0" wrapText="true" indent="0" shrinkToFit="false"/>
      <protection locked="true" hidden="false"/>
    </xf>
    <xf numFmtId="164" fontId="10" fillId="5" borderId="36" xfId="0" applyFont="true" applyBorder="true" applyAlignment="true" applyProtection="false">
      <alignment horizontal="center" vertical="center" textRotation="0" wrapText="true" indent="0" shrinkToFit="false"/>
      <protection locked="true" hidden="false"/>
    </xf>
    <xf numFmtId="164" fontId="10" fillId="5" borderId="19" xfId="0" applyFont="true" applyBorder="true" applyAlignment="true" applyProtection="false">
      <alignment horizontal="center" vertical="center" textRotation="0" wrapText="true" indent="0" shrinkToFit="false"/>
      <protection locked="true" hidden="false"/>
    </xf>
    <xf numFmtId="164" fontId="12" fillId="8" borderId="17" xfId="0" applyFont="true" applyBorder="true" applyAlignment="true" applyProtection="false">
      <alignment horizontal="center" vertical="center" textRotation="0" wrapText="false" indent="0" shrinkToFit="false"/>
      <protection locked="true" hidden="false"/>
    </xf>
    <xf numFmtId="165" fontId="19" fillId="0" borderId="4" xfId="0" applyFont="true" applyBorder="true" applyAlignment="true" applyProtection="false">
      <alignment horizontal="left" vertical="bottom" textRotation="0" wrapText="false" indent="0" shrinkToFit="false"/>
      <protection locked="true" hidden="false"/>
    </xf>
    <xf numFmtId="165" fontId="14" fillId="6" borderId="12" xfId="0" applyFont="true" applyBorder="true" applyAlignment="true" applyProtection="true">
      <alignment horizontal="center" vertical="center" textRotation="0" wrapText="false" indent="0" shrinkToFit="false"/>
      <protection locked="false" hidden="false"/>
    </xf>
    <xf numFmtId="165" fontId="12" fillId="0" borderId="14" xfId="0" applyFont="true" applyBorder="true" applyAlignment="true" applyProtection="false">
      <alignment horizontal="general" vertical="center" textRotation="0" wrapText="false" indent="0" shrinkToFit="false"/>
      <protection locked="true" hidden="false"/>
    </xf>
    <xf numFmtId="165" fontId="10" fillId="0" borderId="20" xfId="0" applyFont="true" applyBorder="true" applyAlignment="true" applyProtection="false">
      <alignment horizontal="center" vertical="center" textRotation="0" wrapText="false" indent="0" shrinkToFit="false"/>
      <protection locked="true" hidden="false"/>
    </xf>
    <xf numFmtId="165" fontId="13" fillId="0" borderId="11" xfId="0" applyFont="true" applyBorder="true" applyAlignment="true" applyProtection="false">
      <alignment horizontal="center" vertical="center" textRotation="0" wrapText="false" indent="0" shrinkToFit="false"/>
      <protection locked="true" hidden="false"/>
    </xf>
    <xf numFmtId="171" fontId="12" fillId="0" borderId="12" xfId="0" applyFont="true" applyBorder="true" applyAlignment="true" applyProtection="false">
      <alignment horizontal="center" vertical="center" textRotation="0" wrapText="false" indent="0" shrinkToFit="false"/>
      <protection locked="true" hidden="false"/>
    </xf>
    <xf numFmtId="165" fontId="12" fillId="0" borderId="18" xfId="0" applyFont="true" applyBorder="true" applyAlignment="true" applyProtection="false">
      <alignment horizontal="center" vertical="center" textRotation="0" wrapText="false" indent="0" shrinkToFit="false"/>
      <protection locked="true" hidden="false"/>
    </xf>
    <xf numFmtId="165" fontId="12" fillId="0" borderId="19" xfId="0" applyFont="true" applyBorder="true" applyAlignment="true" applyProtection="false">
      <alignment horizontal="center" vertical="center" textRotation="0" wrapText="false" indent="0" shrinkToFit="false"/>
      <protection locked="true" hidden="false"/>
    </xf>
    <xf numFmtId="166" fontId="5" fillId="0" borderId="17" xfId="0" applyFont="true" applyBorder="true" applyAlignment="true" applyProtection="false">
      <alignment horizontal="center" vertical="center" textRotation="0" wrapText="false" indent="0" shrinkToFit="false"/>
      <protection locked="true" hidden="false"/>
    </xf>
    <xf numFmtId="169" fontId="10" fillId="5" borderId="14" xfId="17" applyFont="true" applyBorder="true" applyAlignment="true" applyProtection="true">
      <alignment horizontal="center" vertical="center" textRotation="0" wrapText="false" indent="0" shrinkToFit="false"/>
      <protection locked="true" hidden="false"/>
    </xf>
    <xf numFmtId="164" fontId="10" fillId="5" borderId="37" xfId="0" applyFont="true" applyBorder="true" applyAlignment="true" applyProtection="false">
      <alignment horizontal="right" vertical="center" textRotation="0" wrapText="true" indent="0" shrinkToFit="false"/>
      <protection locked="true" hidden="false"/>
    </xf>
    <xf numFmtId="172" fontId="10" fillId="5" borderId="21" xfId="0" applyFont="true" applyBorder="true" applyAlignment="true" applyProtection="false">
      <alignment horizontal="center" vertical="center" textRotation="0" wrapText="false" indent="0" shrinkToFit="false"/>
      <protection locked="true" hidden="false"/>
    </xf>
    <xf numFmtId="169" fontId="10" fillId="5" borderId="19" xfId="17" applyFont="true" applyBorder="true" applyAlignment="true" applyProtection="true">
      <alignment horizontal="center" vertical="center" textRotation="0" wrapText="false" indent="0" shrinkToFit="false"/>
      <protection locked="true" hidden="false"/>
    </xf>
    <xf numFmtId="164" fontId="10" fillId="5" borderId="22" xfId="0" applyFont="true" applyBorder="true" applyAlignment="true" applyProtection="false">
      <alignment horizontal="right" vertical="center" textRotation="0" wrapText="true" indent="0" shrinkToFit="false"/>
      <protection locked="true" hidden="false"/>
    </xf>
    <xf numFmtId="169" fontId="10" fillId="5" borderId="25" xfId="17" applyFont="true" applyBorder="true" applyAlignment="true" applyProtection="true">
      <alignment horizontal="center" vertical="center" textRotation="0" wrapText="false" indent="0" shrinkToFit="false"/>
      <protection locked="true" hidden="false"/>
    </xf>
    <xf numFmtId="164" fontId="10" fillId="5" borderId="38" xfId="0" applyFont="true" applyBorder="true" applyAlignment="true" applyProtection="false">
      <alignment horizontal="center" vertical="center" textRotation="0" wrapText="true" indent="0" shrinkToFit="false"/>
      <protection locked="true" hidden="false"/>
    </xf>
    <xf numFmtId="164" fontId="10" fillId="5" borderId="39" xfId="0" applyFont="true" applyBorder="true" applyAlignment="true" applyProtection="false">
      <alignment horizontal="center" vertical="center" textRotation="0" wrapText="true" indent="0" shrinkToFit="false"/>
      <protection locked="true" hidden="false"/>
    </xf>
    <xf numFmtId="164" fontId="10" fillId="5" borderId="9" xfId="0" applyFont="true" applyBorder="true" applyAlignment="true" applyProtection="false">
      <alignment horizontal="center" vertical="center" textRotation="0" wrapText="true" indent="0" shrinkToFit="false"/>
      <protection locked="true" hidden="false"/>
    </xf>
    <xf numFmtId="165" fontId="19" fillId="0" borderId="18" xfId="0" applyFont="true" applyBorder="true" applyAlignment="true" applyProtection="false">
      <alignment horizontal="general" vertical="bottom" textRotation="0" wrapText="false" indent="0" shrinkToFit="false"/>
      <protection locked="true" hidden="false"/>
    </xf>
    <xf numFmtId="164" fontId="19" fillId="0" borderId="40" xfId="0" applyFont="true" applyBorder="true" applyAlignment="true" applyProtection="false">
      <alignment horizontal="general" vertical="bottom" textRotation="0" wrapText="false" indent="0" shrinkToFit="false"/>
      <protection locked="true" hidden="false"/>
    </xf>
    <xf numFmtId="164" fontId="19" fillId="0" borderId="21" xfId="0" applyFont="true" applyBorder="true" applyAlignment="true" applyProtection="false">
      <alignment horizontal="general" vertical="bottom" textRotation="0" wrapText="false" indent="0" shrinkToFit="false"/>
      <protection locked="true" hidden="false"/>
    </xf>
    <xf numFmtId="169" fontId="10" fillId="5" borderId="34" xfId="17" applyFont="true" applyBorder="true" applyAlignment="true" applyProtection="true">
      <alignment horizontal="center" vertical="center" textRotation="0" wrapText="false" indent="0" shrinkToFit="false"/>
      <protection locked="true" hidden="false"/>
    </xf>
    <xf numFmtId="164" fontId="4" fillId="0" borderId="4" xfId="0" applyFont="true" applyBorder="true" applyAlignment="true" applyProtection="false">
      <alignment horizontal="center" vertical="bottom" textRotation="0" wrapText="false" indent="0" shrinkToFit="false"/>
      <protection locked="true" hidden="false"/>
    </xf>
    <xf numFmtId="164" fontId="4" fillId="0" borderId="4" xfId="0" applyFont="true" applyBorder="true" applyAlignment="false" applyProtection="false">
      <alignment horizontal="general" vertical="bottom" textRotation="0" wrapText="false" indent="0" shrinkToFit="false"/>
      <protection locked="true" hidden="false"/>
    </xf>
    <xf numFmtId="173" fontId="4" fillId="0" borderId="18" xfId="0" applyFont="true" applyBorder="true" applyAlignment="true" applyProtection="false">
      <alignment horizontal="center" vertical="center" textRotation="0" wrapText="false" indent="0" shrinkToFit="false"/>
      <protection locked="true" hidden="false"/>
    </xf>
    <xf numFmtId="164" fontId="4" fillId="0" borderId="18" xfId="0" applyFont="true" applyBorder="true" applyAlignment="true" applyProtection="false">
      <alignment horizontal="center" vertical="center" textRotation="0" wrapText="false" indent="0" shrinkToFit="false"/>
      <protection locked="true" hidden="false"/>
    </xf>
    <xf numFmtId="164" fontId="4" fillId="0" borderId="4" xfId="0" applyFont="true" applyBorder="true" applyAlignment="true" applyProtection="false">
      <alignment horizontal="left" vertical="bottom" textRotation="0" wrapText="false" indent="0"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4" fontId="20" fillId="0" borderId="1" xfId="0" applyFont="tru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general" vertical="center" textRotation="0" wrapText="false" indent="0" shrinkToFit="false"/>
      <protection locked="true" hidden="false"/>
    </xf>
    <xf numFmtId="164" fontId="20" fillId="0" borderId="3"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21" fillId="0" borderId="0" xfId="0" applyFont="true" applyBorder="true" applyAlignment="true" applyProtection="false">
      <alignment horizontal="center" vertical="center" textRotation="0" wrapText="false" indent="0" shrinkToFit="false"/>
      <protection locked="true" hidden="false"/>
    </xf>
    <xf numFmtId="164" fontId="18" fillId="0" borderId="0" xfId="0" applyFont="true" applyBorder="false" applyAlignment="true" applyProtection="false">
      <alignment horizontal="left" vertical="bottom" textRotation="0" wrapText="false" indent="0" shrinkToFit="false"/>
      <protection locked="true" hidden="false"/>
    </xf>
    <xf numFmtId="164" fontId="12" fillId="2" borderId="9" xfId="0" applyFont="true" applyBorder="true" applyAlignment="true" applyProtection="false">
      <alignment horizontal="left" vertical="bottom"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2" fillId="9" borderId="0" xfId="0" applyFont="true" applyBorder="false" applyAlignment="false" applyProtection="false">
      <alignment horizontal="general" vertical="bottom" textRotation="0" wrapText="false" indent="0" shrinkToFit="false"/>
      <protection locked="true" hidden="false"/>
    </xf>
    <xf numFmtId="164" fontId="22" fillId="10" borderId="0" xfId="0" applyFont="true" applyBorder="false" applyAlignment="false" applyProtection="false">
      <alignment horizontal="general" vertical="bottom" textRotation="0" wrapText="false" indent="0" shrinkToFit="false"/>
      <protection locked="true" hidden="false"/>
    </xf>
    <xf numFmtId="164" fontId="12" fillId="9" borderId="0" xfId="0" applyFont="true" applyBorder="false" applyAlignment="true" applyProtection="false">
      <alignment horizontal="general" vertical="center" textRotation="0" wrapText="false" indent="0" shrinkToFit="false"/>
      <protection locked="true" hidden="false"/>
    </xf>
    <xf numFmtId="164" fontId="12" fillId="8"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5" fontId="4" fillId="0" borderId="0" xfId="0" applyFont="true" applyBorder="false" applyAlignment="true" applyProtection="false">
      <alignment horizontal="general" vertical="center" textRotation="0" wrapText="false" indent="0" shrinkToFit="false"/>
      <protection locked="true" hidden="false"/>
    </xf>
    <xf numFmtId="174" fontId="8" fillId="0" borderId="0" xfId="0"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12" fillId="11" borderId="4" xfId="0" applyFont="true" applyBorder="true" applyAlignment="true" applyProtection="false">
      <alignment horizontal="center" vertical="center" textRotation="0" wrapText="true" indent="0" shrinkToFit="false"/>
      <protection locked="true" hidden="false"/>
    </xf>
    <xf numFmtId="164" fontId="8" fillId="11" borderId="4" xfId="0" applyFont="true" applyBorder="true" applyAlignment="true" applyProtection="false">
      <alignment horizontal="center" vertical="center" textRotation="0" wrapText="true" indent="0" shrinkToFit="false"/>
      <protection locked="true" hidden="false"/>
    </xf>
    <xf numFmtId="175" fontId="9" fillId="0" borderId="0" xfId="0" applyFont="true" applyBorder="false" applyAlignment="true" applyProtection="false">
      <alignment horizontal="general" vertical="center" textRotation="0" wrapText="false" indent="0" shrinkToFit="false"/>
      <protection locked="true" hidden="false"/>
    </xf>
    <xf numFmtId="164" fontId="8" fillId="0" borderId="4" xfId="0" applyFont="true" applyBorder="true" applyAlignment="true" applyProtection="false">
      <alignment horizontal="center" vertical="center" textRotation="0" wrapText="true" indent="0" shrinkToFit="false"/>
      <protection locked="true" hidden="false"/>
    </xf>
    <xf numFmtId="166" fontId="4" fillId="0" borderId="4" xfId="0" applyFont="true" applyBorder="true" applyAlignment="true" applyProtection="false">
      <alignment horizontal="center" vertical="center" textRotation="0" wrapText="false" indent="0" shrinkToFit="false"/>
      <protection locked="true" hidden="false"/>
    </xf>
    <xf numFmtId="164" fontId="8" fillId="0" borderId="41" xfId="0" applyFont="true" applyBorder="true" applyAlignment="true" applyProtection="false">
      <alignment horizontal="center" vertical="center" textRotation="0" wrapText="false" indent="0" shrinkToFit="false"/>
      <protection locked="true" hidden="false"/>
    </xf>
    <xf numFmtId="164" fontId="4" fillId="0" borderId="4" xfId="0" applyFont="true" applyBorder="true" applyAlignment="true" applyProtection="false">
      <alignment horizontal="general" vertical="center" textRotation="0" wrapText="true" indent="0" shrinkToFit="false"/>
      <protection locked="true" hidden="false"/>
    </xf>
    <xf numFmtId="170" fontId="4" fillId="2" borderId="4" xfId="15" applyFont="true" applyBorder="true" applyAlignment="true" applyProtection="true">
      <alignment horizontal="center" vertical="center" textRotation="0" wrapText="false" indent="0" shrinkToFit="false"/>
      <protection locked="false" hidden="false"/>
    </xf>
    <xf numFmtId="170" fontId="4" fillId="0" borderId="4" xfId="15" applyFont="true" applyBorder="true" applyAlignment="true" applyProtection="true">
      <alignment horizontal="center" vertical="center" textRotation="0" wrapText="false" indent="0" shrinkToFit="false"/>
      <protection locked="true" hidden="false"/>
    </xf>
    <xf numFmtId="172" fontId="4" fillId="0" borderId="4" xfId="19" applyFont="true" applyBorder="true" applyAlignment="true" applyProtection="true">
      <alignment horizontal="center" vertical="center" textRotation="0" wrapText="false" indent="0" shrinkToFit="false"/>
      <protection locked="true" hidden="false"/>
    </xf>
    <xf numFmtId="170" fontId="8" fillId="0" borderId="4" xfId="15" applyFont="true" applyBorder="true" applyAlignment="true" applyProtection="true">
      <alignment horizontal="center" vertical="center" textRotation="0" wrapText="false" indent="0" shrinkToFit="false"/>
      <protection locked="true" hidden="false"/>
    </xf>
    <xf numFmtId="173" fontId="4" fillId="0" borderId="4" xfId="0" applyFont="true" applyBorder="true" applyAlignment="true" applyProtection="false">
      <alignment horizontal="center" vertical="center" textRotation="0" wrapText="false" indent="0" shrinkToFit="false"/>
      <protection locked="true" hidden="false"/>
    </xf>
    <xf numFmtId="168" fontId="15" fillId="7" borderId="4" xfId="15" applyFont="true" applyBorder="true" applyAlignment="true" applyProtection="true">
      <alignment horizontal="center" vertical="center" textRotation="0" wrapText="false" indent="0" shrinkToFit="false"/>
      <protection locked="true" hidden="false"/>
    </xf>
    <xf numFmtId="172" fontId="4" fillId="2" borderId="4" xfId="19" applyFont="true" applyBorder="true" applyAlignment="true" applyProtection="true">
      <alignment horizontal="center" vertical="center" textRotation="0" wrapText="false" indent="0" shrinkToFit="false"/>
      <protection locked="false" hidden="false"/>
    </xf>
    <xf numFmtId="172" fontId="4" fillId="0" borderId="4" xfId="19" applyFont="true" applyBorder="true" applyAlignment="true" applyProtection="true">
      <alignment horizontal="center" vertical="center" textRotation="0" wrapText="false" indent="0" shrinkToFit="false"/>
      <protection locked="true" hidden="false"/>
    </xf>
    <xf numFmtId="167" fontId="4" fillId="0" borderId="4" xfId="19" applyFont="true" applyBorder="true" applyAlignment="true" applyProtection="true">
      <alignment horizontal="center" vertical="center" textRotation="0" wrapText="false" indent="0" shrinkToFit="false"/>
      <protection locked="true" hidden="false"/>
    </xf>
    <xf numFmtId="164" fontId="8" fillId="0" borderId="4" xfId="0" applyFont="true" applyBorder="true" applyAlignment="true" applyProtection="false">
      <alignment horizontal="center" vertical="center" textRotation="0" wrapText="false" indent="0" shrinkToFit="false"/>
      <protection locked="true" hidden="false"/>
    </xf>
    <xf numFmtId="172" fontId="4" fillId="12" borderId="4" xfId="19" applyFont="true" applyBorder="true" applyAlignment="true" applyProtection="true">
      <alignment horizontal="center" vertical="center" textRotation="0" wrapText="false" indent="0" shrinkToFit="false"/>
      <protection locked="false" hidden="false"/>
    </xf>
    <xf numFmtId="170" fontId="4" fillId="12" borderId="4" xfId="15" applyFont="true" applyBorder="true" applyAlignment="true" applyProtection="true">
      <alignment horizontal="center" vertical="center" textRotation="0" wrapText="false" indent="0" shrinkToFit="false"/>
      <protection locked="false" hidden="false"/>
    </xf>
    <xf numFmtId="167" fontId="4" fillId="12" borderId="4" xfId="19" applyFont="true" applyBorder="true" applyAlignment="true" applyProtection="true">
      <alignment horizontal="center" vertical="center" textRotation="0" wrapText="false" indent="0" shrinkToFit="false"/>
      <protection locked="true" hidden="false"/>
    </xf>
    <xf numFmtId="170" fontId="4" fillId="0" borderId="4" xfId="0" applyFont="true" applyBorder="true" applyAlignment="true" applyProtection="false">
      <alignment horizontal="center" vertical="center" textRotation="0" wrapText="false" indent="0" shrinkToFit="false"/>
      <protection locked="true" hidden="false"/>
    </xf>
    <xf numFmtId="168" fontId="4" fillId="12" borderId="4" xfId="0" applyFont="true" applyBorder="true" applyAlignment="true" applyProtection="false">
      <alignment horizontal="general" vertical="center" textRotation="0" wrapText="false" indent="0" shrinkToFit="false"/>
      <protection locked="true" hidden="false"/>
    </xf>
    <xf numFmtId="164" fontId="8" fillId="0" borderId="12" xfId="0" applyFont="true" applyBorder="true" applyAlignment="true" applyProtection="false">
      <alignment horizontal="center" vertical="center" textRotation="0" wrapText="false" indent="0" shrinkToFit="false"/>
      <protection locked="true" hidden="false"/>
    </xf>
    <xf numFmtId="170" fontId="8" fillId="0" borderId="12" xfId="15" applyFont="true" applyBorder="true" applyAlignment="true" applyProtection="true">
      <alignment horizontal="center" vertical="center" textRotation="0" wrapText="false" indent="0" shrinkToFit="false"/>
      <protection locked="true" hidden="false"/>
    </xf>
    <xf numFmtId="164" fontId="8" fillId="11" borderId="4" xfId="0" applyFont="true" applyBorder="true" applyAlignment="true" applyProtection="false">
      <alignment horizontal="center" vertical="center" textRotation="0" wrapText="false" indent="0" shrinkToFit="false"/>
      <protection locked="true" hidden="false"/>
    </xf>
    <xf numFmtId="164" fontId="4" fillId="0" borderId="4" xfId="0" applyFont="true" applyBorder="true" applyAlignment="true" applyProtection="false">
      <alignment horizontal="center" vertical="center" textRotation="0" wrapText="false" indent="0" shrinkToFit="false"/>
      <protection locked="true" hidden="false"/>
    </xf>
    <xf numFmtId="164" fontId="4" fillId="0" borderId="4" xfId="0" applyFont="true" applyBorder="true" applyAlignment="true" applyProtection="false">
      <alignment horizontal="left" vertical="center" textRotation="0" wrapText="false" indent="0" shrinkToFit="false"/>
      <protection locked="true" hidden="false"/>
    </xf>
    <xf numFmtId="164" fontId="8" fillId="2" borderId="4" xfId="0" applyFont="true" applyBorder="true" applyAlignment="true" applyProtection="false">
      <alignment horizontal="center" vertical="center" textRotation="0" wrapText="false" indent="0" shrinkToFit="false"/>
      <protection locked="true" hidden="false"/>
    </xf>
    <xf numFmtId="164" fontId="4" fillId="0" borderId="42" xfId="0" applyFont="true" applyBorder="true" applyAlignment="true" applyProtection="false">
      <alignment horizontal="general" vertical="center" textRotation="0" wrapText="false" indent="0" shrinkToFit="false"/>
      <protection locked="true" hidden="false"/>
    </xf>
    <xf numFmtId="172" fontId="8" fillId="0" borderId="4" xfId="19" applyFont="true" applyBorder="true" applyAlignment="true" applyProtection="true">
      <alignment horizontal="center" vertical="center" textRotation="0" wrapText="false" indent="0" shrinkToFit="false"/>
      <protection locked="true" hidden="false"/>
    </xf>
    <xf numFmtId="167" fontId="4" fillId="2" borderId="4" xfId="0" applyFont="true" applyBorder="true" applyAlignment="true" applyProtection="true">
      <alignment horizontal="center" vertical="center" textRotation="0" wrapText="false" indent="0" shrinkToFit="false"/>
      <protection locked="false" hidden="false"/>
    </xf>
    <xf numFmtId="164" fontId="4" fillId="0" borderId="18" xfId="0" applyFont="true" applyBorder="true" applyAlignment="true" applyProtection="false">
      <alignment horizontal="general" vertical="center" textRotation="0" wrapText="false" indent="0" shrinkToFit="false"/>
      <protection locked="true" hidden="false"/>
    </xf>
    <xf numFmtId="164" fontId="4" fillId="0" borderId="43" xfId="0" applyFont="true" applyBorder="true" applyAlignment="true" applyProtection="false">
      <alignment horizontal="general" vertical="center" textRotation="0" wrapText="false" indent="0" shrinkToFit="false"/>
      <protection locked="true" hidden="false"/>
    </xf>
    <xf numFmtId="168" fontId="4" fillId="0" borderId="21" xfId="15" applyFont="true" applyBorder="true" applyAlignment="true" applyProtection="true">
      <alignment horizontal="general" vertical="center" textRotation="0" wrapText="false" indent="0" shrinkToFit="false"/>
      <protection locked="true" hidden="false"/>
    </xf>
    <xf numFmtId="164" fontId="4" fillId="0" borderId="42" xfId="0" applyFont="true" applyBorder="true" applyAlignment="true" applyProtection="false">
      <alignment horizontal="center" vertical="center" textRotation="0" wrapText="false" indent="0" shrinkToFit="false"/>
      <protection locked="true" hidden="false"/>
    </xf>
    <xf numFmtId="164" fontId="4" fillId="0" borderId="18" xfId="0" applyFont="true" applyBorder="true" applyAlignment="true" applyProtection="false">
      <alignment horizontal="left" vertical="center" textRotation="0" wrapText="false" indent="0" shrinkToFit="false"/>
      <protection locked="true" hidden="false"/>
    </xf>
    <xf numFmtId="170" fontId="24" fillId="0" borderId="4" xfId="0" applyFont="true" applyBorder="true" applyAlignment="true" applyProtection="false">
      <alignment horizontal="center" vertical="center" textRotation="0" wrapText="false" indent="0" shrinkToFit="false"/>
      <protection locked="true" hidden="false"/>
    </xf>
    <xf numFmtId="164" fontId="4" fillId="0" borderId="4" xfId="0" applyFont="true" applyBorder="true" applyAlignment="true" applyProtection="false">
      <alignment horizontal="left" vertical="center" textRotation="0" wrapText="true" indent="0" shrinkToFit="false"/>
      <protection locked="true" hidden="false"/>
    </xf>
    <xf numFmtId="172" fontId="4" fillId="2" borderId="4" xfId="0" applyFont="true" applyBorder="true" applyAlignment="true" applyProtection="true">
      <alignment horizontal="center" vertical="center" textRotation="0" wrapText="false" indent="0" shrinkToFit="false"/>
      <protection locked="false" hidden="false"/>
    </xf>
    <xf numFmtId="164" fontId="4" fillId="2" borderId="4" xfId="0" applyFont="true" applyBorder="true" applyAlignment="true" applyProtection="true">
      <alignment horizontal="left" vertical="center" textRotation="0" wrapText="false" indent="0" shrinkToFit="false"/>
      <protection locked="false" hidden="false"/>
    </xf>
    <xf numFmtId="165" fontId="8" fillId="11" borderId="4" xfId="0" applyFont="true" applyBorder="true" applyAlignment="true" applyProtection="false">
      <alignment horizontal="center" vertical="center" textRotation="0" wrapText="false" indent="0" shrinkToFit="false"/>
      <protection locked="true" hidden="false"/>
    </xf>
    <xf numFmtId="164" fontId="8" fillId="2" borderId="4" xfId="0" applyFont="true" applyBorder="true" applyAlignment="true" applyProtection="true">
      <alignment horizontal="center" vertical="center" textRotation="0" wrapText="false" indent="0" shrinkToFit="false"/>
      <protection locked="false" hidden="false"/>
    </xf>
    <xf numFmtId="168" fontId="4" fillId="0" borderId="0" xfId="15" applyFont="true" applyBorder="true" applyAlignment="false" applyProtection="true">
      <alignment horizontal="general" vertical="bottom" textRotation="0" wrapText="false" indent="0" shrinkToFit="false"/>
      <protection locked="true" hidden="false"/>
    </xf>
    <xf numFmtId="172" fontId="17" fillId="0" borderId="4" xfId="0" applyFont="true" applyBorder="true" applyAlignment="true" applyProtection="false">
      <alignment horizontal="center" vertical="center" textRotation="0" wrapText="false" indent="0" shrinkToFit="false"/>
      <protection locked="true" hidden="false"/>
    </xf>
    <xf numFmtId="164" fontId="17" fillId="0" borderId="4" xfId="0" applyFont="true" applyBorder="true" applyAlignment="true" applyProtection="false">
      <alignment horizontal="center" vertical="center" textRotation="0" wrapText="false" indent="0" shrinkToFit="false"/>
      <protection locked="true" hidden="false"/>
    </xf>
    <xf numFmtId="167" fontId="4" fillId="9" borderId="4" xfId="0" applyFont="true" applyBorder="true" applyAlignment="true" applyProtection="false">
      <alignment horizontal="center" vertical="center" textRotation="0" wrapText="false" indent="0" shrinkToFit="false"/>
      <protection locked="true" hidden="false"/>
    </xf>
    <xf numFmtId="174" fontId="4" fillId="0" borderId="4" xfId="0" applyFont="true" applyBorder="true" applyAlignment="true" applyProtection="false">
      <alignment horizontal="center" vertical="center" textRotation="0" wrapText="false" indent="0" shrinkToFit="false"/>
      <protection locked="true" hidden="false"/>
    </xf>
    <xf numFmtId="167" fontId="4" fillId="0" borderId="4"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25" fillId="11" borderId="4" xfId="0" applyFont="true" applyBorder="true" applyAlignment="true" applyProtection="false">
      <alignment horizontal="center" vertical="center" textRotation="0" wrapText="true" indent="0" shrinkToFit="false"/>
      <protection locked="true" hidden="false"/>
    </xf>
    <xf numFmtId="164" fontId="8" fillId="11" borderId="23" xfId="0" applyFont="true" applyBorder="true" applyAlignment="true" applyProtection="false">
      <alignment horizontal="center" vertical="center" textRotation="0" wrapText="true" indent="0" shrinkToFit="false"/>
      <protection locked="true" hidden="false"/>
    </xf>
    <xf numFmtId="164" fontId="8" fillId="0" borderId="33" xfId="0" applyFont="true" applyBorder="true" applyAlignment="true" applyProtection="false">
      <alignment horizontal="left" vertical="center" textRotation="0" wrapText="false" indent="0" shrinkToFit="false"/>
      <protection locked="true" hidden="false"/>
    </xf>
    <xf numFmtId="164" fontId="4" fillId="0" borderId="44" xfId="0" applyFont="true" applyBorder="true" applyAlignment="true" applyProtection="false">
      <alignment horizontal="center" vertical="bottom" textRotation="0" wrapText="false" indent="0" shrinkToFit="false"/>
      <protection locked="true" hidden="false"/>
    </xf>
    <xf numFmtId="164" fontId="4" fillId="0" borderId="33" xfId="0" applyFont="true" applyBorder="true" applyAlignment="false" applyProtection="false">
      <alignment horizontal="general" vertical="bottom" textRotation="0" wrapText="false" indent="0" shrinkToFit="false"/>
      <protection locked="true" hidden="false"/>
    </xf>
    <xf numFmtId="164" fontId="4" fillId="0" borderId="23" xfId="0" applyFont="true" applyBorder="true" applyAlignment="true" applyProtection="false">
      <alignment horizontal="left" vertical="center" textRotation="0" wrapText="false" indent="0" shrinkToFit="false"/>
      <protection locked="true" hidden="false"/>
    </xf>
    <xf numFmtId="164" fontId="4" fillId="0" borderId="41" xfId="0" applyFont="true" applyBorder="true" applyAlignment="true" applyProtection="false">
      <alignment horizontal="left" vertical="center" textRotation="0" wrapText="false" indent="0" shrinkToFit="false"/>
      <protection locked="true" hidden="false"/>
    </xf>
    <xf numFmtId="164" fontId="8" fillId="0" borderId="12" xfId="0" applyFont="true" applyBorder="true" applyAlignment="true" applyProtection="false">
      <alignment horizontal="left" vertical="center" textRotation="0" wrapText="false" indent="0" shrinkToFit="false"/>
      <protection locked="true" hidden="false"/>
    </xf>
    <xf numFmtId="164" fontId="4" fillId="0" borderId="12" xfId="0"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4" fontId="5" fillId="0" borderId="45" xfId="0" applyFont="true" applyBorder="true" applyAlignment="true" applyProtection="false">
      <alignment horizontal="general" vertical="center" textRotation="0" wrapText="false" indent="0" shrinkToFit="false"/>
      <protection locked="true" hidden="false"/>
    </xf>
    <xf numFmtId="164" fontId="5" fillId="0" borderId="3" xfId="0" applyFont="true" applyBorder="true" applyAlignment="false" applyProtection="false">
      <alignment horizontal="general" vertical="bottom" textRotation="0" wrapText="false" indent="0" shrinkToFit="false"/>
      <protection locked="true" hidden="false"/>
    </xf>
    <xf numFmtId="164" fontId="5" fillId="0" borderId="46" xfId="0" applyFont="true" applyBorder="true" applyAlignment="true" applyProtection="false">
      <alignment horizontal="general" vertical="center" textRotation="0" wrapText="false" indent="0" shrinkToFit="false"/>
      <protection locked="true" hidden="false"/>
    </xf>
    <xf numFmtId="164" fontId="13" fillId="0" borderId="3" xfId="0" applyFont="true" applyBorder="true" applyAlignment="false" applyProtection="false">
      <alignment horizontal="general" vertical="bottom" textRotation="0" wrapText="false" indent="0" shrinkToFit="false"/>
      <protection locked="true" hidden="false"/>
    </xf>
    <xf numFmtId="164" fontId="26" fillId="11" borderId="47" xfId="0" applyFont="true" applyBorder="true" applyAlignment="true" applyProtection="false">
      <alignment horizontal="center" vertical="center" textRotation="0" wrapText="false" indent="0" shrinkToFit="false"/>
      <protection locked="true" hidden="false"/>
    </xf>
    <xf numFmtId="164" fontId="10" fillId="13" borderId="15" xfId="0" applyFont="true" applyBorder="true" applyAlignment="true" applyProtection="false">
      <alignment horizontal="center" vertical="bottom" textRotation="0" wrapText="true" indent="0" shrinkToFit="false"/>
      <protection locked="true" hidden="false"/>
    </xf>
    <xf numFmtId="164" fontId="10" fillId="11" borderId="20" xfId="0" applyFont="true" applyBorder="true" applyAlignment="true" applyProtection="false">
      <alignment horizontal="center" vertical="center" textRotation="0" wrapText="false" indent="0" shrinkToFit="false"/>
      <protection locked="true" hidden="false"/>
    </xf>
    <xf numFmtId="164" fontId="27" fillId="0" borderId="17" xfId="0" applyFont="true" applyBorder="true" applyAlignment="true" applyProtection="false">
      <alignment horizontal="center" vertical="bottom" textRotation="0" wrapText="false" indent="0" shrinkToFit="false"/>
      <protection locked="true" hidden="false"/>
    </xf>
    <xf numFmtId="164" fontId="27" fillId="0" borderId="4" xfId="0" applyFont="true" applyBorder="true" applyAlignment="true" applyProtection="false">
      <alignment horizontal="center" vertical="bottom" textRotation="0" wrapText="false" indent="0" shrinkToFit="false"/>
      <protection locked="true" hidden="false"/>
    </xf>
    <xf numFmtId="164" fontId="27" fillId="0" borderId="19" xfId="0" applyFont="true" applyBorder="true" applyAlignment="true" applyProtection="false">
      <alignment horizontal="center" vertical="bottom" textRotation="0" wrapText="false" indent="0" shrinkToFit="false"/>
      <protection locked="true" hidden="false"/>
    </xf>
    <xf numFmtId="164" fontId="28" fillId="11" borderId="17" xfId="0" applyFont="true" applyBorder="true" applyAlignment="true" applyProtection="false">
      <alignment horizontal="center" vertical="center" textRotation="0" wrapText="false" indent="0" shrinkToFit="false"/>
      <protection locked="true" hidden="false"/>
    </xf>
    <xf numFmtId="164" fontId="28" fillId="11" borderId="19" xfId="0" applyFont="true" applyBorder="true" applyAlignment="true" applyProtection="false">
      <alignment horizontal="left" vertical="center" textRotation="0" wrapText="false" indent="0" shrinkToFit="false"/>
      <protection locked="true" hidden="false"/>
    </xf>
    <xf numFmtId="164" fontId="13" fillId="0" borderId="17" xfId="0" applyFont="true" applyBorder="true" applyAlignment="true" applyProtection="false">
      <alignment horizontal="center" vertical="center" textRotation="0" wrapText="false" indent="0" shrinkToFit="false"/>
      <protection locked="true" hidden="false"/>
    </xf>
    <xf numFmtId="164" fontId="13" fillId="0" borderId="4" xfId="0" applyFont="true" applyBorder="true" applyAlignment="true" applyProtection="false">
      <alignment horizontal="general" vertical="center" textRotation="0" wrapText="false" indent="0" shrinkToFit="false"/>
      <protection locked="true" hidden="false"/>
    </xf>
    <xf numFmtId="172" fontId="13" fillId="2" borderId="19" xfId="0" applyFont="true" applyBorder="true" applyAlignment="true" applyProtection="true">
      <alignment horizontal="center" vertical="center" textRotation="0" wrapText="false" indent="0" shrinkToFit="false"/>
      <protection locked="false" hidden="false"/>
    </xf>
    <xf numFmtId="172" fontId="13" fillId="0" borderId="19" xfId="0" applyFont="true" applyBorder="true" applyAlignment="true" applyProtection="false">
      <alignment horizontal="center" vertical="center" textRotation="0" wrapText="false" indent="0" shrinkToFit="false"/>
      <protection locked="true" hidden="false"/>
    </xf>
    <xf numFmtId="167" fontId="0" fillId="0" borderId="0" xfId="0" applyFont="true" applyBorder="false" applyAlignment="false" applyProtection="false">
      <alignment horizontal="general" vertical="bottom" textRotation="0" wrapText="false" indent="0" shrinkToFit="false"/>
      <protection locked="true" hidden="false"/>
    </xf>
    <xf numFmtId="164" fontId="28" fillId="11" borderId="17" xfId="0" applyFont="true" applyBorder="true" applyAlignment="true" applyProtection="false">
      <alignment horizontal="left" vertical="center" textRotation="0" wrapText="false" indent="0" shrinkToFit="false"/>
      <protection locked="true" hidden="false"/>
    </xf>
    <xf numFmtId="172" fontId="28" fillId="11" borderId="19" xfId="0" applyFont="true" applyBorder="true" applyAlignment="true" applyProtection="false">
      <alignment horizontal="center" vertical="center" textRotation="0" wrapText="false" indent="0" shrinkToFit="false"/>
      <protection locked="true" hidden="false"/>
    </xf>
    <xf numFmtId="164" fontId="28" fillId="11" borderId="20" xfId="0" applyFont="true" applyBorder="true" applyAlignment="true" applyProtection="false">
      <alignment horizontal="left" vertical="center" textRotation="0" wrapText="false" indent="0" shrinkToFit="false"/>
      <protection locked="true" hidden="false"/>
    </xf>
    <xf numFmtId="164" fontId="13" fillId="0" borderId="18" xfId="0" applyFont="true" applyBorder="true" applyAlignment="true" applyProtection="false">
      <alignment horizontal="general" vertical="center" textRotation="0" wrapText="false" indent="0" shrinkToFit="false"/>
      <protection locked="true" hidden="false"/>
    </xf>
    <xf numFmtId="172" fontId="22" fillId="14" borderId="19" xfId="19" applyFont="true" applyBorder="true" applyAlignment="true" applyProtection="true">
      <alignment horizontal="center" vertical="center" textRotation="0" wrapText="false" indent="0" shrinkToFit="false"/>
      <protection locked="true" hidden="false"/>
    </xf>
    <xf numFmtId="164" fontId="28" fillId="0" borderId="17" xfId="0" applyFont="true" applyBorder="true" applyAlignment="true" applyProtection="false">
      <alignment horizontal="left" vertical="center" textRotation="0" wrapText="false" indent="0" shrinkToFit="false"/>
      <protection locked="true" hidden="false"/>
    </xf>
    <xf numFmtId="172" fontId="29" fillId="0" borderId="19" xfId="0" applyFont="true" applyBorder="true" applyAlignment="true" applyProtection="false">
      <alignment horizontal="center" vertical="center" textRotation="0" wrapText="false" indent="0" shrinkToFit="false"/>
      <protection locked="true" hidden="false"/>
    </xf>
    <xf numFmtId="164" fontId="13" fillId="0" borderId="17" xfId="0" applyFont="true" applyBorder="true" applyAlignment="true" applyProtection="false">
      <alignment horizontal="left" vertical="center" textRotation="0" wrapText="true" indent="0" shrinkToFit="false"/>
      <protection locked="true" hidden="false"/>
    </xf>
    <xf numFmtId="172" fontId="19" fillId="0" borderId="14" xfId="0" applyFont="true" applyBorder="true" applyAlignment="true" applyProtection="false">
      <alignment horizontal="center" vertical="center" textRotation="0" wrapText="false" indent="0" shrinkToFit="false"/>
      <protection locked="true" hidden="false"/>
    </xf>
    <xf numFmtId="172" fontId="30" fillId="0" borderId="19" xfId="0" applyFont="true" applyBorder="true" applyAlignment="true" applyProtection="false">
      <alignment horizontal="center" vertical="center" textRotation="0" wrapText="false" indent="0" shrinkToFit="false"/>
      <protection locked="true" hidden="false"/>
    </xf>
    <xf numFmtId="164" fontId="13" fillId="0" borderId="17" xfId="0" applyFont="true" applyBorder="true" applyAlignment="true" applyProtection="false">
      <alignment horizontal="left" vertical="center" textRotation="0" wrapText="false" indent="0" shrinkToFit="false"/>
      <protection locked="true" hidden="false"/>
    </xf>
    <xf numFmtId="164" fontId="29" fillId="0" borderId="17" xfId="0" applyFont="true" applyBorder="true" applyAlignment="true" applyProtection="false">
      <alignment horizontal="left" vertical="center" textRotation="0" wrapText="false" indent="0" shrinkToFit="false"/>
      <protection locked="true" hidden="false"/>
    </xf>
    <xf numFmtId="164" fontId="31" fillId="15" borderId="35" xfId="0" applyFont="true" applyBorder="true" applyAlignment="true" applyProtection="false">
      <alignment horizontal="center" vertical="center" textRotation="0" wrapText="true" indent="0" shrinkToFit="false"/>
      <protection locked="true" hidden="false"/>
    </xf>
    <xf numFmtId="164" fontId="20" fillId="0" borderId="17" xfId="0" applyFont="true" applyBorder="true" applyAlignment="true" applyProtection="false">
      <alignment horizontal="center" vertical="center" textRotation="0" wrapText="true" indent="0" shrinkToFit="false"/>
      <protection locked="true" hidden="false"/>
    </xf>
    <xf numFmtId="164" fontId="20" fillId="0" borderId="19" xfId="0" applyFont="true" applyBorder="true" applyAlignment="true" applyProtection="false">
      <alignment horizontal="center" vertical="center" textRotation="0" wrapText="true" indent="0" shrinkToFit="false"/>
      <protection locked="true" hidden="false"/>
    </xf>
    <xf numFmtId="164" fontId="29" fillId="0" borderId="17" xfId="0" applyFont="true" applyBorder="true" applyAlignment="true" applyProtection="false">
      <alignment horizontal="center" vertical="center" textRotation="0" wrapText="false" indent="0" shrinkToFit="false"/>
      <protection locked="true" hidden="false"/>
    </xf>
    <xf numFmtId="164" fontId="29" fillId="0" borderId="4" xfId="0" applyFont="true" applyBorder="true" applyAlignment="true" applyProtection="false">
      <alignment horizontal="left" vertical="center" textRotation="0" wrapText="false" indent="0" shrinkToFit="false"/>
      <protection locked="true" hidden="false"/>
    </xf>
    <xf numFmtId="164" fontId="12" fillId="15" borderId="17" xfId="0" applyFont="true" applyBorder="true" applyAlignment="true" applyProtection="false">
      <alignment horizontal="center" vertical="center" textRotation="0" wrapText="true" indent="0" shrinkToFit="false"/>
      <protection locked="true" hidden="false"/>
    </xf>
    <xf numFmtId="164" fontId="12" fillId="15" borderId="4" xfId="0" applyFont="true" applyBorder="true" applyAlignment="true" applyProtection="false">
      <alignment horizontal="center" vertical="center" textRotation="0" wrapText="true" indent="0" shrinkToFit="false"/>
      <protection locked="true" hidden="false"/>
    </xf>
    <xf numFmtId="164" fontId="11" fillId="15" borderId="19" xfId="0" applyFont="true" applyBorder="true" applyAlignment="true" applyProtection="false">
      <alignment horizontal="center" vertical="center" textRotation="0" wrapText="true" indent="0" shrinkToFit="false"/>
      <protection locked="true" hidden="false"/>
    </xf>
    <xf numFmtId="172" fontId="12" fillId="15" borderId="4" xfId="0" applyFont="true" applyBorder="true" applyAlignment="true" applyProtection="false">
      <alignment horizontal="center" vertical="center" textRotation="0" wrapText="false" indent="0" shrinkToFit="false"/>
      <protection locked="true" hidden="false"/>
    </xf>
    <xf numFmtId="172" fontId="14" fillId="15" borderId="19" xfId="0" applyFont="true" applyBorder="true" applyAlignment="true" applyProtection="false">
      <alignment horizontal="center" vertical="center" textRotation="0" wrapText="false" indent="0" shrinkToFit="false"/>
      <protection locked="true" hidden="false"/>
    </xf>
    <xf numFmtId="164" fontId="28" fillId="11" borderId="20" xfId="0" applyFont="true" applyBorder="true" applyAlignment="true" applyProtection="false">
      <alignment horizontal="center" vertical="center" textRotation="0" wrapText="false" indent="0" shrinkToFit="false"/>
      <protection locked="true" hidden="false"/>
    </xf>
    <xf numFmtId="164" fontId="13" fillId="0" borderId="17" xfId="0" applyFont="true" applyBorder="true" applyAlignment="true" applyProtection="false">
      <alignment horizontal="center" vertical="center" textRotation="0" wrapText="true" indent="0" shrinkToFit="false"/>
      <protection locked="true" hidden="false"/>
    </xf>
    <xf numFmtId="172" fontId="13" fillId="0" borderId="4" xfId="0" applyFont="true" applyBorder="true" applyAlignment="true" applyProtection="false">
      <alignment horizontal="center" vertical="center" textRotation="0" wrapText="false" indent="0" shrinkToFit="false"/>
      <protection locked="true" hidden="false"/>
    </xf>
    <xf numFmtId="164" fontId="29" fillId="15" borderId="17" xfId="0" applyFont="true" applyBorder="true" applyAlignment="true" applyProtection="false">
      <alignment horizontal="center" vertical="center" textRotation="0" wrapText="true" indent="0" shrinkToFit="false"/>
      <protection locked="true" hidden="false"/>
    </xf>
    <xf numFmtId="172" fontId="29" fillId="15" borderId="4" xfId="0" applyFont="true" applyBorder="true" applyAlignment="true" applyProtection="false">
      <alignment horizontal="center" vertical="center" textRotation="0" wrapText="false" indent="0" shrinkToFit="false"/>
      <protection locked="true" hidden="false"/>
    </xf>
    <xf numFmtId="172" fontId="29" fillId="15" borderId="19" xfId="0" applyFont="true" applyBorder="true" applyAlignment="true" applyProtection="false">
      <alignment horizontal="center" vertical="center" textRotation="0" wrapText="false" indent="0" shrinkToFit="false"/>
      <protection locked="true" hidden="false"/>
    </xf>
    <xf numFmtId="172" fontId="13" fillId="0" borderId="48" xfId="0" applyFont="true" applyBorder="true" applyAlignment="true" applyProtection="false">
      <alignment horizontal="center" vertical="center" textRotation="0" wrapText="false" indent="0" shrinkToFit="false"/>
      <protection locked="true" hidden="false"/>
    </xf>
    <xf numFmtId="164" fontId="28" fillId="11" borderId="49" xfId="0" applyFont="true" applyBorder="true" applyAlignment="true" applyProtection="false">
      <alignment horizontal="left" vertical="center" textRotation="0" wrapText="false" indent="0" shrinkToFit="false"/>
      <protection locked="true" hidden="false"/>
    </xf>
    <xf numFmtId="164" fontId="29" fillId="0" borderId="17" xfId="0" applyFont="true" applyBorder="true" applyAlignment="true" applyProtection="false">
      <alignment horizontal="center" vertical="center" textRotation="0" wrapText="true" indent="0" shrinkToFit="false"/>
      <protection locked="true" hidden="false"/>
    </xf>
    <xf numFmtId="172" fontId="29" fillId="0" borderId="4" xfId="0" applyFont="true" applyBorder="true" applyAlignment="true" applyProtection="false">
      <alignment horizontal="center" vertical="center" textRotation="0" wrapText="false" indent="0" shrinkToFit="false"/>
      <protection locked="true" hidden="false"/>
    </xf>
    <xf numFmtId="172" fontId="32" fillId="0" borderId="48" xfId="0" applyFont="true" applyBorder="true" applyAlignment="true" applyProtection="false">
      <alignment horizontal="center" vertical="center" textRotation="0" wrapText="false" indent="0" shrinkToFit="false"/>
      <protection locked="true" hidden="false"/>
    </xf>
    <xf numFmtId="164" fontId="22" fillId="14" borderId="3" xfId="0" applyFont="true" applyBorder="true" applyAlignment="true" applyProtection="false">
      <alignment horizontal="left" vertical="center" textRotation="0" wrapText="false" indent="0" shrinkToFit="false"/>
      <protection locked="true" hidden="false"/>
    </xf>
    <xf numFmtId="164" fontId="22" fillId="14" borderId="0" xfId="0" applyFont="true" applyBorder="false" applyAlignment="false" applyProtection="false">
      <alignment horizontal="general" vertical="bottom" textRotation="0" wrapText="false" indent="0" shrinkToFit="false"/>
      <protection locked="true" hidden="false"/>
    </xf>
    <xf numFmtId="164" fontId="22" fillId="14" borderId="46" xfId="0" applyFont="true" applyBorder="true" applyAlignment="false" applyProtection="false">
      <alignment horizontal="general" vertical="bottom" textRotation="0" wrapText="false" indent="0" shrinkToFit="false"/>
      <protection locked="true" hidden="false"/>
    </xf>
    <xf numFmtId="172" fontId="13" fillId="0" borderId="4" xfId="0" applyFont="true" applyBorder="true" applyAlignment="true" applyProtection="false">
      <alignment horizontal="center" vertical="center" textRotation="0" wrapText="true" indent="0" shrinkToFit="false"/>
      <protection locked="true" hidden="false"/>
    </xf>
    <xf numFmtId="172" fontId="13" fillId="0" borderId="19" xfId="0" applyFont="true" applyBorder="true" applyAlignment="true" applyProtection="false">
      <alignment horizontal="center" vertical="center" textRotation="0" wrapText="true" indent="0" shrinkToFit="false"/>
      <protection locked="true" hidden="false"/>
    </xf>
    <xf numFmtId="164" fontId="22" fillId="14" borderId="50" xfId="0" applyFont="true" applyBorder="true" applyAlignment="true" applyProtection="false">
      <alignment horizontal="justify" vertical="bottom" textRotation="0" wrapText="true" indent="0" shrinkToFit="false"/>
      <protection locked="true" hidden="false"/>
    </xf>
    <xf numFmtId="164" fontId="29" fillId="15" borderId="22" xfId="0" applyFont="true" applyBorder="true" applyAlignment="true" applyProtection="false">
      <alignment horizontal="center" vertical="center" textRotation="0" wrapText="true" indent="0" shrinkToFit="false"/>
      <protection locked="true" hidden="false"/>
    </xf>
    <xf numFmtId="172" fontId="29" fillId="15" borderId="23" xfId="0" applyFont="true" applyBorder="true" applyAlignment="true" applyProtection="false">
      <alignment horizontal="center" vertical="center" textRotation="0" wrapText="false" indent="0" shrinkToFit="false"/>
      <protection locked="true" hidden="false"/>
    </xf>
    <xf numFmtId="172" fontId="32" fillId="15" borderId="25" xfId="0" applyFont="true" applyBorder="true" applyAlignment="true" applyProtection="false">
      <alignment horizontal="center" vertical="center" textRotation="0" wrapText="false" indent="0" shrinkToFit="false"/>
      <protection locked="true" hidden="false"/>
    </xf>
    <xf numFmtId="164" fontId="12" fillId="0" borderId="1" xfId="0" applyFont="true" applyBorder="true" applyAlignment="false" applyProtection="false">
      <alignment horizontal="general" vertical="bottom" textRotation="0" wrapText="false" indent="0" shrinkToFit="false"/>
      <protection locked="true" hidden="false"/>
    </xf>
    <xf numFmtId="164" fontId="12" fillId="0" borderId="2" xfId="0" applyFont="true" applyBorder="true" applyAlignment="false" applyProtection="false">
      <alignment horizontal="general" vertical="bottom" textRotation="0" wrapText="false" indent="0" shrinkToFit="false"/>
      <protection locked="true" hidden="false"/>
    </xf>
    <xf numFmtId="164" fontId="12" fillId="0" borderId="45" xfId="0" applyFont="true" applyBorder="true" applyAlignment="false" applyProtection="false">
      <alignment horizontal="general" vertical="bottom" textRotation="0" wrapText="false" indent="0" shrinkToFit="false"/>
      <protection locked="true" hidden="false"/>
    </xf>
    <xf numFmtId="164" fontId="12" fillId="0" borderId="3" xfId="0" applyFont="true" applyBorder="true" applyAlignment="false" applyProtection="false">
      <alignment horizontal="general" vertical="bottom" textRotation="0" wrapText="false" indent="0" shrinkToFit="false"/>
      <protection locked="true" hidden="false"/>
    </xf>
    <xf numFmtId="164" fontId="12" fillId="0" borderId="46" xfId="0" applyFont="true" applyBorder="true" applyAlignment="false" applyProtection="false">
      <alignment horizontal="general" vertical="bottom" textRotation="0" wrapText="false" indent="0" shrinkToFit="false"/>
      <protection locked="true" hidden="false"/>
    </xf>
    <xf numFmtId="164" fontId="23" fillId="11" borderId="47" xfId="0" applyFont="true" applyBorder="true" applyAlignment="true" applyProtection="false">
      <alignment horizontal="center" vertical="center" textRotation="0" wrapText="false" indent="0" shrinkToFit="false"/>
      <protection locked="true" hidden="false"/>
    </xf>
    <xf numFmtId="164" fontId="23" fillId="0" borderId="0" xfId="0" applyFont="true" applyBorder="false" applyAlignment="true" applyProtection="false">
      <alignment horizontal="center" vertical="center" textRotation="0" wrapText="false" indent="0" shrinkToFit="false"/>
      <protection locked="true" hidden="false"/>
    </xf>
    <xf numFmtId="164" fontId="8" fillId="13" borderId="15" xfId="0" applyFont="true" applyBorder="tru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33" fillId="11" borderId="17" xfId="0" applyFont="true" applyBorder="true" applyAlignment="true" applyProtection="false">
      <alignment horizontal="center" vertical="center" textRotation="0" wrapText="true" indent="0" shrinkToFit="false"/>
      <protection locked="true" hidden="false"/>
    </xf>
    <xf numFmtId="164" fontId="10" fillId="11" borderId="4" xfId="0" applyFont="true" applyBorder="true" applyAlignment="true" applyProtection="false">
      <alignment horizontal="center" vertical="center" textRotation="0" wrapText="true" indent="0" shrinkToFit="false"/>
      <protection locked="true" hidden="false"/>
    </xf>
    <xf numFmtId="164" fontId="10" fillId="11" borderId="4" xfId="0" applyFont="true" applyBorder="true" applyAlignment="true" applyProtection="false">
      <alignment horizontal="center" vertical="center" textRotation="0" wrapText="false" indent="0" shrinkToFit="false"/>
      <protection locked="true" hidden="false"/>
    </xf>
    <xf numFmtId="164" fontId="10" fillId="11" borderId="19" xfId="0" applyFont="true" applyBorder="true" applyAlignment="true" applyProtection="false">
      <alignment horizontal="center" vertical="center" textRotation="0" wrapText="true" indent="0" shrinkToFit="false"/>
      <protection locked="true" hidden="false"/>
    </xf>
    <xf numFmtId="164" fontId="10" fillId="16" borderId="4" xfId="0" applyFont="true" applyBorder="true" applyAlignment="true" applyProtection="false">
      <alignment horizontal="center" vertical="center" textRotation="0" wrapText="true" indent="0" shrinkToFit="false"/>
      <protection locked="true" hidden="false"/>
    </xf>
    <xf numFmtId="164" fontId="29" fillId="11" borderId="4" xfId="0" applyFont="true" applyBorder="true" applyAlignment="true" applyProtection="false">
      <alignment horizontal="center" vertical="center" textRotation="0" wrapText="true" indent="0" shrinkToFit="false"/>
      <protection locked="true" hidden="false"/>
    </xf>
    <xf numFmtId="164" fontId="10" fillId="16" borderId="12" xfId="0" applyFont="true" applyBorder="true" applyAlignment="true" applyProtection="false">
      <alignment horizontal="center" vertical="center" textRotation="0" wrapText="true" indent="0" shrinkToFit="false"/>
      <protection locked="true" hidden="false"/>
    </xf>
    <xf numFmtId="164" fontId="10" fillId="16" borderId="13" xfId="0" applyFont="true" applyBorder="true" applyAlignment="true" applyProtection="false">
      <alignment horizontal="center" vertical="center" textRotation="0" wrapText="true" indent="0" shrinkToFit="false"/>
      <protection locked="true" hidden="false"/>
    </xf>
    <xf numFmtId="164" fontId="11" fillId="5" borderId="11" xfId="0" applyFont="true" applyBorder="true" applyAlignment="true" applyProtection="false">
      <alignment horizontal="center" vertical="center" textRotation="0" wrapText="true" indent="0" shrinkToFit="false"/>
      <protection locked="true" hidden="false"/>
    </xf>
    <xf numFmtId="164" fontId="12" fillId="0" borderId="17" xfId="0" applyFont="true" applyBorder="true" applyAlignment="true" applyProtection="false">
      <alignment horizontal="center" vertical="center" textRotation="0" wrapText="false" indent="0" shrinkToFit="false"/>
      <protection locked="true" hidden="false"/>
    </xf>
    <xf numFmtId="164" fontId="19" fillId="0" borderId="4" xfId="0" applyFont="true" applyBorder="true" applyAlignment="true" applyProtection="false">
      <alignment horizontal="general" vertical="bottom" textRotation="0" wrapText="true" indent="0" shrinkToFit="false"/>
      <protection locked="true" hidden="false"/>
    </xf>
    <xf numFmtId="164" fontId="12" fillId="0" borderId="4" xfId="0" applyFont="true" applyBorder="true" applyAlignment="true" applyProtection="false">
      <alignment horizontal="center" vertical="center" textRotation="0" wrapText="true" indent="0" shrinkToFit="false"/>
      <protection locked="true" hidden="false"/>
    </xf>
    <xf numFmtId="164" fontId="12" fillId="0" borderId="12" xfId="0" applyFont="true" applyBorder="true" applyAlignment="true" applyProtection="false">
      <alignment horizontal="center" vertical="center" textRotation="0" wrapText="false" indent="0" shrinkToFit="false"/>
      <protection locked="true" hidden="false"/>
    </xf>
    <xf numFmtId="164" fontId="12" fillId="0" borderId="13" xfId="0" applyFont="true" applyBorder="true" applyAlignment="true" applyProtection="false">
      <alignment horizontal="center" vertical="center" textRotation="0" wrapText="true" indent="0" shrinkToFit="false"/>
      <protection locked="true" hidden="false"/>
    </xf>
    <xf numFmtId="167" fontId="12" fillId="2" borderId="4" xfId="0" applyFont="true" applyBorder="true" applyAlignment="true" applyProtection="true">
      <alignment horizontal="center" vertical="center" textRotation="0" wrapText="false" indent="0" shrinkToFit="false"/>
      <protection locked="false" hidden="false"/>
    </xf>
    <xf numFmtId="164" fontId="12" fillId="2" borderId="19" xfId="0" applyFont="true" applyBorder="true" applyAlignment="true" applyProtection="true">
      <alignment horizontal="general" vertical="center" textRotation="0" wrapText="false" indent="0" shrinkToFit="false"/>
      <protection locked="false" hidden="false"/>
    </xf>
    <xf numFmtId="167" fontId="12" fillId="0" borderId="4" xfId="0" applyFont="true" applyBorder="true" applyAlignment="true" applyProtection="false">
      <alignment horizontal="center" vertical="center" textRotation="0" wrapText="false" indent="0" shrinkToFit="false"/>
      <protection locked="true" hidden="false"/>
    </xf>
    <xf numFmtId="164" fontId="14" fillId="0" borderId="17" xfId="0" applyFont="true" applyBorder="true" applyAlignment="true" applyProtection="false">
      <alignment horizontal="center" vertical="center" textRotation="0" wrapText="false" indent="0" shrinkToFit="false"/>
      <protection locked="true" hidden="false"/>
    </xf>
    <xf numFmtId="164" fontId="19" fillId="0" borderId="4" xfId="0" applyFont="true" applyBorder="true" applyAlignment="true" applyProtection="false">
      <alignment horizontal="general" vertical="center" textRotation="0" wrapText="true" indent="0" shrinkToFit="false"/>
      <protection locked="true" hidden="false"/>
    </xf>
    <xf numFmtId="164" fontId="12" fillId="0" borderId="18"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center" textRotation="0" wrapText="true" indent="0" shrinkToFit="false"/>
      <protection locked="true" hidden="false"/>
    </xf>
    <xf numFmtId="164" fontId="21" fillId="0" borderId="22" xfId="0" applyFont="true" applyBorder="true" applyAlignment="true" applyProtection="false">
      <alignment horizontal="center" vertical="center" textRotation="0" wrapText="false" indent="0" shrinkToFit="false"/>
      <protection locked="true" hidden="false"/>
    </xf>
    <xf numFmtId="177" fontId="10" fillId="11" borderId="25" xfId="0" applyFont="true" applyBorder="true" applyAlignment="true" applyProtection="false">
      <alignment horizontal="general" vertical="center" textRotation="0" wrapText="false" indent="0" shrinkToFit="false"/>
      <protection locked="true" hidden="false"/>
    </xf>
    <xf numFmtId="164" fontId="21" fillId="11" borderId="4" xfId="0" applyFont="true" applyBorder="true" applyAlignment="true" applyProtection="false">
      <alignment horizontal="center" vertical="center" textRotation="0" wrapText="false" indent="0" shrinkToFit="false"/>
      <protection locked="true" hidden="false"/>
    </xf>
    <xf numFmtId="167" fontId="21" fillId="11" borderId="4"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4" fontId="12" fillId="0" borderId="3" xfId="0" applyFont="true" applyBorder="true" applyAlignment="true" applyProtection="false">
      <alignment horizontal="center" vertical="center"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10" fillId="0" borderId="3" xfId="0" applyFont="true" applyBorder="true" applyAlignment="true" applyProtection="false">
      <alignment horizontal="center" vertical="center" textRotation="0" wrapText="false" indent="0" shrinkToFit="false"/>
      <protection locked="true" hidden="false"/>
    </xf>
    <xf numFmtId="164" fontId="10" fillId="0" borderId="46" xfId="0" applyFont="true" applyBorder="true" applyAlignment="true" applyProtection="false">
      <alignment horizontal="center" vertical="center" textRotation="0" wrapText="false" indent="0" shrinkToFit="false"/>
      <protection locked="true" hidden="false"/>
    </xf>
    <xf numFmtId="164" fontId="29" fillId="16" borderId="12" xfId="0" applyFont="true" applyBorder="true" applyAlignment="true" applyProtection="false">
      <alignment horizontal="center" vertical="center" textRotation="0" wrapText="true" indent="0" shrinkToFit="false"/>
      <protection locked="true" hidden="false"/>
    </xf>
    <xf numFmtId="164" fontId="10" fillId="2" borderId="19" xfId="0" applyFont="true" applyBorder="true" applyAlignment="true" applyProtection="true">
      <alignment horizontal="center" vertical="center" textRotation="0" wrapText="false" indent="0" shrinkToFit="false"/>
      <protection locked="false" hidden="false"/>
    </xf>
    <xf numFmtId="164" fontId="17" fillId="0" borderId="17" xfId="0" applyFont="true" applyBorder="true" applyAlignment="true" applyProtection="false">
      <alignment horizontal="center" vertical="center" textRotation="0" wrapText="false" indent="0" shrinkToFit="false"/>
      <protection locked="true" hidden="false"/>
    </xf>
    <xf numFmtId="177" fontId="10" fillId="0" borderId="25" xfId="0" applyFont="true" applyBorder="true" applyAlignment="true" applyProtection="false">
      <alignment horizontal="general" vertical="center" textRotation="0" wrapText="false" indent="0" shrinkToFit="false"/>
      <protection locked="true" hidden="false"/>
    </xf>
    <xf numFmtId="164" fontId="21" fillId="11" borderId="4" xfId="0" applyFont="true" applyBorder="true" applyAlignment="true" applyProtection="false">
      <alignment horizontal="center" vertical="bottom" textRotation="0" wrapText="false" indent="0" shrinkToFit="false"/>
      <protection locked="true" hidden="false"/>
    </xf>
    <xf numFmtId="167" fontId="21" fillId="11" borderId="4" xfId="0" applyFont="true" applyBorder="true" applyAlignment="true" applyProtection="false">
      <alignment horizontal="center" vertical="bottom" textRotation="0" wrapText="false" indent="0" shrinkToFit="false"/>
      <protection locked="true" hidden="false"/>
    </xf>
    <xf numFmtId="164" fontId="9" fillId="0" borderId="2" xfId="0" applyFont="true" applyBorder="true" applyAlignment="true" applyProtection="false">
      <alignment horizontal="center" vertical="bottom" textRotation="0" wrapText="false" indent="0" shrinkToFit="false"/>
      <protection locked="true" hidden="false"/>
    </xf>
    <xf numFmtId="164" fontId="9" fillId="0" borderId="2" xfId="0" applyFont="true" applyBorder="true" applyAlignment="false" applyProtection="false">
      <alignment horizontal="general" vertical="bottom" textRotation="0" wrapText="false" indent="0" shrinkToFit="false"/>
      <protection locked="true" hidden="false"/>
    </xf>
    <xf numFmtId="164" fontId="9" fillId="0" borderId="45"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46" xfId="0" applyFont="true" applyBorder="true" applyAlignment="false" applyProtection="false">
      <alignment horizontal="general" vertical="bottom" textRotation="0" wrapText="false" indent="0" shrinkToFit="false"/>
      <protection locked="true" hidden="false"/>
    </xf>
    <xf numFmtId="164" fontId="21" fillId="0" borderId="47" xfId="0" applyFont="true" applyBorder="true" applyAlignment="true" applyProtection="false">
      <alignment horizontal="center" vertical="center" textRotation="0" wrapText="false" indent="0" shrinkToFit="false"/>
      <protection locked="true" hidden="false"/>
    </xf>
    <xf numFmtId="164" fontId="10" fillId="13" borderId="20" xfId="0" applyFont="true" applyBorder="true" applyAlignment="true" applyProtection="false">
      <alignment horizontal="center" vertical="center" textRotation="0" wrapText="true" indent="0" shrinkToFit="false"/>
      <protection locked="true" hidden="false"/>
    </xf>
    <xf numFmtId="164" fontId="21" fillId="0" borderId="3" xfId="0" applyFont="true" applyBorder="true" applyAlignment="true" applyProtection="false">
      <alignment horizontal="center" vertical="center" textRotation="0" wrapText="false" indent="0" shrinkToFit="false"/>
      <protection locked="true" hidden="false"/>
    </xf>
    <xf numFmtId="164" fontId="21" fillId="0" borderId="0" xfId="0" applyFont="true" applyBorder="false" applyAlignment="true" applyProtection="false">
      <alignment horizontal="center" vertical="center" textRotation="0" wrapText="false" indent="0" shrinkToFit="false"/>
      <protection locked="true" hidden="false"/>
    </xf>
    <xf numFmtId="176" fontId="34" fillId="0" borderId="46" xfId="0" applyFont="true" applyBorder="true" applyAlignment="true" applyProtection="false">
      <alignment horizontal="center" vertical="center" textRotation="0" wrapText="false" indent="0" shrinkToFit="false"/>
      <protection locked="true" hidden="false"/>
    </xf>
    <xf numFmtId="164" fontId="10" fillId="11" borderId="17" xfId="0" applyFont="true" applyBorder="true" applyAlignment="true" applyProtection="false">
      <alignment horizontal="center" vertical="center" textRotation="0" wrapText="true" indent="0" shrinkToFit="false"/>
      <protection locked="true" hidden="false"/>
    </xf>
    <xf numFmtId="170" fontId="10" fillId="11" borderId="4" xfId="0" applyFont="true" applyBorder="true" applyAlignment="true" applyProtection="false">
      <alignment horizontal="center" vertical="center" textRotation="0" wrapText="true" indent="0" shrinkToFit="false"/>
      <protection locked="true" hidden="false"/>
    </xf>
    <xf numFmtId="170" fontId="10" fillId="11" borderId="19" xfId="0" applyFont="true" applyBorder="true" applyAlignment="true" applyProtection="false">
      <alignment horizontal="center" vertical="center" textRotation="0" wrapText="true" indent="0" shrinkToFit="false"/>
      <protection locked="true" hidden="false"/>
    </xf>
    <xf numFmtId="164" fontId="10" fillId="0" borderId="17" xfId="15" applyFont="true" applyBorder="true" applyAlignment="true" applyProtection="true">
      <alignment horizontal="center" vertical="center" textRotation="0" wrapText="false" indent="0" shrinkToFit="false"/>
      <protection locked="true" hidden="false"/>
    </xf>
    <xf numFmtId="168" fontId="19" fillId="0" borderId="4" xfId="15" applyFont="true" applyBorder="true" applyAlignment="true" applyProtection="true">
      <alignment horizontal="general" vertical="bottom" textRotation="0" wrapText="true" indent="0" shrinkToFit="false"/>
      <protection locked="true" hidden="false"/>
    </xf>
    <xf numFmtId="164" fontId="12" fillId="0" borderId="4" xfId="15" applyFont="true" applyBorder="true" applyAlignment="true" applyProtection="true">
      <alignment horizontal="center" vertical="center" textRotation="0" wrapText="false" indent="0" shrinkToFit="false"/>
      <protection locked="true" hidden="false"/>
    </xf>
    <xf numFmtId="170" fontId="12" fillId="2" borderId="4" xfId="15" applyFont="true" applyBorder="true" applyAlignment="true" applyProtection="true">
      <alignment horizontal="center" vertical="center" textRotation="0" wrapText="false" indent="0" shrinkToFit="false"/>
      <protection locked="false" hidden="false"/>
    </xf>
    <xf numFmtId="170" fontId="12" fillId="0" borderId="4" xfId="15" applyFont="true" applyBorder="true" applyAlignment="true" applyProtection="true">
      <alignment horizontal="center" vertical="center" textRotation="0" wrapText="false" indent="0" shrinkToFit="false"/>
      <protection locked="true" hidden="false"/>
    </xf>
    <xf numFmtId="170" fontId="12" fillId="0" borderId="19" xfId="15" applyFont="true" applyBorder="true" applyAlignment="true" applyProtection="true">
      <alignment horizontal="center" vertical="center" textRotation="0" wrapText="false" indent="0" shrinkToFit="false"/>
      <protection locked="true" hidden="false"/>
    </xf>
    <xf numFmtId="178" fontId="8" fillId="11" borderId="22" xfId="0" applyFont="true" applyBorder="true" applyAlignment="true" applyProtection="false">
      <alignment horizontal="center" vertical="center" textRotation="0" wrapText="true" indent="0" shrinkToFit="false"/>
      <protection locked="true" hidden="false"/>
    </xf>
    <xf numFmtId="170" fontId="30" fillId="11" borderId="25" xfId="15" applyFont="true" applyBorder="true" applyAlignment="true" applyProtection="true">
      <alignment horizontal="center" vertical="center" textRotation="0" wrapText="false" indent="0" shrinkToFit="false"/>
      <protection locked="true" hidden="false"/>
    </xf>
    <xf numFmtId="164" fontId="10" fillId="0" borderId="20" xfId="0" applyFont="true" applyBorder="true" applyAlignment="true" applyProtection="false">
      <alignment horizontal="center" vertical="center" textRotation="0" wrapText="false" indent="0" shrinkToFit="false"/>
      <protection locked="true" hidden="false"/>
    </xf>
    <xf numFmtId="164" fontId="10" fillId="0" borderId="4"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left" vertical="center" textRotation="0" wrapText="true" indent="0" shrinkToFit="false"/>
      <protection locked="true" hidden="false"/>
    </xf>
    <xf numFmtId="164" fontId="10" fillId="11" borderId="4" xfId="0" applyFont="true" applyBorder="true" applyAlignment="true" applyProtection="false">
      <alignment horizontal="left" vertical="center" textRotation="0" wrapText="false" indent="0" shrinkToFit="false"/>
      <protection locked="true" hidden="false"/>
    </xf>
    <xf numFmtId="167" fontId="10" fillId="11" borderId="4" xfId="0" applyFont="true" applyBorder="true" applyAlignment="true" applyProtection="false">
      <alignment horizontal="center" vertical="center" textRotation="0" wrapText="false" indent="0" shrinkToFit="false"/>
      <protection locked="true" hidden="false"/>
    </xf>
    <xf numFmtId="166" fontId="4" fillId="0" borderId="0" xfId="0" applyFont="true" applyBorder="false" applyAlignment="true" applyProtection="false">
      <alignment horizontal="center"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70" fontId="4"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20" fillId="0" borderId="51" xfId="0" applyFont="true" applyBorder="true" applyAlignment="true" applyProtection="false">
      <alignment horizontal="left" vertical="center" textRotation="0" wrapText="false" indent="0" shrinkToFit="false"/>
      <protection locked="true" hidden="false"/>
    </xf>
    <xf numFmtId="165" fontId="20" fillId="0" borderId="31" xfId="0" applyFont="true" applyBorder="true" applyAlignment="true" applyProtection="false">
      <alignment horizontal="left" vertical="bottom" textRotation="0" wrapText="false" indent="0" shrinkToFit="false"/>
      <protection locked="true" hidden="false"/>
    </xf>
    <xf numFmtId="166" fontId="20" fillId="0" borderId="31" xfId="0" applyFont="true" applyBorder="true" applyAlignment="true" applyProtection="false">
      <alignment horizontal="center" vertical="bottom" textRotation="0" wrapText="false" indent="0" shrinkToFit="false"/>
      <protection locked="true" hidden="false"/>
    </xf>
    <xf numFmtId="164" fontId="20" fillId="0" borderId="31" xfId="0" applyFont="true" applyBorder="true" applyAlignment="false" applyProtection="false">
      <alignment horizontal="general" vertical="bottom" textRotation="0" wrapText="false" indent="0" shrinkToFit="false"/>
      <protection locked="true" hidden="false"/>
    </xf>
    <xf numFmtId="164" fontId="4" fillId="0" borderId="31" xfId="0" applyFont="true" applyBorder="true" applyAlignment="false" applyProtection="false">
      <alignment horizontal="general" vertical="bottom" textRotation="0" wrapText="false" indent="0" shrinkToFit="false"/>
      <protection locked="true" hidden="false"/>
    </xf>
    <xf numFmtId="166" fontId="4" fillId="0" borderId="31" xfId="0" applyFont="true" applyBorder="true" applyAlignment="true" applyProtection="false">
      <alignment horizontal="center" vertical="bottom" textRotation="0" wrapText="false" indent="0" shrinkToFit="false"/>
      <protection locked="true" hidden="false"/>
    </xf>
    <xf numFmtId="167" fontId="4" fillId="0" borderId="31" xfId="0" applyFont="true" applyBorder="true" applyAlignment="true" applyProtection="false">
      <alignment horizontal="center" vertical="bottom" textRotation="0" wrapText="false" indent="0" shrinkToFit="false"/>
      <protection locked="true" hidden="false"/>
    </xf>
    <xf numFmtId="170" fontId="4" fillId="0" borderId="52" xfId="0" applyFont="true" applyBorder="true" applyAlignment="true" applyProtection="false">
      <alignment horizontal="center" vertical="bottom" textRotation="0" wrapText="false" indent="0" shrinkToFit="false"/>
      <protection locked="true" hidden="false"/>
    </xf>
    <xf numFmtId="164" fontId="10" fillId="13" borderId="4" xfId="0" applyFont="true" applyBorder="true" applyAlignment="true" applyProtection="false">
      <alignment horizontal="center" vertical="center" textRotation="0" wrapText="true" indent="0" shrinkToFit="false"/>
      <protection locked="true" hidden="false"/>
    </xf>
    <xf numFmtId="164" fontId="20" fillId="0" borderId="3" xfId="0" applyFont="true" applyBorder="true" applyAlignment="true" applyProtection="false">
      <alignment horizontal="left" vertical="center" textRotation="0" wrapText="false" indent="0" shrinkToFit="false"/>
      <protection locked="true" hidden="false"/>
    </xf>
    <xf numFmtId="165" fontId="20" fillId="0" borderId="0" xfId="0" applyFont="true" applyBorder="false" applyAlignment="true" applyProtection="false">
      <alignment horizontal="left" vertical="bottom" textRotation="0" wrapText="false" indent="0" shrinkToFit="false"/>
      <protection locked="true" hidden="false"/>
    </xf>
    <xf numFmtId="166" fontId="20" fillId="0" borderId="0" xfId="0" applyFont="true" applyBorder="false" applyAlignment="true" applyProtection="false">
      <alignment horizontal="center"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70" fontId="4" fillId="0" borderId="46" xfId="0" applyFont="true" applyBorder="true" applyAlignment="true" applyProtection="false">
      <alignment horizontal="center" vertical="bottom" textRotation="0" wrapText="false" indent="0" shrinkToFit="false"/>
      <protection locked="true" hidden="false"/>
    </xf>
    <xf numFmtId="165" fontId="20" fillId="0" borderId="0" xfId="0" applyFont="true" applyBorder="false" applyAlignment="true" applyProtection="false">
      <alignment horizontal="left" vertical="center" textRotation="0" wrapText="false" indent="0" shrinkToFit="false"/>
      <protection locked="true" hidden="false"/>
    </xf>
    <xf numFmtId="166" fontId="20" fillId="0" borderId="0" xfId="0" applyFont="true" applyBorder="false" applyAlignment="true" applyProtection="false">
      <alignment horizontal="center" vertical="center" textRotation="0" wrapText="false" indent="0" shrinkToFit="false"/>
      <protection locked="true" hidden="false"/>
    </xf>
    <xf numFmtId="164" fontId="20" fillId="0" borderId="0" xfId="0" applyFont="true" applyBorder="false" applyAlignment="true" applyProtection="false">
      <alignment horizontal="general" vertical="center" textRotation="0" wrapText="false" indent="0" shrinkToFit="false"/>
      <protection locked="true" hidden="false"/>
    </xf>
    <xf numFmtId="166" fontId="4" fillId="0" borderId="0" xfId="0" applyFont="true" applyBorder="false" applyAlignment="true" applyProtection="false">
      <alignment horizontal="center" vertical="center" textRotation="0" wrapText="false" indent="0" shrinkToFit="false"/>
      <protection locked="true" hidden="false"/>
    </xf>
    <xf numFmtId="167" fontId="4" fillId="0" borderId="0" xfId="0" applyFont="true" applyBorder="false" applyAlignment="true" applyProtection="false">
      <alignment horizontal="center" vertical="center" textRotation="0" wrapText="false" indent="0" shrinkToFit="false"/>
      <protection locked="true" hidden="false"/>
    </xf>
    <xf numFmtId="170" fontId="4" fillId="0" borderId="46" xfId="0" applyFont="true" applyBorder="true" applyAlignment="true" applyProtection="false">
      <alignment horizontal="center" vertical="center" textRotation="0" wrapText="false" indent="0" shrinkToFit="false"/>
      <protection locked="true" hidden="false"/>
    </xf>
    <xf numFmtId="164" fontId="21" fillId="11" borderId="9" xfId="0" applyFont="true" applyBorder="true" applyAlignment="true" applyProtection="false">
      <alignment horizontal="center" vertical="center" textRotation="0" wrapText="false" indent="0" shrinkToFit="false"/>
      <protection locked="true" hidden="false"/>
    </xf>
    <xf numFmtId="164" fontId="10" fillId="13" borderId="15" xfId="0" applyFont="true" applyBorder="true" applyAlignment="true" applyProtection="false">
      <alignment horizontal="center" vertical="center" textRotation="0" wrapText="true" indent="0" shrinkToFit="false"/>
      <protection locked="true" hidden="false"/>
    </xf>
    <xf numFmtId="164" fontId="35" fillId="5" borderId="4" xfId="0" applyFont="true" applyBorder="true" applyAlignment="true" applyProtection="false">
      <alignment horizontal="center" vertical="center" textRotation="0" wrapText="true" indent="0" shrinkToFit="false"/>
      <protection locked="true" hidden="false"/>
    </xf>
    <xf numFmtId="164" fontId="4" fillId="0" borderId="20" xfId="0" applyFont="true" applyBorder="true" applyAlignment="true" applyProtection="false">
      <alignment horizontal="left" vertical="center" textRotation="0" wrapText="false" indent="0" shrinkToFit="false"/>
      <protection locked="true" hidden="false"/>
    </xf>
    <xf numFmtId="164" fontId="4" fillId="0" borderId="37" xfId="0" applyFont="true" applyBorder="true" applyAlignment="true" applyProtection="false">
      <alignment horizontal="center" vertical="center" textRotation="0" wrapText="false" indent="0" shrinkToFit="false"/>
      <protection locked="true" hidden="false"/>
    </xf>
    <xf numFmtId="164" fontId="4" fillId="0" borderId="40" xfId="0" applyFont="true" applyBorder="true" applyAlignment="true" applyProtection="false">
      <alignment horizontal="left" vertical="center" textRotation="0" wrapText="false" indent="0" shrinkToFit="false"/>
      <protection locked="true" hidden="false"/>
    </xf>
    <xf numFmtId="166" fontId="4" fillId="0" borderId="40" xfId="0" applyFont="true" applyBorder="true" applyAlignment="true" applyProtection="false">
      <alignment horizontal="center" vertical="center" textRotation="0" wrapText="false" indent="0" shrinkToFit="false"/>
      <protection locked="true" hidden="false"/>
    </xf>
    <xf numFmtId="167" fontId="4" fillId="0" borderId="40" xfId="0" applyFont="true" applyBorder="true" applyAlignment="true" applyProtection="false">
      <alignment horizontal="center" vertical="center" textRotation="0" wrapText="false" indent="0" shrinkToFit="false"/>
      <protection locked="true" hidden="false"/>
    </xf>
    <xf numFmtId="170" fontId="4" fillId="0" borderId="48" xfId="0" applyFont="true" applyBorder="true" applyAlignment="true" applyProtection="false">
      <alignment horizontal="center" vertical="center" textRotation="0" wrapText="false" indent="0" shrinkToFit="false"/>
      <protection locked="true" hidden="false"/>
    </xf>
    <xf numFmtId="164" fontId="10" fillId="0" borderId="17" xfId="0" applyFont="true" applyBorder="true" applyAlignment="true" applyProtection="false">
      <alignment horizontal="center" vertical="center" textRotation="0" wrapText="false" indent="0" shrinkToFit="false"/>
      <protection locked="true" hidden="false"/>
    </xf>
    <xf numFmtId="164" fontId="33" fillId="0" borderId="4" xfId="0" applyFont="true" applyBorder="true" applyAlignment="true" applyProtection="false">
      <alignment horizontal="center" vertical="center" textRotation="0" wrapText="false" indent="0" shrinkToFit="false"/>
      <protection locked="true" hidden="false"/>
    </xf>
    <xf numFmtId="166" fontId="33" fillId="0" borderId="4" xfId="0" applyFont="true" applyBorder="true" applyAlignment="true" applyProtection="false">
      <alignment horizontal="center" vertical="center" textRotation="0" wrapText="false" indent="0" shrinkToFit="false"/>
      <protection locked="true" hidden="false"/>
    </xf>
    <xf numFmtId="166" fontId="36" fillId="0" borderId="4" xfId="0" applyFont="true" applyBorder="true" applyAlignment="true" applyProtection="false">
      <alignment horizontal="center" vertical="center" textRotation="0" wrapText="true" indent="0" shrinkToFit="false"/>
      <protection locked="true" hidden="false"/>
    </xf>
    <xf numFmtId="167" fontId="10" fillId="0" borderId="41" xfId="0" applyFont="true" applyBorder="true" applyAlignment="true" applyProtection="false">
      <alignment horizontal="center" vertical="center" textRotation="0" wrapText="true" indent="0" shrinkToFit="false"/>
      <protection locked="true" hidden="false"/>
    </xf>
    <xf numFmtId="170" fontId="10" fillId="0" borderId="19" xfId="0" applyFont="true" applyBorder="true" applyAlignment="true" applyProtection="false">
      <alignment horizontal="center" vertical="center" textRotation="0" wrapText="false" indent="0" shrinkToFit="false"/>
      <protection locked="true" hidden="false"/>
    </xf>
    <xf numFmtId="164" fontId="12" fillId="0" borderId="49" xfId="0" applyFont="true" applyBorder="true" applyAlignment="true" applyProtection="false">
      <alignment horizontal="center" vertical="center" textRotation="0" wrapText="true" indent="0" shrinkToFit="false"/>
      <protection locked="true" hidden="false"/>
    </xf>
    <xf numFmtId="166" fontId="12" fillId="0" borderId="4" xfId="15" applyFont="true" applyBorder="true" applyAlignment="true" applyProtection="true">
      <alignment horizontal="center" vertical="center" textRotation="0" wrapText="false" indent="0" shrinkToFit="false"/>
      <protection locked="true" hidden="false"/>
    </xf>
    <xf numFmtId="166" fontId="12" fillId="0" borderId="18" xfId="15" applyFont="true" applyBorder="true" applyAlignment="true" applyProtection="true">
      <alignment horizontal="center" vertical="center" textRotation="0" wrapText="false" indent="0" shrinkToFit="false"/>
      <protection locked="true" hidden="false"/>
    </xf>
    <xf numFmtId="167" fontId="4" fillId="17" borderId="4" xfId="0" applyFont="true" applyBorder="true" applyAlignment="true" applyProtection="true">
      <alignment horizontal="center" vertical="center" textRotation="0" wrapText="false" indent="0" shrinkToFit="false"/>
      <protection locked="false" hidden="false"/>
    </xf>
    <xf numFmtId="170" fontId="12" fillId="0" borderId="48" xfId="15" applyFont="true" applyBorder="true" applyAlignment="true" applyProtection="true">
      <alignment horizontal="center" vertical="center" textRotation="0" wrapText="false" indent="0" shrinkToFit="false"/>
      <protection locked="true" hidden="false"/>
    </xf>
    <xf numFmtId="164" fontId="37" fillId="0" borderId="4" xfId="0" applyFont="true" applyBorder="true" applyAlignment="true" applyProtection="false">
      <alignment horizontal="center" vertical="center" textRotation="0" wrapText="false" indent="0" shrinkToFit="false"/>
      <protection locked="true" hidden="false"/>
    </xf>
    <xf numFmtId="164" fontId="12" fillId="0" borderId="17" xfId="0" applyFont="true" applyBorder="true" applyAlignment="true" applyProtection="false">
      <alignment horizontal="center" vertical="center" textRotation="0" wrapText="true" indent="0" shrinkToFit="false"/>
      <protection locked="true" hidden="false"/>
    </xf>
    <xf numFmtId="164" fontId="19" fillId="0" borderId="4" xfId="0" applyFont="true" applyBorder="true" applyAlignment="true" applyProtection="false">
      <alignment horizontal="justify" vertical="center" textRotation="0" wrapText="true" indent="0" shrinkToFit="false"/>
      <protection locked="true" hidden="false"/>
    </xf>
    <xf numFmtId="166" fontId="6" fillId="0" borderId="11" xfId="0" applyFont="true" applyBorder="true" applyAlignment="true" applyProtection="false">
      <alignment horizontal="center" vertical="center" textRotation="0" wrapText="false" indent="0" shrinkToFit="false"/>
      <protection locked="true" hidden="false"/>
    </xf>
    <xf numFmtId="164" fontId="38" fillId="0" borderId="53" xfId="0" applyFont="true" applyBorder="true" applyAlignment="true" applyProtection="false">
      <alignment horizontal="justify" vertical="center" textRotation="0" wrapText="true" indent="0" shrinkToFit="false"/>
      <protection locked="true" hidden="false"/>
    </xf>
    <xf numFmtId="170" fontId="10" fillId="0" borderId="17" xfId="0" applyFont="true" applyBorder="true" applyAlignment="true" applyProtection="false">
      <alignment horizontal="center" vertical="center" textRotation="0" wrapText="false" indent="0" shrinkToFit="false"/>
      <protection locked="true" hidden="false"/>
    </xf>
    <xf numFmtId="170" fontId="10" fillId="0" borderId="19" xfId="15" applyFont="true" applyBorder="true" applyAlignment="true" applyProtection="true">
      <alignment horizontal="center" vertical="center" textRotation="0" wrapText="false" indent="0" shrinkToFit="false"/>
      <protection locked="true" hidden="false"/>
    </xf>
    <xf numFmtId="164" fontId="21" fillId="11" borderId="54" xfId="0" applyFont="true" applyBorder="true" applyAlignment="true" applyProtection="false">
      <alignment horizontal="left" vertical="center" textRotation="0" wrapText="false" indent="0" shrinkToFit="false"/>
      <protection locked="true" hidden="false"/>
    </xf>
    <xf numFmtId="167" fontId="21" fillId="11" borderId="55" xfId="0" applyFont="true" applyBorder="true" applyAlignment="true" applyProtection="false">
      <alignment horizontal="center" vertical="center" textRotation="0" wrapText="false" indent="0" shrinkToFit="false"/>
      <protection locked="true" hidden="false"/>
    </xf>
    <xf numFmtId="170" fontId="39" fillId="11" borderId="29" xfId="15" applyFont="true" applyBorder="true" applyAlignment="true" applyProtection="true">
      <alignment horizontal="center" vertical="center" textRotation="0" wrapText="false" indent="0" shrinkToFit="false"/>
      <protection locked="true" hidden="false"/>
    </xf>
    <xf numFmtId="166" fontId="12" fillId="0" borderId="0" xfId="15" applyFont="true" applyBorder="true" applyAlignment="true" applyProtection="true">
      <alignment horizontal="center" vertical="center" textRotation="0" wrapText="false" indent="0" shrinkToFit="false"/>
      <protection locked="true" hidden="false"/>
    </xf>
    <xf numFmtId="167" fontId="12" fillId="0" borderId="0" xfId="15" applyFont="true" applyBorder="true" applyAlignment="true" applyProtection="true">
      <alignment horizontal="center" vertical="center" textRotation="0" wrapText="false" indent="0" shrinkToFit="false"/>
      <protection locked="true" hidden="false"/>
    </xf>
    <xf numFmtId="170" fontId="12" fillId="0" borderId="46" xfId="15" applyFont="true" applyBorder="true" applyAlignment="true" applyProtection="true">
      <alignment horizontal="center" vertical="center" textRotation="0" wrapText="false" indent="0" shrinkToFit="false"/>
      <protection locked="true" hidden="false"/>
    </xf>
    <xf numFmtId="164" fontId="35" fillId="5" borderId="41" xfId="0" applyFont="true" applyBorder="true" applyAlignment="true" applyProtection="false">
      <alignment horizontal="center" vertical="center" textRotation="0" wrapText="true" indent="0" shrinkToFit="false"/>
      <protection locked="true" hidden="false"/>
    </xf>
    <xf numFmtId="164" fontId="10" fillId="5" borderId="41" xfId="0" applyFont="true" applyBorder="true" applyAlignment="true" applyProtection="false">
      <alignment horizontal="center" vertical="center" textRotation="0" wrapText="true" indent="0" shrinkToFit="false"/>
      <protection locked="true" hidden="false"/>
    </xf>
    <xf numFmtId="164" fontId="38" fillId="0" borderId="4" xfId="0" applyFont="true" applyBorder="true" applyAlignment="true" applyProtection="false">
      <alignment horizontal="justify" vertical="center" textRotation="0" wrapText="true" indent="0" shrinkToFit="false"/>
      <protection locked="true" hidden="false"/>
    </xf>
    <xf numFmtId="164" fontId="12" fillId="0" borderId="11" xfId="0" applyFont="true" applyBorder="true" applyAlignment="true" applyProtection="false">
      <alignment horizontal="center" vertical="center" textRotation="0" wrapText="false" indent="0" shrinkToFit="false"/>
      <protection locked="true" hidden="false"/>
    </xf>
    <xf numFmtId="164" fontId="19" fillId="0" borderId="0" xfId="0" applyFont="true" applyBorder="false" applyAlignment="true" applyProtection="false">
      <alignment horizontal="justify" vertical="center" textRotation="0" wrapText="true" indent="0" shrinkToFit="false"/>
      <protection locked="true" hidden="false"/>
    </xf>
    <xf numFmtId="164" fontId="37" fillId="0" borderId="0" xfId="0" applyFont="true" applyBorder="false" applyAlignment="true" applyProtection="false">
      <alignment horizontal="center" vertical="center" textRotation="0" wrapText="false" indent="0" shrinkToFit="false"/>
      <protection locked="true" hidden="false"/>
    </xf>
    <xf numFmtId="166" fontId="40" fillId="0" borderId="17" xfId="0" applyFont="true" applyBorder="true" applyAlignment="true" applyProtection="false">
      <alignment horizontal="center" vertical="center" textRotation="0" wrapText="false" indent="0" shrinkToFit="false"/>
      <protection locked="true" hidden="false"/>
    </xf>
    <xf numFmtId="170" fontId="10" fillId="0" borderId="22" xfId="0" applyFont="true" applyBorder="true" applyAlignment="true" applyProtection="false">
      <alignment horizontal="center" vertical="center" textRotation="0" wrapText="false" indent="0" shrinkToFit="false"/>
      <protection locked="true" hidden="false"/>
    </xf>
    <xf numFmtId="170" fontId="10" fillId="0" borderId="25" xfId="15" applyFont="true" applyBorder="true" applyAlignment="true" applyProtection="true">
      <alignment horizontal="center"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6" fontId="21" fillId="0" borderId="0" xfId="0" applyFont="true" applyBorder="false" applyAlignment="true" applyProtection="false">
      <alignment horizontal="center" vertical="center" textRotation="0" wrapText="false" indent="0" shrinkToFit="false"/>
      <protection locked="true" hidden="false"/>
    </xf>
    <xf numFmtId="167" fontId="21" fillId="0" borderId="0" xfId="0" applyFont="true" applyBorder="false" applyAlignment="true" applyProtection="false">
      <alignment horizontal="center" vertical="center" textRotation="0" wrapText="false" indent="0" shrinkToFit="false"/>
      <protection locked="true" hidden="false"/>
    </xf>
    <xf numFmtId="170" fontId="21" fillId="0" borderId="46" xfId="15" applyFont="true" applyBorder="true" applyAlignment="true" applyProtection="true">
      <alignment horizontal="center" vertical="center" textRotation="0" wrapText="false" indent="0" shrinkToFit="false"/>
      <protection locked="true" hidden="false"/>
    </xf>
    <xf numFmtId="167" fontId="10" fillId="0" borderId="4" xfId="0" applyFont="true" applyBorder="true" applyAlignment="true" applyProtection="false">
      <alignment horizontal="center" vertical="center" textRotation="0" wrapText="true" indent="0" shrinkToFit="false"/>
      <protection locked="true" hidden="false"/>
    </xf>
    <xf numFmtId="164" fontId="10" fillId="0" borderId="4" xfId="0" applyFont="true" applyBorder="true" applyAlignment="true" applyProtection="false">
      <alignment horizontal="general" vertical="center" textRotation="0" wrapText="true" indent="0" shrinkToFit="false"/>
      <protection locked="true" hidden="false"/>
    </xf>
    <xf numFmtId="164" fontId="30" fillId="0" borderId="53" xfId="0" applyFont="true" applyBorder="true" applyAlignment="true" applyProtection="false">
      <alignment horizontal="justify" vertical="center" textRotation="0" wrapText="true" indent="0" shrinkToFit="false"/>
      <protection locked="true" hidden="false"/>
    </xf>
    <xf numFmtId="166" fontId="41" fillId="0" borderId="17" xfId="0" applyFont="true" applyBorder="true" applyAlignment="true" applyProtection="false">
      <alignment horizontal="center" vertical="center" textRotation="0" wrapText="false" indent="0" shrinkToFit="false"/>
      <protection locked="true" hidden="false"/>
    </xf>
    <xf numFmtId="164" fontId="30" fillId="0" borderId="4" xfId="0" applyFont="true" applyBorder="true" applyAlignment="true" applyProtection="false">
      <alignment horizontal="justify" vertical="center" textRotation="0" wrapText="true" indent="0" shrinkToFit="false"/>
      <protection locked="true" hidden="false"/>
    </xf>
    <xf numFmtId="164" fontId="8" fillId="0" borderId="17" xfId="0" applyFont="true" applyBorder="true" applyAlignment="true" applyProtection="false">
      <alignment horizontal="center" vertical="center" textRotation="0" wrapText="false" indent="0" shrinkToFit="false"/>
      <protection locked="true" hidden="false"/>
    </xf>
    <xf numFmtId="170" fontId="0" fillId="0" borderId="19" xfId="0" applyFont="false" applyBorder="true" applyAlignment="true" applyProtection="false">
      <alignment horizontal="center" vertical="bottom" textRotation="0" wrapText="false" indent="0" shrinkToFit="false"/>
      <protection locked="true" hidden="false"/>
    </xf>
    <xf numFmtId="170" fontId="12" fillId="0" borderId="0" xfId="0" applyFont="true" applyBorder="fals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general" vertical="center" textRotation="0" wrapText="false" indent="0" shrinkToFit="false"/>
      <protection locked="true" hidden="false"/>
    </xf>
    <xf numFmtId="164" fontId="12" fillId="0" borderId="2" xfId="0" applyFont="true" applyBorder="true" applyAlignment="true" applyProtection="false">
      <alignment horizontal="general" vertical="center" textRotation="0" wrapText="false" indent="0" shrinkToFit="false"/>
      <protection locked="true" hidden="false"/>
    </xf>
    <xf numFmtId="170" fontId="12" fillId="0" borderId="2" xfId="0" applyFont="true" applyBorder="true" applyAlignment="true" applyProtection="false">
      <alignment horizontal="center" vertical="center" textRotation="0" wrapText="false" indent="0" shrinkToFit="false"/>
      <protection locked="true" hidden="false"/>
    </xf>
    <xf numFmtId="170" fontId="12" fillId="0" borderId="2" xfId="0" applyFont="true" applyBorder="true" applyAlignment="true" applyProtection="false">
      <alignment horizontal="center" vertical="bottom" textRotation="0" wrapText="false" indent="0" shrinkToFit="false"/>
      <protection locked="true" hidden="false"/>
    </xf>
    <xf numFmtId="170" fontId="12" fillId="0" borderId="45" xfId="0" applyFont="true" applyBorder="true" applyAlignment="true" applyProtection="false">
      <alignment horizontal="center" vertical="bottom" textRotation="0" wrapText="false" indent="0" shrinkToFit="false"/>
      <protection locked="true" hidden="false"/>
    </xf>
    <xf numFmtId="164" fontId="5" fillId="0" borderId="3" xfId="0" applyFont="true" applyBorder="true" applyAlignment="true" applyProtection="false">
      <alignment horizontal="general" vertical="center" textRotation="0" wrapText="false" indent="0" shrinkToFit="false"/>
      <protection locked="true" hidden="false"/>
    </xf>
    <xf numFmtId="170" fontId="12" fillId="0" borderId="0" xfId="0" applyFont="true" applyBorder="false" applyAlignment="true" applyProtection="false">
      <alignment horizontal="center" vertical="center" textRotation="0" wrapText="false" indent="0" shrinkToFit="false"/>
      <protection locked="true" hidden="false"/>
    </xf>
    <xf numFmtId="170" fontId="12" fillId="0" borderId="46" xfId="0" applyFont="true" applyBorder="true" applyAlignment="true" applyProtection="false">
      <alignment horizontal="center" vertical="bottom" textRotation="0" wrapText="false" indent="0" shrinkToFit="false"/>
      <protection locked="true" hidden="false"/>
    </xf>
    <xf numFmtId="165" fontId="13" fillId="0" borderId="0" xfId="0" applyFont="true" applyBorder="false" applyAlignment="false" applyProtection="false">
      <alignment horizontal="general" vertical="bottom" textRotation="0" wrapText="false" indent="0" shrinkToFit="false"/>
      <protection locked="true" hidden="false"/>
    </xf>
    <xf numFmtId="164" fontId="21" fillId="11" borderId="9" xfId="0" applyFont="true" applyBorder="true" applyAlignment="true" applyProtection="false">
      <alignment horizontal="center" vertical="center" textRotation="0" wrapText="true" indent="0" shrinkToFit="false"/>
      <protection locked="true" hidden="false"/>
    </xf>
    <xf numFmtId="164" fontId="21" fillId="11" borderId="47" xfId="0" applyFont="true" applyBorder="true" applyAlignment="true" applyProtection="false">
      <alignment horizontal="center" vertical="center" textRotation="0" wrapText="false" indent="0" shrinkToFit="false"/>
      <protection locked="true" hidden="false"/>
    </xf>
    <xf numFmtId="165" fontId="5" fillId="0" borderId="50" xfId="0" applyFont="true" applyBorder="true" applyAlignment="true" applyProtection="false">
      <alignment horizontal="left" vertical="center" textRotation="0" wrapText="false" indent="0" shrinkToFit="false"/>
      <protection locked="true" hidden="false"/>
    </xf>
    <xf numFmtId="165" fontId="10" fillId="0" borderId="35" xfId="0" applyFont="true" applyBorder="true" applyAlignment="true" applyProtection="false">
      <alignment horizontal="left" vertical="center" textRotation="0" wrapText="false" indent="0" shrinkToFit="false"/>
      <protection locked="true" hidden="false"/>
    </xf>
    <xf numFmtId="170" fontId="29" fillId="11" borderId="9" xfId="0" applyFont="true" applyBorder="true" applyAlignment="true" applyProtection="false">
      <alignment horizontal="center" vertical="center" textRotation="0" wrapText="true" indent="0" shrinkToFit="false"/>
      <protection locked="true" hidden="false"/>
    </xf>
    <xf numFmtId="164" fontId="10" fillId="11" borderId="56" xfId="0" applyFont="true" applyBorder="true" applyAlignment="true" applyProtection="false">
      <alignment horizontal="left" vertical="center" textRotation="0" wrapText="true" indent="0" shrinkToFit="false"/>
      <protection locked="true" hidden="false"/>
    </xf>
    <xf numFmtId="164" fontId="12" fillId="11" borderId="55" xfId="0" applyFont="true" applyBorder="true" applyAlignment="true" applyProtection="false">
      <alignment horizontal="general" vertical="center" textRotation="0" wrapText="true" indent="0" shrinkToFit="false"/>
      <protection locked="true" hidden="false"/>
    </xf>
    <xf numFmtId="164" fontId="10" fillId="11" borderId="35" xfId="0" applyFont="true" applyBorder="true" applyAlignment="true" applyProtection="false">
      <alignment horizontal="center" vertical="center" textRotation="0" wrapText="false" indent="0" shrinkToFit="false"/>
      <protection locked="true" hidden="false"/>
    </xf>
    <xf numFmtId="164" fontId="13" fillId="0" borderId="4" xfId="0" applyFont="true" applyBorder="true" applyAlignment="true" applyProtection="false">
      <alignment horizontal="center" vertical="center" textRotation="0" wrapText="false" indent="0" shrinkToFit="false"/>
      <protection locked="true" hidden="false"/>
    </xf>
    <xf numFmtId="164" fontId="13" fillId="0" borderId="4" xfId="0" applyFont="true" applyBorder="true" applyAlignment="true" applyProtection="false">
      <alignment horizontal="center" vertical="center" textRotation="0" wrapText="true" indent="0" shrinkToFit="false"/>
      <protection locked="true" hidden="false"/>
    </xf>
    <xf numFmtId="164" fontId="13" fillId="0" borderId="57" xfId="0" applyFont="true" applyBorder="true" applyAlignment="true" applyProtection="false">
      <alignment horizontal="center" vertical="center" textRotation="0" wrapText="false" indent="0" shrinkToFit="false"/>
      <protection locked="true" hidden="false"/>
    </xf>
    <xf numFmtId="170" fontId="13" fillId="0" borderId="19" xfId="0" applyFont="true" applyBorder="true" applyAlignment="true" applyProtection="false">
      <alignment horizontal="center" vertical="center" textRotation="0" wrapText="true" indent="0" shrinkToFit="false"/>
      <protection locked="true" hidden="false"/>
    </xf>
    <xf numFmtId="164" fontId="12" fillId="0" borderId="49" xfId="0" applyFont="true" applyBorder="true" applyAlignment="true" applyProtection="false">
      <alignment horizontal="center" vertical="center" textRotation="0" wrapText="false" indent="0" shrinkToFit="false"/>
      <protection locked="true" hidden="false"/>
    </xf>
    <xf numFmtId="165" fontId="12" fillId="0" borderId="4" xfId="0" applyFont="true" applyBorder="true" applyAlignment="true" applyProtection="false">
      <alignment horizontal="left" vertical="center" textRotation="0" wrapText="false" indent="0" shrinkToFit="false"/>
      <protection locked="true" hidden="false"/>
    </xf>
    <xf numFmtId="170" fontId="12" fillId="11" borderId="4" xfId="0" applyFont="true" applyBorder="true" applyAlignment="true" applyProtection="false">
      <alignment horizontal="center" vertical="center" textRotation="0" wrapText="false" indent="0" shrinkToFit="false"/>
      <protection locked="true" hidden="false"/>
    </xf>
    <xf numFmtId="170" fontId="12" fillId="0" borderId="4" xfId="0" applyFont="true" applyBorder="true" applyAlignment="true" applyProtection="false">
      <alignment horizontal="center" vertical="center" textRotation="0" wrapText="false" indent="0" shrinkToFit="false"/>
      <protection locked="true" hidden="false"/>
    </xf>
    <xf numFmtId="170" fontId="12" fillId="0" borderId="19" xfId="0" applyFont="true" applyBorder="true" applyAlignment="true" applyProtection="false">
      <alignment horizontal="center" vertical="center" textRotation="0" wrapText="false" indent="0" shrinkToFit="false"/>
      <protection locked="true" hidden="false"/>
    </xf>
    <xf numFmtId="172" fontId="12" fillId="0" borderId="4" xfId="0" applyFont="true" applyBorder="true" applyAlignment="true" applyProtection="false">
      <alignment horizontal="center" vertical="center" textRotation="0" wrapText="false" indent="0" shrinkToFit="false"/>
      <protection locked="true" hidden="false"/>
    </xf>
    <xf numFmtId="164" fontId="12" fillId="0" borderId="41" xfId="0" applyFont="true" applyBorder="true" applyAlignment="true" applyProtection="false">
      <alignment horizontal="general" vertical="center" textRotation="0" wrapText="true" indent="0" shrinkToFit="false"/>
      <protection locked="true" hidden="false"/>
    </xf>
    <xf numFmtId="172" fontId="12" fillId="0" borderId="41" xfId="0" applyFont="true" applyBorder="true" applyAlignment="true" applyProtection="false">
      <alignment horizontal="center" vertical="center" textRotation="0" wrapText="false" indent="0" shrinkToFit="false"/>
      <protection locked="true" hidden="false"/>
    </xf>
    <xf numFmtId="170" fontId="12" fillId="11" borderId="41" xfId="0" applyFont="true" applyBorder="true" applyAlignment="true" applyProtection="false">
      <alignment horizontal="center" vertical="center" textRotation="0" wrapText="false" indent="0" shrinkToFit="false"/>
      <protection locked="true" hidden="false"/>
    </xf>
    <xf numFmtId="170" fontId="12" fillId="0" borderId="41" xfId="0" applyFont="true" applyBorder="true" applyAlignment="true" applyProtection="false">
      <alignment horizontal="center" vertical="center" textRotation="0" wrapText="false" indent="0" shrinkToFit="false"/>
      <protection locked="true" hidden="false"/>
    </xf>
    <xf numFmtId="170" fontId="12" fillId="0" borderId="58" xfId="0" applyFont="true" applyBorder="true" applyAlignment="true" applyProtection="false">
      <alignment horizontal="center" vertical="center" textRotation="0" wrapText="false" indent="0" shrinkToFit="false"/>
      <protection locked="true" hidden="false"/>
    </xf>
    <xf numFmtId="170" fontId="10" fillId="11" borderId="4" xfId="0" applyFont="true" applyBorder="true" applyAlignment="true" applyProtection="false">
      <alignment horizontal="center" vertical="center" textRotation="0" wrapText="false" indent="0" shrinkToFit="false"/>
      <protection locked="true" hidden="false"/>
    </xf>
    <xf numFmtId="170" fontId="10" fillId="11" borderId="19" xfId="0" applyFont="true" applyBorder="true" applyAlignment="true" applyProtection="false">
      <alignment horizontal="center" vertical="center" textRotation="0" wrapText="false" indent="0" shrinkToFit="false"/>
      <protection locked="true" hidden="false"/>
    </xf>
    <xf numFmtId="164" fontId="12" fillId="0" borderId="53" xfId="0" applyFont="true" applyBorder="true" applyAlignment="true" applyProtection="false">
      <alignment horizontal="left" vertical="center" textRotation="0" wrapText="false" indent="0" shrinkToFit="false"/>
      <protection locked="true" hidden="false"/>
    </xf>
    <xf numFmtId="172" fontId="12" fillId="0" borderId="12" xfId="0" applyFont="true" applyBorder="true" applyAlignment="true" applyProtection="false">
      <alignment horizontal="center" vertical="center" textRotation="0" wrapText="false" indent="0" shrinkToFit="false"/>
      <protection locked="true" hidden="false"/>
    </xf>
    <xf numFmtId="164" fontId="10" fillId="11" borderId="59" xfId="0" applyFont="true" applyBorder="true" applyAlignment="true" applyProtection="false">
      <alignment horizontal="left" vertical="center" textRotation="0" wrapText="false" indent="0" shrinkToFit="false"/>
      <protection locked="true" hidden="false"/>
    </xf>
    <xf numFmtId="170" fontId="10" fillId="11" borderId="7" xfId="0" applyFont="true" applyBorder="true" applyAlignment="true" applyProtection="false">
      <alignment horizontal="center" vertical="center" textRotation="0" wrapText="false" indent="0" shrinkToFit="false"/>
      <protection locked="true" hidden="false"/>
    </xf>
    <xf numFmtId="170" fontId="10" fillId="11" borderId="8" xfId="0" applyFont="true" applyBorder="true" applyAlignment="true" applyProtection="false">
      <alignment horizontal="center" vertical="center" textRotation="0" wrapText="false" indent="0" shrinkToFit="false"/>
      <protection locked="true" hidden="false"/>
    </xf>
    <xf numFmtId="164" fontId="10" fillId="11" borderId="15"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center" textRotation="0" wrapText="false" indent="0" shrinkToFit="false"/>
      <protection locked="true" hidden="false"/>
    </xf>
    <xf numFmtId="164" fontId="12" fillId="0" borderId="17" xfId="0" applyFont="true" applyBorder="true" applyAlignment="true" applyProtection="false">
      <alignment horizontal="left" vertical="center" textRotation="0" wrapText="false" indent="0" shrinkToFit="false"/>
      <protection locked="true" hidden="false"/>
    </xf>
    <xf numFmtId="164" fontId="12" fillId="0" borderId="17" xfId="0" applyFont="true" applyBorder="true" applyAlignment="true" applyProtection="false">
      <alignment horizontal="left" vertical="center" textRotation="0" wrapText="true" indent="0" shrinkToFit="false"/>
      <protection locked="true" hidden="false"/>
    </xf>
    <xf numFmtId="167" fontId="12" fillId="0" borderId="4" xfId="15" applyFont="true" applyBorder="true" applyAlignment="true" applyProtection="true">
      <alignment horizontal="center" vertical="center" textRotation="0" wrapText="false" indent="0" shrinkToFit="false"/>
      <protection locked="true" hidden="false"/>
    </xf>
    <xf numFmtId="172" fontId="12" fillId="0" borderId="4" xfId="19" applyFont="true" applyBorder="true" applyAlignment="true" applyProtection="true">
      <alignment horizontal="center" vertical="center" textRotation="0" wrapText="false" indent="0" shrinkToFit="false"/>
      <protection locked="true" hidden="false"/>
    </xf>
    <xf numFmtId="164" fontId="12" fillId="0" borderId="4" xfId="0" applyFont="true" applyBorder="true" applyAlignment="true" applyProtection="false">
      <alignment horizontal="left" vertical="center" textRotation="0" wrapText="false" indent="0" shrinkToFit="false"/>
      <protection locked="true" hidden="false"/>
    </xf>
    <xf numFmtId="164" fontId="12" fillId="0" borderId="49" xfId="0" applyFont="true" applyBorder="true" applyAlignment="true" applyProtection="false">
      <alignment horizontal="left" vertical="center" textRotation="0" wrapText="false" indent="0" shrinkToFit="false"/>
      <protection locked="true" hidden="false"/>
    </xf>
    <xf numFmtId="167" fontId="12" fillId="0" borderId="41" xfId="15" applyFont="true" applyBorder="true" applyAlignment="true" applyProtection="true">
      <alignment horizontal="center" vertical="center" textRotation="0" wrapText="false" indent="0" shrinkToFit="false"/>
      <protection locked="true" hidden="false"/>
    </xf>
    <xf numFmtId="167" fontId="12" fillId="0" borderId="41" xfId="0" applyFont="true" applyBorder="true" applyAlignment="true" applyProtection="false">
      <alignment horizontal="center" vertical="center" textRotation="0" wrapText="false" indent="0" shrinkToFit="false"/>
      <protection locked="true" hidden="false"/>
    </xf>
    <xf numFmtId="164" fontId="10" fillId="11" borderId="5" xfId="0" applyFont="true" applyBorder="true" applyAlignment="true" applyProtection="false">
      <alignment horizontal="left" vertical="center" textRotation="0" wrapText="false" indent="0" shrinkToFit="false"/>
      <protection locked="true" hidden="false"/>
    </xf>
    <xf numFmtId="170" fontId="12" fillId="0" borderId="48" xfId="0" applyFont="true" applyBorder="true" applyAlignment="true" applyProtection="false">
      <alignment horizontal="center" vertical="center" textRotation="0" wrapText="true" indent="0" shrinkToFit="false"/>
      <protection locked="true" hidden="false"/>
    </xf>
    <xf numFmtId="164" fontId="12" fillId="0" borderId="37" xfId="0" applyFont="true" applyBorder="true" applyAlignment="true" applyProtection="false">
      <alignment horizontal="general" vertical="center" textRotation="0" wrapText="false" indent="0" shrinkToFit="false"/>
      <protection locked="true" hidden="false"/>
    </xf>
    <xf numFmtId="164" fontId="12" fillId="0" borderId="40" xfId="0" applyFont="true" applyBorder="true" applyAlignment="true" applyProtection="false">
      <alignment horizontal="general" vertical="center" textRotation="0" wrapText="false" indent="0" shrinkToFit="false"/>
      <protection locked="true" hidden="false"/>
    </xf>
    <xf numFmtId="170" fontId="12" fillId="0" borderId="40" xfId="0" applyFont="true" applyBorder="true" applyAlignment="true" applyProtection="false">
      <alignment horizontal="general" vertical="center" textRotation="0" wrapText="false" indent="0" shrinkToFit="false"/>
      <protection locked="true" hidden="false"/>
    </xf>
    <xf numFmtId="164" fontId="12" fillId="0" borderId="17" xfId="0" applyFont="true" applyBorder="true" applyAlignment="true" applyProtection="false">
      <alignment horizontal="general" vertical="center" textRotation="0" wrapText="false" indent="0" shrinkToFit="false"/>
      <protection locked="true" hidden="false"/>
    </xf>
    <xf numFmtId="164" fontId="12" fillId="0" borderId="51" xfId="0" applyFont="true" applyBorder="true" applyAlignment="true" applyProtection="false">
      <alignment horizontal="general" vertical="center" textRotation="0" wrapText="false" indent="0" shrinkToFit="false"/>
      <protection locked="true" hidden="false"/>
    </xf>
    <xf numFmtId="164" fontId="12" fillId="0" borderId="31" xfId="0" applyFont="true" applyBorder="true" applyAlignment="true" applyProtection="false">
      <alignment horizontal="general" vertical="center" textRotation="0" wrapText="false" indent="0" shrinkToFit="false"/>
      <protection locked="true" hidden="false"/>
    </xf>
    <xf numFmtId="170" fontId="12" fillId="0" borderId="31" xfId="0" applyFont="true" applyBorder="true" applyAlignment="true" applyProtection="false">
      <alignment horizontal="general" vertical="center" textRotation="0" wrapText="false" indent="0" shrinkToFit="false"/>
      <protection locked="true" hidden="false"/>
    </xf>
    <xf numFmtId="164" fontId="10" fillId="11" borderId="59" xfId="0" applyFont="true" applyBorder="true" applyAlignment="true" applyProtection="false">
      <alignment horizontal="general" vertical="center" textRotation="0" wrapText="false" indent="0" shrinkToFit="false"/>
      <protection locked="true" hidden="false"/>
    </xf>
    <xf numFmtId="164" fontId="10" fillId="11" borderId="60" xfId="0" applyFont="true" applyBorder="true" applyAlignment="true" applyProtection="false">
      <alignment horizontal="general" vertical="center" textRotation="0" wrapText="false" indent="0" shrinkToFit="false"/>
      <protection locked="true" hidden="false"/>
    </xf>
    <xf numFmtId="172" fontId="10" fillId="11" borderId="7" xfId="0" applyFont="true" applyBorder="true" applyAlignment="true" applyProtection="false">
      <alignment horizontal="center" vertical="center" textRotation="0" wrapText="false" indent="0" shrinkToFit="false"/>
      <protection locked="true" hidden="false"/>
    </xf>
    <xf numFmtId="170" fontId="10" fillId="11" borderId="7" xfId="0" applyFont="true" applyBorder="true" applyAlignment="true" applyProtection="false">
      <alignment horizontal="general" vertical="center" textRotation="0" wrapText="false" indent="0" shrinkToFit="false"/>
      <protection locked="true" hidden="false"/>
    </xf>
    <xf numFmtId="164" fontId="10" fillId="11" borderId="54" xfId="0" applyFont="true" applyBorder="true" applyAlignment="true" applyProtection="false">
      <alignment horizontal="left" vertical="center" textRotation="0" wrapText="false" indent="0" shrinkToFit="false"/>
      <protection locked="true" hidden="false"/>
    </xf>
    <xf numFmtId="170" fontId="10" fillId="11" borderId="61" xfId="0" applyFont="true" applyBorder="true" applyAlignment="true" applyProtection="false">
      <alignment horizontal="center" vertical="center" textRotation="0" wrapText="false" indent="0" shrinkToFit="false"/>
      <protection locked="true" hidden="false"/>
    </xf>
    <xf numFmtId="170" fontId="10" fillId="11" borderId="29" xfId="0" applyFont="true" applyBorder="true" applyAlignment="true" applyProtection="false">
      <alignment horizontal="center" vertical="center" textRotation="0" wrapText="false" indent="0" shrinkToFit="false"/>
      <protection locked="true" hidden="false"/>
    </xf>
    <xf numFmtId="164" fontId="10" fillId="11" borderId="36" xfId="0" applyFont="true" applyBorder="true" applyAlignment="true" applyProtection="false">
      <alignment horizontal="center" vertical="center" textRotation="0" wrapText="false" indent="0" shrinkToFit="false"/>
      <protection locked="true" hidden="false"/>
    </xf>
    <xf numFmtId="164" fontId="10" fillId="11" borderId="49" xfId="0" applyFont="true" applyBorder="true" applyAlignment="true" applyProtection="false">
      <alignment horizontal="center" vertical="center" textRotation="0" wrapText="false" indent="0" shrinkToFit="false"/>
      <protection locked="true" hidden="false"/>
    </xf>
    <xf numFmtId="172" fontId="10" fillId="11" borderId="41" xfId="0" applyFont="true" applyBorder="true" applyAlignment="true" applyProtection="false">
      <alignment horizontal="center" vertical="center" textRotation="0" wrapText="false" indent="0" shrinkToFit="false"/>
      <protection locked="true" hidden="false"/>
    </xf>
    <xf numFmtId="170" fontId="10" fillId="11" borderId="41" xfId="0" applyFont="true" applyBorder="true" applyAlignment="true" applyProtection="false">
      <alignment horizontal="center" vertical="center" textRotation="0" wrapText="false" indent="0" shrinkToFit="false"/>
      <protection locked="true" hidden="false"/>
    </xf>
    <xf numFmtId="170" fontId="10" fillId="11" borderId="53" xfId="0" applyFont="true" applyBorder="true" applyAlignment="true" applyProtection="false">
      <alignment horizontal="center" vertical="center" textRotation="0" wrapText="false" indent="0" shrinkToFit="false"/>
      <protection locked="true" hidden="false"/>
    </xf>
    <xf numFmtId="170" fontId="10" fillId="11" borderId="62" xfId="0" applyFont="true" applyBorder="true" applyAlignment="true" applyProtection="false">
      <alignment horizontal="center" vertical="center" textRotation="0" wrapText="false" indent="0" shrinkToFit="false"/>
      <protection locked="true" hidden="false"/>
    </xf>
    <xf numFmtId="165" fontId="10" fillId="11" borderId="17" xfId="0" applyFont="true" applyBorder="true" applyAlignment="true" applyProtection="false">
      <alignment horizontal="general" vertical="center" textRotation="0" wrapText="false" indent="0" shrinkToFit="false"/>
      <protection locked="true" hidden="false"/>
    </xf>
    <xf numFmtId="170" fontId="21" fillId="11" borderId="4" xfId="0" applyFont="true" applyBorder="true" applyAlignment="true" applyProtection="false">
      <alignment horizontal="center" vertical="center" textRotation="0" wrapText="false" indent="0" shrinkToFit="false"/>
      <protection locked="true" hidden="false"/>
    </xf>
    <xf numFmtId="170" fontId="21" fillId="11" borderId="19" xfId="0" applyFont="true" applyBorder="true" applyAlignment="true" applyProtection="false">
      <alignment horizontal="center" vertical="center" textRotation="0" wrapText="false" indent="0" shrinkToFit="false"/>
      <protection locked="true" hidden="false"/>
    </xf>
    <xf numFmtId="168" fontId="12" fillId="0" borderId="0" xfId="0" applyFont="true" applyBorder="false" applyAlignment="false" applyProtection="false">
      <alignment horizontal="general" vertical="bottom" textRotation="0" wrapText="false" indent="0" shrinkToFit="false"/>
      <protection locked="true" hidden="false"/>
    </xf>
    <xf numFmtId="164" fontId="10" fillId="11" borderId="22" xfId="0" applyFont="true" applyBorder="true" applyAlignment="true" applyProtection="false">
      <alignment horizontal="general" vertical="center" textRotation="0" wrapText="false" indent="0" shrinkToFit="false"/>
      <protection locked="true" hidden="false"/>
    </xf>
    <xf numFmtId="167" fontId="21" fillId="11" borderId="23" xfId="0" applyFont="true" applyBorder="true" applyAlignment="true" applyProtection="false">
      <alignment horizontal="center" vertical="center" textRotation="0" wrapText="false" indent="0" shrinkToFit="false"/>
      <protection locked="true" hidden="false"/>
    </xf>
    <xf numFmtId="170" fontId="10" fillId="13" borderId="23" xfId="0" applyFont="true" applyBorder="true" applyAlignment="true" applyProtection="false">
      <alignment horizontal="center" vertical="center" textRotation="0" wrapText="true" indent="0" shrinkToFit="false"/>
      <protection locked="true" hidden="false"/>
    </xf>
    <xf numFmtId="169" fontId="10" fillId="13" borderId="25" xfId="17" applyFont="true" applyBorder="true" applyAlignment="true" applyProtection="true">
      <alignment horizontal="center" vertical="center" textRotation="0" wrapText="false" indent="0" shrinkToFit="false"/>
      <protection locked="true" hidden="false"/>
    </xf>
    <xf numFmtId="168" fontId="12" fillId="0" borderId="4" xfId="0" applyFont="true" applyBorder="true" applyAlignment="true" applyProtection="false">
      <alignment horizontal="center" vertical="center" textRotation="0" wrapText="false" indent="0" shrinkToFit="false"/>
      <protection locked="true" hidden="false"/>
    </xf>
    <xf numFmtId="165" fontId="5" fillId="0" borderId="2" xfId="0" applyFont="true" applyBorder="true" applyAlignment="false" applyProtection="false">
      <alignment horizontal="general"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4" fontId="4" fillId="0" borderId="45" xfId="0" applyFont="true" applyBorder="true" applyAlignment="false" applyProtection="false">
      <alignment horizontal="general"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4" fontId="4" fillId="0" borderId="46" xfId="0" applyFont="true" applyBorder="true" applyAlignment="false" applyProtection="false">
      <alignment horizontal="general" vertical="bottom" textRotation="0" wrapText="false" indent="0" shrinkToFit="false"/>
      <protection locked="true" hidden="false"/>
    </xf>
    <xf numFmtId="164" fontId="23" fillId="18" borderId="20" xfId="0" applyFont="true" applyBorder="true" applyAlignment="true" applyProtection="false">
      <alignment horizontal="center" vertical="center" textRotation="0" wrapText="true" indent="0" shrinkToFit="false"/>
      <protection locked="true" hidden="false"/>
    </xf>
    <xf numFmtId="164" fontId="42" fillId="0" borderId="0" xfId="0" applyFont="true" applyBorder="false" applyAlignment="true" applyProtection="false">
      <alignment horizontal="general" vertical="center" textRotation="0" wrapText="false" indent="0" shrinkToFit="false"/>
      <protection locked="true" hidden="false"/>
    </xf>
    <xf numFmtId="165" fontId="8" fillId="0" borderId="20" xfId="0" applyFont="true" applyBorder="true" applyAlignment="true" applyProtection="false">
      <alignment horizontal="center" vertical="center" textRotation="0" wrapText="false" indent="0" shrinkToFit="false"/>
      <protection locked="true" hidden="false"/>
    </xf>
    <xf numFmtId="165" fontId="12" fillId="8" borderId="63" xfId="0" applyFont="true" applyBorder="true" applyAlignment="true" applyProtection="false">
      <alignment horizontal="center" vertical="center" textRotation="0" wrapText="false" indent="0" shrinkToFit="false"/>
      <protection locked="true" hidden="false"/>
    </xf>
    <xf numFmtId="164" fontId="9" fillId="11" borderId="59" xfId="0" applyFont="true" applyBorder="true" applyAlignment="true" applyProtection="false">
      <alignment horizontal="general" vertical="center" textRotation="0" wrapText="false" indent="0" shrinkToFit="false"/>
      <protection locked="true" hidden="false"/>
    </xf>
    <xf numFmtId="164" fontId="43" fillId="11" borderId="60" xfId="0" applyFont="true" applyBorder="true" applyAlignment="true" applyProtection="false">
      <alignment horizontal="general" vertical="center" textRotation="0" wrapText="false" indent="0" shrinkToFit="false"/>
      <protection locked="true" hidden="false"/>
    </xf>
    <xf numFmtId="164" fontId="23" fillId="11" borderId="60" xfId="0" applyFont="true" applyBorder="true" applyAlignment="true" applyProtection="false">
      <alignment horizontal="general" vertical="center" textRotation="0" wrapText="false" indent="0" shrinkToFit="false"/>
      <protection locked="true" hidden="false"/>
    </xf>
    <xf numFmtId="164" fontId="21" fillId="11" borderId="60" xfId="0" applyFont="true" applyBorder="true" applyAlignment="true" applyProtection="false">
      <alignment horizontal="general" vertical="center" textRotation="0" wrapText="false" indent="0" shrinkToFit="false"/>
      <protection locked="true" hidden="false"/>
    </xf>
    <xf numFmtId="164" fontId="9" fillId="11" borderId="60" xfId="0" applyFont="true" applyBorder="true" applyAlignment="true" applyProtection="false">
      <alignment horizontal="general" vertical="center" textRotation="0" wrapText="false" indent="0" shrinkToFit="false"/>
      <protection locked="true" hidden="false"/>
    </xf>
    <xf numFmtId="164" fontId="21" fillId="11" borderId="64" xfId="0" applyFont="true" applyBorder="true" applyAlignment="true" applyProtection="false">
      <alignment horizontal="center" vertical="center" textRotation="0" wrapText="true" indent="0" shrinkToFit="false"/>
      <protection locked="true" hidden="false"/>
    </xf>
    <xf numFmtId="164" fontId="10" fillId="11" borderId="50" xfId="0" applyFont="true" applyBorder="true" applyAlignment="true" applyProtection="false">
      <alignment horizontal="center" vertical="center" textRotation="90" wrapText="false" indent="0" shrinkToFit="false"/>
      <protection locked="true" hidden="false"/>
    </xf>
    <xf numFmtId="164" fontId="8" fillId="11" borderId="47" xfId="0" applyFont="true" applyBorder="true" applyAlignment="true" applyProtection="false">
      <alignment horizontal="center" vertical="center" textRotation="0" wrapText="true" indent="0" shrinkToFit="false"/>
      <protection locked="true" hidden="false"/>
    </xf>
    <xf numFmtId="164" fontId="21" fillId="11" borderId="54" xfId="0" applyFont="true" applyBorder="true" applyAlignment="true" applyProtection="false">
      <alignment horizontal="center" vertical="center" textRotation="0" wrapText="false" indent="0" shrinkToFit="false"/>
      <protection locked="true" hidden="false"/>
    </xf>
    <xf numFmtId="164" fontId="21" fillId="11" borderId="50" xfId="0" applyFont="true" applyBorder="true" applyAlignment="true" applyProtection="false">
      <alignment horizontal="center" vertical="center" textRotation="0" wrapText="true" indent="0" shrinkToFit="false"/>
      <protection locked="true" hidden="false"/>
    </xf>
    <xf numFmtId="164" fontId="8" fillId="11" borderId="65" xfId="0" applyFont="true" applyBorder="true" applyAlignment="true" applyProtection="false">
      <alignment horizontal="center" vertical="center" textRotation="0" wrapText="true" indent="0" shrinkToFit="false"/>
      <protection locked="true" hidden="false"/>
    </xf>
    <xf numFmtId="164" fontId="8" fillId="11" borderId="9" xfId="0" applyFont="true" applyBorder="true" applyAlignment="true" applyProtection="false">
      <alignment horizontal="center" vertical="center" textRotation="0" wrapText="true" indent="0" shrinkToFit="false"/>
      <protection locked="true" hidden="false"/>
    </xf>
    <xf numFmtId="164" fontId="8" fillId="11" borderId="36" xfId="0" applyFont="true" applyBorder="true" applyAlignment="true" applyProtection="false">
      <alignment horizontal="center" vertical="center" textRotation="0" wrapText="true" indent="0" shrinkToFit="false"/>
      <protection locked="true" hidden="false"/>
    </xf>
    <xf numFmtId="164" fontId="8" fillId="11" borderId="2" xfId="0" applyFont="true" applyBorder="true" applyAlignment="true" applyProtection="false">
      <alignment horizontal="center" vertical="center" textRotation="0" wrapText="true" indent="0" shrinkToFit="false"/>
      <protection locked="true" hidden="false"/>
    </xf>
    <xf numFmtId="164" fontId="10" fillId="11" borderId="36" xfId="0" applyFont="true" applyBorder="true" applyAlignment="true" applyProtection="false">
      <alignment horizontal="center" vertical="center" textRotation="0" wrapText="true" indent="0" shrinkToFit="false"/>
      <protection locked="true" hidden="false"/>
    </xf>
    <xf numFmtId="164" fontId="12" fillId="11" borderId="37" xfId="0" applyFont="true" applyBorder="true" applyAlignment="true" applyProtection="false">
      <alignment horizontal="center" vertical="center" textRotation="0" wrapText="true" indent="0" shrinkToFit="false"/>
      <protection locked="true" hidden="false"/>
    </xf>
    <xf numFmtId="164" fontId="20" fillId="11" borderId="66" xfId="0" applyFont="true" applyBorder="true" applyAlignment="true" applyProtection="false">
      <alignment horizontal="center" vertical="center" textRotation="0" wrapText="true" indent="0" shrinkToFit="false"/>
      <protection locked="true" hidden="false"/>
    </xf>
    <xf numFmtId="164" fontId="12" fillId="11" borderId="34" xfId="0" applyFont="true" applyBorder="true" applyAlignment="true" applyProtection="false">
      <alignment horizontal="center" vertical="center" textRotation="0" wrapText="true" indent="0" shrinkToFit="false"/>
      <protection locked="true" hidden="false"/>
    </xf>
    <xf numFmtId="164" fontId="12" fillId="11" borderId="43" xfId="0" applyFont="true" applyBorder="true" applyAlignment="true" applyProtection="false">
      <alignment horizontal="center" vertical="center" textRotation="0" wrapText="true" indent="0" shrinkToFit="false"/>
      <protection locked="true" hidden="false"/>
    </xf>
    <xf numFmtId="164" fontId="12" fillId="11" borderId="65" xfId="0" applyFont="true" applyBorder="true" applyAlignment="true" applyProtection="false">
      <alignment horizontal="center" vertical="center" textRotation="0" wrapText="true" indent="0" shrinkToFit="false"/>
      <protection locked="true" hidden="false"/>
    </xf>
    <xf numFmtId="164" fontId="12" fillId="11" borderId="35" xfId="0" applyFont="true" applyBorder="true" applyAlignment="true" applyProtection="false">
      <alignment horizontal="center" vertical="center" textRotation="0" wrapText="true" indent="0" shrinkToFit="false"/>
      <protection locked="true" hidden="false"/>
    </xf>
    <xf numFmtId="164" fontId="12" fillId="11" borderId="59" xfId="0" applyFont="true" applyBorder="true" applyAlignment="true" applyProtection="false">
      <alignment horizontal="center" vertical="center" textRotation="0" wrapText="true" indent="0" shrinkToFit="false"/>
      <protection locked="true" hidden="false"/>
    </xf>
    <xf numFmtId="164" fontId="12" fillId="11" borderId="22" xfId="0" applyFont="true" applyBorder="true" applyAlignment="true" applyProtection="false">
      <alignment horizontal="center" vertical="center" textRotation="0" wrapText="true" indent="0" shrinkToFit="false"/>
      <protection locked="true" hidden="false"/>
    </xf>
    <xf numFmtId="164" fontId="13" fillId="11" borderId="25" xfId="0" applyFont="true" applyBorder="true" applyAlignment="true" applyProtection="false">
      <alignment horizontal="center" vertical="center" textRotation="0" wrapText="true" indent="0" shrinkToFit="false"/>
      <protection locked="true" hidden="false"/>
    </xf>
    <xf numFmtId="164" fontId="12" fillId="11" borderId="22" xfId="0" applyFont="true" applyBorder="true" applyAlignment="true" applyProtection="false">
      <alignment horizontal="center" vertical="center" textRotation="0" wrapText="false" indent="0" shrinkToFit="false"/>
      <protection locked="true" hidden="false"/>
    </xf>
    <xf numFmtId="164" fontId="12" fillId="11" borderId="23" xfId="0" applyFont="true" applyBorder="true" applyAlignment="true" applyProtection="false">
      <alignment horizontal="center" vertical="center" textRotation="0" wrapText="true" indent="0" shrinkToFit="false"/>
      <protection locked="true" hidden="false"/>
    </xf>
    <xf numFmtId="164" fontId="12" fillId="11" borderId="24" xfId="0" applyFont="true" applyBorder="true" applyAlignment="true" applyProtection="false">
      <alignment horizontal="center" vertical="center" textRotation="0" wrapText="true" indent="0" shrinkToFit="false"/>
      <protection locked="true" hidden="false"/>
    </xf>
    <xf numFmtId="164" fontId="12" fillId="11" borderId="41" xfId="0" applyFont="true" applyBorder="true" applyAlignment="true" applyProtection="false">
      <alignment horizontal="center" vertical="center" textRotation="0" wrapText="true" indent="0" shrinkToFit="false"/>
      <protection locked="true" hidden="false"/>
    </xf>
    <xf numFmtId="164" fontId="12" fillId="11" borderId="58" xfId="0" applyFont="true" applyBorder="true" applyAlignment="true" applyProtection="false">
      <alignment horizontal="center" vertical="center" textRotation="0" wrapText="true" indent="0" shrinkToFit="false"/>
      <protection locked="true" hidden="false"/>
    </xf>
    <xf numFmtId="164" fontId="12" fillId="11" borderId="67" xfId="0" applyFont="true" applyBorder="true" applyAlignment="true" applyProtection="false">
      <alignment horizontal="center" vertical="center" textRotation="0" wrapText="true" indent="0" shrinkToFit="false"/>
      <protection locked="true" hidden="false"/>
    </xf>
    <xf numFmtId="164" fontId="12" fillId="11" borderId="57" xfId="0" applyFont="true" applyBorder="true" applyAlignment="true" applyProtection="false">
      <alignment horizontal="center" vertical="center" textRotation="0" wrapText="true" indent="0" shrinkToFit="false"/>
      <protection locked="true" hidden="false"/>
    </xf>
    <xf numFmtId="164" fontId="13" fillId="11" borderId="24" xfId="0" applyFont="true" applyBorder="true" applyAlignment="true" applyProtection="false">
      <alignment horizontal="center" vertical="center" textRotation="0" wrapText="true" indent="0" shrinkToFit="false"/>
      <protection locked="true" hidden="false"/>
    </xf>
    <xf numFmtId="164" fontId="12" fillId="11" borderId="25" xfId="0" applyFont="true" applyBorder="true" applyAlignment="true" applyProtection="false">
      <alignment horizontal="center" vertical="center" textRotation="0" wrapText="true" indent="0" shrinkToFit="false"/>
      <protection locked="true" hidden="false"/>
    </xf>
    <xf numFmtId="165" fontId="10" fillId="0" borderId="66" xfId="0" applyFont="true" applyBorder="true" applyAlignment="true" applyProtection="false">
      <alignment horizontal="center" vertical="center" textRotation="91" wrapText="false" indent="0" shrinkToFit="false"/>
      <protection locked="true" hidden="false"/>
    </xf>
    <xf numFmtId="165" fontId="4" fillId="0" borderId="12" xfId="0" applyFont="true" applyBorder="true" applyAlignment="true" applyProtection="false">
      <alignment horizontal="general" vertical="center" textRotation="0" wrapText="false" indent="0" shrinkToFit="false"/>
      <protection locked="true" hidden="false"/>
    </xf>
    <xf numFmtId="166" fontId="4" fillId="0" borderId="12" xfId="0" applyFont="true" applyBorder="true" applyAlignment="true" applyProtection="false">
      <alignment horizontal="center" vertical="center" textRotation="0" wrapText="false" indent="0" shrinkToFit="false"/>
      <protection locked="true" hidden="false"/>
    </xf>
    <xf numFmtId="166" fontId="4" fillId="0" borderId="11" xfId="0" applyFont="true" applyBorder="true" applyAlignment="true" applyProtection="false">
      <alignment horizontal="center" vertical="center" textRotation="0" wrapText="false" indent="0" shrinkToFit="false"/>
      <protection locked="true" hidden="false"/>
    </xf>
    <xf numFmtId="170" fontId="4" fillId="0" borderId="12" xfId="0" applyFont="true" applyBorder="true" applyAlignment="true" applyProtection="false">
      <alignment horizontal="center" vertical="center" textRotation="0" wrapText="false" indent="0" shrinkToFit="false"/>
      <protection locked="true" hidden="false"/>
    </xf>
    <xf numFmtId="170" fontId="4" fillId="0" borderId="13" xfId="0" applyFont="true" applyBorder="true" applyAlignment="true" applyProtection="false">
      <alignment horizontal="center" vertical="center" textRotation="0" wrapText="false" indent="0" shrinkToFit="false"/>
      <protection locked="true" hidden="false"/>
    </xf>
    <xf numFmtId="170" fontId="4" fillId="0" borderId="32" xfId="0" applyFont="true" applyBorder="true" applyAlignment="true" applyProtection="false">
      <alignment horizontal="center" vertical="center" textRotation="0" wrapText="false" indent="0" shrinkToFit="false"/>
      <protection locked="true" hidden="false"/>
    </xf>
    <xf numFmtId="168" fontId="8" fillId="0" borderId="33" xfId="15" applyFont="true" applyBorder="true" applyAlignment="true" applyProtection="true">
      <alignment horizontal="center" vertical="center" textRotation="0" wrapText="false" indent="0" shrinkToFit="false"/>
      <protection locked="true" hidden="false"/>
    </xf>
    <xf numFmtId="168" fontId="8" fillId="0" borderId="34" xfId="15" applyFont="true" applyBorder="true" applyAlignment="true" applyProtection="true">
      <alignment horizontal="center" vertical="center" textRotation="0" wrapText="false" indent="0" shrinkToFit="false"/>
      <protection locked="true" hidden="false"/>
    </xf>
    <xf numFmtId="170" fontId="4" fillId="0" borderId="44" xfId="0" applyFont="true" applyBorder="true" applyAlignment="true" applyProtection="false">
      <alignment horizontal="center" vertical="center" textRotation="0" wrapText="false" indent="0" shrinkToFit="false"/>
      <protection locked="true" hidden="false"/>
    </xf>
    <xf numFmtId="170" fontId="4" fillId="0" borderId="16" xfId="0" applyFont="true" applyBorder="true" applyAlignment="true" applyProtection="false">
      <alignment horizontal="center" vertical="center" textRotation="0" wrapText="false" indent="0" shrinkToFit="false"/>
      <protection locked="true" hidden="false"/>
    </xf>
    <xf numFmtId="168" fontId="8" fillId="0" borderId="12" xfId="15" applyFont="true" applyBorder="true" applyAlignment="true" applyProtection="true">
      <alignment horizontal="center" vertical="center" textRotation="0" wrapText="false" indent="0" shrinkToFit="false"/>
      <protection locked="true" hidden="false"/>
    </xf>
    <xf numFmtId="168" fontId="8" fillId="0" borderId="13" xfId="15" applyFont="true" applyBorder="true" applyAlignment="true" applyProtection="true">
      <alignment horizontal="center" vertical="center" textRotation="0" wrapText="false" indent="0" shrinkToFit="false"/>
      <protection locked="true" hidden="false"/>
    </xf>
    <xf numFmtId="168" fontId="4" fillId="0" borderId="11" xfId="15" applyFont="true" applyBorder="true" applyAlignment="true" applyProtection="true">
      <alignment horizontal="center" vertical="center" textRotation="0" wrapText="false" indent="0" shrinkToFit="false"/>
      <protection locked="true" hidden="false"/>
    </xf>
    <xf numFmtId="168" fontId="4" fillId="0" borderId="12" xfId="15" applyFont="true" applyBorder="true" applyAlignment="true" applyProtection="true">
      <alignment horizontal="center" vertical="center" textRotation="0" wrapText="false" indent="0" shrinkToFit="false"/>
      <protection locked="true" hidden="false"/>
    </xf>
    <xf numFmtId="168" fontId="8" fillId="0" borderId="68" xfId="15" applyFont="true" applyBorder="true" applyAlignment="true" applyProtection="true">
      <alignment horizontal="center" vertical="center" textRotation="0" wrapText="false" indent="0" shrinkToFit="false"/>
      <protection locked="true" hidden="false"/>
    </xf>
    <xf numFmtId="168" fontId="8" fillId="11" borderId="11" xfId="15" applyFont="true" applyBorder="true" applyAlignment="true" applyProtection="true">
      <alignment horizontal="center" vertical="center" textRotation="0" wrapText="false" indent="0" shrinkToFit="false"/>
      <protection locked="true" hidden="false"/>
    </xf>
    <xf numFmtId="168" fontId="8" fillId="11" borderId="12" xfId="15" applyFont="true" applyBorder="true" applyAlignment="true" applyProtection="true">
      <alignment horizontal="center" vertical="center" textRotation="0" wrapText="false" indent="0" shrinkToFit="false"/>
      <protection locked="true" hidden="false"/>
    </xf>
    <xf numFmtId="168" fontId="8" fillId="11" borderId="14" xfId="15" applyFont="true" applyBorder="true" applyAlignment="true" applyProtection="true">
      <alignment horizontal="center" vertical="center" textRotation="0" wrapText="false" indent="0" shrinkToFit="false"/>
      <protection locked="true" hidden="false"/>
    </xf>
    <xf numFmtId="169" fontId="4" fillId="0" borderId="69" xfId="17" applyFont="true" applyBorder="true" applyAlignment="true" applyProtection="true">
      <alignment horizontal="right" vertical="center" textRotation="0" wrapText="false" indent="0" shrinkToFit="false"/>
      <protection locked="true" hidden="false"/>
    </xf>
    <xf numFmtId="170" fontId="4" fillId="0" borderId="17" xfId="0" applyFont="true" applyBorder="true" applyAlignment="true" applyProtection="false">
      <alignment horizontal="center" vertical="center" textRotation="0" wrapText="false" indent="0" shrinkToFit="false"/>
      <protection locked="true" hidden="false"/>
    </xf>
    <xf numFmtId="168" fontId="8" fillId="0" borderId="4" xfId="15" applyFont="true" applyBorder="true" applyAlignment="true" applyProtection="true">
      <alignment horizontal="center" vertical="center" textRotation="0" wrapText="false" indent="0" shrinkToFit="false"/>
      <protection locked="true" hidden="false"/>
    </xf>
    <xf numFmtId="168" fontId="8" fillId="0" borderId="19" xfId="15" applyFont="true" applyBorder="true" applyAlignment="true" applyProtection="true">
      <alignment horizontal="center" vertical="center" textRotation="0" wrapText="false" indent="0" shrinkToFit="false"/>
      <protection locked="true" hidden="false"/>
    </xf>
    <xf numFmtId="170" fontId="4" fillId="0" borderId="21" xfId="0" applyFont="true" applyBorder="true" applyAlignment="true" applyProtection="false">
      <alignment horizontal="center" vertical="center" textRotation="0" wrapText="false" indent="0" shrinkToFit="false"/>
      <protection locked="true" hidden="false"/>
    </xf>
    <xf numFmtId="168" fontId="8" fillId="0" borderId="18" xfId="15" applyFont="true" applyBorder="true" applyAlignment="true" applyProtection="true">
      <alignment horizontal="center" vertical="center" textRotation="0" wrapText="false" indent="0" shrinkToFit="false"/>
      <protection locked="true" hidden="false"/>
    </xf>
    <xf numFmtId="168" fontId="4" fillId="0" borderId="17" xfId="15" applyFont="true" applyBorder="true" applyAlignment="true" applyProtection="true">
      <alignment horizontal="center" vertical="center" textRotation="0" wrapText="false" indent="0" shrinkToFit="false"/>
      <protection locked="true" hidden="false"/>
    </xf>
    <xf numFmtId="168" fontId="4" fillId="0" borderId="4" xfId="15" applyFont="true" applyBorder="true" applyAlignment="true" applyProtection="true">
      <alignment horizontal="center" vertical="center" textRotation="0" wrapText="false" indent="0" shrinkToFit="false"/>
      <protection locked="true" hidden="false"/>
    </xf>
    <xf numFmtId="168" fontId="8" fillId="0" borderId="37" xfId="15" applyFont="true" applyBorder="true" applyAlignment="true" applyProtection="true">
      <alignment horizontal="center" vertical="center" textRotation="0" wrapText="false" indent="0" shrinkToFit="false"/>
      <protection locked="true" hidden="false"/>
    </xf>
    <xf numFmtId="168" fontId="4" fillId="0" borderId="19" xfId="15" applyFont="true" applyBorder="true" applyAlignment="true" applyProtection="true">
      <alignment horizontal="center" vertical="center" textRotation="0" wrapText="false" indent="0" shrinkToFit="false"/>
      <protection locked="true" hidden="false"/>
    </xf>
    <xf numFmtId="165" fontId="8" fillId="0" borderId="70" xfId="0" applyFont="true" applyBorder="true" applyAlignment="true" applyProtection="false">
      <alignment horizontal="center" vertical="center" textRotation="0" wrapText="false" indent="0" shrinkToFit="false"/>
      <protection locked="true" hidden="false"/>
    </xf>
    <xf numFmtId="168" fontId="8" fillId="11" borderId="17" xfId="15" applyFont="true" applyBorder="true" applyAlignment="true" applyProtection="true">
      <alignment horizontal="center" vertical="center" textRotation="0" wrapText="false" indent="0" shrinkToFit="false"/>
      <protection locked="true" hidden="false"/>
    </xf>
    <xf numFmtId="168" fontId="8" fillId="11" borderId="4" xfId="15" applyFont="true" applyBorder="true" applyAlignment="true" applyProtection="true">
      <alignment horizontal="center" vertical="center" textRotation="0" wrapText="false" indent="0" shrinkToFit="false"/>
      <protection locked="true" hidden="false"/>
    </xf>
    <xf numFmtId="168" fontId="8" fillId="11" borderId="19" xfId="15" applyFont="true" applyBorder="true" applyAlignment="true" applyProtection="true">
      <alignment horizontal="center" vertical="center" textRotation="0" wrapText="false" indent="0" shrinkToFit="false"/>
      <protection locked="true" hidden="false"/>
    </xf>
    <xf numFmtId="165" fontId="4" fillId="0" borderId="53" xfId="0" applyFont="true" applyBorder="true" applyAlignment="true" applyProtection="false">
      <alignment horizontal="general" vertical="center" textRotation="0" wrapText="false" indent="0" shrinkToFit="false"/>
      <protection locked="true" hidden="false"/>
    </xf>
    <xf numFmtId="166" fontId="4" fillId="0" borderId="53" xfId="0" applyFont="true" applyBorder="true" applyAlignment="true" applyProtection="false">
      <alignment horizontal="center" vertical="center" textRotation="0" wrapText="false" indent="0" shrinkToFit="false"/>
      <protection locked="true" hidden="false"/>
    </xf>
    <xf numFmtId="166" fontId="4" fillId="0" borderId="71" xfId="0" applyFont="true" applyBorder="true" applyAlignment="true" applyProtection="false">
      <alignment horizontal="center" vertical="center" textRotation="0" wrapText="false" indent="0" shrinkToFit="false"/>
      <protection locked="true" hidden="false"/>
    </xf>
    <xf numFmtId="170" fontId="4" fillId="0" borderId="53" xfId="0" applyFont="true" applyBorder="true" applyAlignment="true" applyProtection="false">
      <alignment horizontal="center" vertical="center" textRotation="0" wrapText="false" indent="0" shrinkToFit="false"/>
      <protection locked="true" hidden="false"/>
    </xf>
    <xf numFmtId="170" fontId="4" fillId="0" borderId="42" xfId="0" applyFont="true" applyBorder="true" applyAlignment="true" applyProtection="false">
      <alignment horizontal="center" vertical="center" textRotation="0" wrapText="false" indent="0" shrinkToFit="false"/>
      <protection locked="true" hidden="false"/>
    </xf>
    <xf numFmtId="170" fontId="4" fillId="0" borderId="49" xfId="0" applyFont="true" applyBorder="true" applyAlignment="true" applyProtection="false">
      <alignment horizontal="center" vertical="center" textRotation="0" wrapText="false" indent="0" shrinkToFit="false"/>
      <protection locked="true" hidden="false"/>
    </xf>
    <xf numFmtId="168" fontId="8" fillId="0" borderId="41" xfId="15" applyFont="true" applyBorder="true" applyAlignment="true" applyProtection="true">
      <alignment horizontal="center" vertical="center" textRotation="0" wrapText="false" indent="0" shrinkToFit="false"/>
      <protection locked="true" hidden="false"/>
    </xf>
    <xf numFmtId="168" fontId="8" fillId="0" borderId="58" xfId="15" applyFont="true" applyBorder="true" applyAlignment="true" applyProtection="true">
      <alignment horizontal="center" vertical="center" textRotation="0" wrapText="false" indent="0" shrinkToFit="false"/>
      <protection locked="true" hidden="false"/>
    </xf>
    <xf numFmtId="170" fontId="4" fillId="0" borderId="67" xfId="0" applyFont="true" applyBorder="true" applyAlignment="true" applyProtection="false">
      <alignment horizontal="center" vertical="center" textRotation="0" wrapText="false" indent="0" shrinkToFit="false"/>
      <protection locked="true" hidden="false"/>
    </xf>
    <xf numFmtId="168" fontId="8" fillId="0" borderId="57" xfId="15" applyFont="true" applyBorder="true" applyAlignment="true" applyProtection="true">
      <alignment horizontal="center" vertical="center" textRotation="0" wrapText="false" indent="0" shrinkToFit="false"/>
      <protection locked="true" hidden="false"/>
    </xf>
    <xf numFmtId="168" fontId="4" fillId="0" borderId="49" xfId="15" applyFont="true" applyBorder="true" applyAlignment="true" applyProtection="true">
      <alignment horizontal="center" vertical="center" textRotation="0" wrapText="false" indent="0" shrinkToFit="false"/>
      <protection locked="true" hidden="false"/>
    </xf>
    <xf numFmtId="168" fontId="4" fillId="0" borderId="41" xfId="15" applyFont="true" applyBorder="true" applyAlignment="true" applyProtection="true">
      <alignment horizontal="center" vertical="center" textRotation="0" wrapText="false" indent="0" shrinkToFit="false"/>
      <protection locked="true" hidden="false"/>
    </xf>
    <xf numFmtId="168" fontId="8" fillId="0" borderId="51" xfId="15" applyFont="true" applyBorder="true" applyAlignment="true" applyProtection="true">
      <alignment horizontal="center" vertical="center" textRotation="0" wrapText="false" indent="0" shrinkToFit="false"/>
      <protection locked="true" hidden="false"/>
    </xf>
    <xf numFmtId="168" fontId="8" fillId="11" borderId="49" xfId="15" applyFont="true" applyBorder="true" applyAlignment="true" applyProtection="true">
      <alignment horizontal="center" vertical="center" textRotation="0" wrapText="false" indent="0" shrinkToFit="false"/>
      <protection locked="true" hidden="false"/>
    </xf>
    <xf numFmtId="168" fontId="8" fillId="11" borderId="41" xfId="15" applyFont="true" applyBorder="true" applyAlignment="true" applyProtection="true">
      <alignment horizontal="center" vertical="center" textRotation="0" wrapText="false" indent="0" shrinkToFit="false"/>
      <protection locked="true" hidden="false"/>
    </xf>
    <xf numFmtId="168" fontId="8" fillId="11" borderId="58" xfId="15" applyFont="true" applyBorder="true" applyAlignment="true" applyProtection="true">
      <alignment horizontal="center" vertical="center" textRotation="0" wrapText="false" indent="0" shrinkToFit="false"/>
      <protection locked="true" hidden="false"/>
    </xf>
    <xf numFmtId="169" fontId="4" fillId="0" borderId="46" xfId="17" applyFont="true" applyBorder="true" applyAlignment="true" applyProtection="true">
      <alignment horizontal="right" vertical="center" textRotation="0" wrapText="false" indent="0" shrinkToFit="false"/>
      <protection locked="true" hidden="false"/>
    </xf>
    <xf numFmtId="166" fontId="21" fillId="11" borderId="5" xfId="0" applyFont="true" applyBorder="true" applyAlignment="true" applyProtection="false">
      <alignment horizontal="center" vertical="center" textRotation="0" wrapText="false" indent="0" shrinkToFit="false"/>
      <protection locked="true" hidden="false"/>
    </xf>
    <xf numFmtId="170" fontId="21" fillId="11" borderId="7" xfId="0" applyFont="true" applyBorder="true" applyAlignment="true" applyProtection="false">
      <alignment horizontal="center" vertical="center" textRotation="0" wrapText="false" indent="0" shrinkToFit="false"/>
      <protection locked="true" hidden="false"/>
    </xf>
    <xf numFmtId="170" fontId="21" fillId="11" borderId="6" xfId="0" applyFont="true" applyBorder="true" applyAlignment="true" applyProtection="false">
      <alignment horizontal="center" vertical="center" textRotation="0" wrapText="false" indent="0" shrinkToFit="false"/>
      <protection locked="true" hidden="false"/>
    </xf>
    <xf numFmtId="170" fontId="21" fillId="11" borderId="5" xfId="0" applyFont="true" applyBorder="true" applyAlignment="true" applyProtection="false">
      <alignment horizontal="center" vertical="center" textRotation="0" wrapText="false" indent="0" shrinkToFit="false"/>
      <protection locked="true" hidden="false"/>
    </xf>
    <xf numFmtId="170" fontId="21" fillId="11" borderId="8" xfId="0" applyFont="true" applyBorder="true" applyAlignment="true" applyProtection="false">
      <alignment horizontal="center" vertical="center" textRotation="0" wrapText="false" indent="0" shrinkToFit="false"/>
      <protection locked="true" hidden="false"/>
    </xf>
    <xf numFmtId="168" fontId="21" fillId="11" borderId="10" xfId="15" applyFont="true" applyBorder="true" applyAlignment="true" applyProtection="true">
      <alignment horizontal="center" vertical="center" textRotation="0" wrapText="false" indent="0" shrinkToFit="false"/>
      <protection locked="true" hidden="false"/>
    </xf>
    <xf numFmtId="170" fontId="21" fillId="11" borderId="10" xfId="0" applyFont="true" applyBorder="true" applyAlignment="true" applyProtection="false">
      <alignment horizontal="center" vertical="center" textRotation="0" wrapText="false" indent="0" shrinkToFit="false"/>
      <protection locked="true" hidden="false"/>
    </xf>
    <xf numFmtId="168" fontId="21" fillId="11" borderId="59" xfId="15" applyFont="true" applyBorder="true" applyAlignment="true" applyProtection="true">
      <alignment horizontal="center" vertical="center" textRotation="0" wrapText="false" indent="0" shrinkToFit="false"/>
      <protection locked="true" hidden="false"/>
    </xf>
    <xf numFmtId="168" fontId="21" fillId="11" borderId="5" xfId="15" applyFont="true" applyBorder="true" applyAlignment="true" applyProtection="true">
      <alignment horizontal="center" vertical="center" textRotation="0" wrapText="false" indent="0" shrinkToFit="false"/>
      <protection locked="true" hidden="false"/>
    </xf>
    <xf numFmtId="169" fontId="21" fillId="19" borderId="64" xfId="17" applyFont="true" applyBorder="true" applyAlignment="true" applyProtection="tru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21" fillId="11" borderId="9" xfId="0" applyFont="true" applyBorder="true" applyAlignment="true" applyProtection="false">
      <alignment horizontal="left" vertical="center" textRotation="0" wrapText="false" indent="0" shrinkToFit="false"/>
      <protection locked="true" hidden="false"/>
    </xf>
    <xf numFmtId="169" fontId="9" fillId="11" borderId="50" xfId="17" applyFont="true" applyBorder="true" applyAlignment="true" applyProtection="true">
      <alignment horizontal="general" vertical="center" textRotation="0" wrapText="false" indent="0" shrinkToFit="false"/>
      <protection locked="true" hidden="false"/>
    </xf>
    <xf numFmtId="169" fontId="21" fillId="11" borderId="9" xfId="17" applyFont="true" applyBorder="true" applyAlignment="true" applyProtection="true">
      <alignment horizontal="general" vertical="center" textRotation="0" wrapText="false" indent="0" shrinkToFit="false"/>
      <protection locked="true" hidden="false"/>
    </xf>
    <xf numFmtId="164" fontId="16" fillId="0" borderId="47" xfId="0" applyFont="true" applyBorder="true" applyAlignment="true" applyProtection="false">
      <alignment horizontal="left" vertical="bottom" textRotation="0" wrapText="false" indent="0" shrinkToFit="false"/>
      <protection locked="true" hidden="false"/>
    </xf>
    <xf numFmtId="165" fontId="12" fillId="0" borderId="47" xfId="0" applyFont="true" applyBorder="true" applyAlignment="true" applyProtection="false">
      <alignment horizontal="left" vertical="center" textRotation="0" wrapText="false" indent="0" shrinkToFit="false"/>
      <protection locked="true" hidden="false"/>
    </xf>
    <xf numFmtId="164" fontId="12" fillId="0" borderId="50" xfId="0" applyFont="true" applyBorder="true" applyAlignment="true" applyProtection="false">
      <alignment horizontal="left" vertical="top" textRotation="0" wrapText="true" indent="0" shrinkToFit="false"/>
      <protection locked="true" hidden="false"/>
    </xf>
    <xf numFmtId="164" fontId="12" fillId="0" borderId="0" xfId="0" applyFont="true" applyBorder="false" applyAlignment="true" applyProtection="false">
      <alignment horizontal="general" vertical="top" textRotation="0" wrapText="false" indent="0" shrinkToFit="false"/>
      <protection locked="true" hidden="false"/>
    </xf>
    <xf numFmtId="164" fontId="4" fillId="0" borderId="3" xfId="0" applyFont="true" applyBorder="true" applyAlignment="true" applyProtection="false">
      <alignment horizontal="left" vertical="center" textRotation="0" wrapText="false" indent="0" shrinkToFit="false"/>
      <protection locked="true" hidden="false"/>
    </xf>
    <xf numFmtId="164" fontId="13" fillId="0" borderId="46" xfId="0" applyFont="true" applyBorder="true" applyAlignment="false" applyProtection="false">
      <alignment horizontal="general" vertical="bottom" textRotation="0" wrapText="false" indent="0" shrinkToFit="false"/>
      <protection locked="true" hidden="false"/>
    </xf>
    <xf numFmtId="164" fontId="44" fillId="11" borderId="50" xfId="0" applyFont="true" applyBorder="true" applyAlignment="true" applyProtection="false">
      <alignment horizontal="center" vertical="center" textRotation="0" wrapText="true" indent="0" shrinkToFit="false"/>
      <protection locked="true" hidden="false"/>
    </xf>
    <xf numFmtId="164" fontId="44" fillId="0" borderId="0" xfId="0" applyFont="true" applyBorder="false" applyAlignment="true" applyProtection="false">
      <alignment horizontal="general" vertical="center" textRotation="0" wrapText="false" indent="0" shrinkToFit="false"/>
      <protection locked="true" hidden="false"/>
    </xf>
    <xf numFmtId="164" fontId="29" fillId="8" borderId="9" xfId="0" applyFont="true" applyBorder="true" applyAlignment="true" applyProtection="false">
      <alignment horizontal="center" vertical="center" textRotation="0" wrapText="false" indent="0" shrinkToFit="false"/>
      <protection locked="true" hidden="false"/>
    </xf>
    <xf numFmtId="172" fontId="30" fillId="8" borderId="36" xfId="0" applyFont="true" applyBorder="true" applyAlignment="true" applyProtection="false">
      <alignment horizontal="center" vertical="center" textRotation="0" wrapText="false" indent="0" shrinkToFit="false"/>
      <protection locked="true" hidden="false"/>
    </xf>
    <xf numFmtId="178" fontId="45" fillId="8" borderId="10" xfId="0" applyFont="true" applyBorder="true" applyAlignment="true" applyProtection="false">
      <alignment horizontal="center" vertical="center" textRotation="0" wrapText="false" indent="0" shrinkToFit="false"/>
      <protection locked="true" hidden="false"/>
    </xf>
    <xf numFmtId="178" fontId="29" fillId="0" borderId="7" xfId="0" applyFont="true" applyBorder="true" applyAlignment="true" applyProtection="false">
      <alignment horizontal="center" vertical="center" textRotation="0" wrapText="false" indent="0" shrinkToFit="false"/>
      <protection locked="true" hidden="false"/>
    </xf>
    <xf numFmtId="178" fontId="29" fillId="0" borderId="8" xfId="0" applyFont="true" applyBorder="true" applyAlignment="true" applyProtection="false">
      <alignment horizontal="center" vertical="center" textRotation="0" wrapText="false" indent="0" shrinkToFit="false"/>
      <protection locked="true" hidden="false"/>
    </xf>
    <xf numFmtId="164" fontId="29" fillId="0" borderId="0" xfId="0" applyFont="true" applyBorder="false" applyAlignment="true" applyProtection="false">
      <alignment horizontal="general" vertical="center" textRotation="0" wrapText="false" indent="0" shrinkToFit="false"/>
      <protection locked="true" hidden="false"/>
    </xf>
    <xf numFmtId="164" fontId="30" fillId="8" borderId="3" xfId="0" applyFont="true" applyBorder="true" applyAlignment="true" applyProtection="false">
      <alignment horizontal="center" vertical="center" textRotation="0" wrapText="false" indent="0" shrinkToFit="false"/>
      <protection locked="true" hidden="false"/>
    </xf>
    <xf numFmtId="164" fontId="30" fillId="8" borderId="36" xfId="0" applyFont="true" applyBorder="true" applyAlignment="true" applyProtection="false">
      <alignment horizontal="left" vertical="center" textRotation="0" wrapText="true" indent="0" shrinkToFit="false"/>
      <protection locked="true" hidden="false"/>
    </xf>
    <xf numFmtId="164" fontId="45" fillId="8" borderId="36" xfId="0" applyFont="true" applyBorder="true" applyAlignment="true" applyProtection="false">
      <alignment horizontal="center" vertical="center" textRotation="0" wrapText="false" indent="0" shrinkToFit="false"/>
      <protection locked="true" hidden="false"/>
    </xf>
    <xf numFmtId="164" fontId="46" fillId="20" borderId="5" xfId="0" applyFont="true" applyBorder="true" applyAlignment="true" applyProtection="false">
      <alignment horizontal="center" vertical="center" textRotation="0" wrapText="false" indent="0" shrinkToFit="false"/>
      <protection locked="true" hidden="false"/>
    </xf>
    <xf numFmtId="164" fontId="46" fillId="20" borderId="7" xfId="0" applyFont="true" applyBorder="true" applyAlignment="true" applyProtection="false">
      <alignment horizontal="left" vertical="center" textRotation="0" wrapText="false" indent="0" shrinkToFit="false"/>
      <protection locked="true" hidden="false"/>
    </xf>
    <xf numFmtId="170" fontId="46" fillId="20" borderId="7" xfId="0" applyFont="true" applyBorder="true" applyAlignment="true" applyProtection="false">
      <alignment horizontal="general" vertical="center" textRotation="0" wrapText="false" indent="0" shrinkToFit="false"/>
      <protection locked="true" hidden="false"/>
    </xf>
    <xf numFmtId="170" fontId="46" fillId="20" borderId="8" xfId="0" applyFont="true" applyBorder="true" applyAlignment="true" applyProtection="false">
      <alignment horizontal="general" vertical="center" textRotation="0" wrapText="false" indent="0" shrinkToFit="false"/>
      <protection locked="true" hidden="false"/>
    </xf>
    <xf numFmtId="164" fontId="12" fillId="0" borderId="12" xfId="0" applyFont="true" applyBorder="true" applyAlignment="true" applyProtection="false">
      <alignment horizontal="left" vertical="center" textRotation="0" wrapText="false" indent="0" shrinkToFit="false"/>
      <protection locked="true" hidden="false"/>
    </xf>
    <xf numFmtId="170" fontId="12" fillId="8" borderId="12" xfId="20" applyFont="true" applyBorder="true" applyAlignment="true" applyProtection="true">
      <alignment horizontal="general" vertical="center" textRotation="0" wrapText="false" indent="0" shrinkToFit="false"/>
      <protection locked="true" hidden="false"/>
    </xf>
    <xf numFmtId="170" fontId="12" fillId="8" borderId="14" xfId="20" applyFont="true" applyBorder="true" applyAlignment="true" applyProtection="true">
      <alignment horizontal="general" vertical="center" textRotation="0" wrapText="false" indent="0" shrinkToFit="false"/>
      <protection locked="true" hidden="false"/>
    </xf>
    <xf numFmtId="172" fontId="19" fillId="0" borderId="4" xfId="0" applyFont="true" applyBorder="true" applyAlignment="true" applyProtection="false">
      <alignment horizontal="center" vertical="center" textRotation="0" wrapText="false" indent="0" shrinkToFit="false"/>
      <protection locked="true" hidden="false"/>
    </xf>
    <xf numFmtId="170" fontId="12" fillId="8" borderId="4" xfId="20" applyFont="true" applyBorder="true" applyAlignment="true" applyProtection="true">
      <alignment horizontal="general" vertical="center" textRotation="0" wrapText="false" indent="0" shrinkToFit="false"/>
      <protection locked="true" hidden="false"/>
    </xf>
    <xf numFmtId="170" fontId="12" fillId="8" borderId="19" xfId="20" applyFont="true" applyBorder="true" applyAlignment="true" applyProtection="true">
      <alignment horizontal="general" vertical="center" textRotation="0" wrapText="false" indent="0" shrinkToFit="false"/>
      <protection locked="true" hidden="false"/>
    </xf>
    <xf numFmtId="164" fontId="30" fillId="0" borderId="17" xfId="0" applyFont="true" applyBorder="true" applyAlignment="true" applyProtection="false">
      <alignment horizontal="left" vertical="center" textRotation="0" wrapText="true" indent="0" shrinkToFit="false"/>
      <protection locked="true" hidden="false"/>
    </xf>
    <xf numFmtId="172" fontId="30" fillId="0" borderId="4" xfId="0" applyFont="true" applyBorder="true" applyAlignment="true" applyProtection="false">
      <alignment horizontal="center" vertical="center" textRotation="0" wrapText="false" indent="0" shrinkToFit="false"/>
      <protection locked="true" hidden="false"/>
    </xf>
    <xf numFmtId="170" fontId="10" fillId="8" borderId="4" xfId="20" applyFont="true" applyBorder="true" applyAlignment="true" applyProtection="true">
      <alignment horizontal="right" vertical="center" textRotation="0" wrapText="false" indent="0" shrinkToFit="false"/>
      <protection locked="true" hidden="false"/>
    </xf>
    <xf numFmtId="170" fontId="10" fillId="8" borderId="19" xfId="20" applyFont="true" applyBorder="true" applyAlignment="true" applyProtection="true">
      <alignment horizontal="right" vertical="center" textRotation="0" wrapText="false" indent="0" shrinkToFit="false"/>
      <protection locked="true" hidden="false"/>
    </xf>
    <xf numFmtId="164" fontId="30" fillId="11" borderId="17" xfId="0" applyFont="true" applyBorder="true" applyAlignment="true" applyProtection="false">
      <alignment horizontal="center" vertical="center" textRotation="0" wrapText="false" indent="0" shrinkToFit="false"/>
      <protection locked="true" hidden="false"/>
    </xf>
    <xf numFmtId="164" fontId="30" fillId="11" borderId="4" xfId="0" applyFont="true" applyBorder="true" applyAlignment="true" applyProtection="false">
      <alignment horizontal="general" vertical="center" textRotation="0" wrapText="false" indent="0" shrinkToFit="false"/>
      <protection locked="true" hidden="false"/>
    </xf>
    <xf numFmtId="164" fontId="30" fillId="11" borderId="19"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general" vertical="center" textRotation="0" wrapText="false" indent="0" shrinkToFit="false"/>
      <protection locked="true" hidden="false"/>
    </xf>
    <xf numFmtId="170" fontId="12" fillId="0" borderId="4" xfId="0" applyFont="true" applyBorder="true" applyAlignment="true" applyProtection="false">
      <alignment horizontal="general" vertical="center" textRotation="0" wrapText="false" indent="0" shrinkToFit="false"/>
      <protection locked="true" hidden="false"/>
    </xf>
    <xf numFmtId="164" fontId="30" fillId="0" borderId="17" xfId="0" applyFont="true" applyBorder="true" applyAlignment="true" applyProtection="false">
      <alignment horizontal="left" vertical="center" textRotation="0" wrapText="false" indent="0" shrinkToFit="false"/>
      <protection locked="true" hidden="false"/>
    </xf>
    <xf numFmtId="170" fontId="30" fillId="0" borderId="4" xfId="0" applyFont="true" applyBorder="true" applyAlignment="true" applyProtection="false">
      <alignment horizontal="general" vertical="center" textRotation="0" wrapText="false" indent="0" shrinkToFit="false"/>
      <protection locked="true" hidden="false"/>
    </xf>
    <xf numFmtId="170" fontId="30" fillId="0" borderId="19" xfId="0" applyFont="true" applyBorder="true" applyAlignment="true" applyProtection="false">
      <alignment horizontal="general" vertical="center" textRotation="0" wrapText="false" indent="0" shrinkToFit="false"/>
      <protection locked="true" hidden="false"/>
    </xf>
    <xf numFmtId="164" fontId="30" fillId="11" borderId="4" xfId="0" applyFont="true" applyBorder="true" applyAlignment="true" applyProtection="false">
      <alignment horizontal="left" vertical="center" textRotation="0" wrapText="true" indent="0" shrinkToFit="false"/>
      <protection locked="true" hidden="false"/>
    </xf>
    <xf numFmtId="172" fontId="30" fillId="11" borderId="4" xfId="0" applyFont="true" applyBorder="true" applyAlignment="true" applyProtection="false">
      <alignment horizontal="center" vertical="center" textRotation="0" wrapText="false" indent="0" shrinkToFit="false"/>
      <protection locked="true" hidden="false"/>
    </xf>
    <xf numFmtId="172" fontId="12" fillId="0" borderId="4" xfId="0" applyFont="true" applyBorder="true" applyAlignment="true" applyProtection="false">
      <alignment horizontal="general" vertical="center" textRotation="0" wrapText="false" indent="0" shrinkToFit="false"/>
      <protection locked="true" hidden="false"/>
    </xf>
    <xf numFmtId="170" fontId="12" fillId="8" borderId="4" xfId="0" applyFont="true" applyBorder="true" applyAlignment="true" applyProtection="false">
      <alignment horizontal="right" vertical="center" textRotation="0" wrapText="false" indent="0" shrinkToFit="false"/>
      <protection locked="true" hidden="false"/>
    </xf>
    <xf numFmtId="170" fontId="12" fillId="8" borderId="19" xfId="0" applyFont="true" applyBorder="true" applyAlignment="true" applyProtection="false">
      <alignment horizontal="right" vertical="center" textRotation="0" wrapText="false" indent="0" shrinkToFit="false"/>
      <protection locked="true" hidden="false"/>
    </xf>
    <xf numFmtId="164" fontId="30" fillId="0" borderId="17" xfId="0" applyFont="true" applyBorder="true" applyAlignment="true" applyProtection="false">
      <alignment horizontal="center" vertical="center" textRotation="0" wrapText="false" indent="0" shrinkToFit="false"/>
      <protection locked="true" hidden="false"/>
    </xf>
    <xf numFmtId="164" fontId="10" fillId="0" borderId="4" xfId="0" applyFont="true" applyBorder="true" applyAlignment="true" applyProtection="false">
      <alignment horizontal="left" vertical="center" textRotation="0" wrapText="true" indent="0" shrinkToFit="false"/>
      <protection locked="true" hidden="false"/>
    </xf>
    <xf numFmtId="172" fontId="30" fillId="0" borderId="4" xfId="0" applyFont="true" applyBorder="true" applyAlignment="true" applyProtection="false">
      <alignment horizontal="general" vertical="center" textRotation="0" wrapText="false" indent="0" shrinkToFit="false"/>
      <protection locked="true" hidden="false"/>
    </xf>
    <xf numFmtId="170" fontId="30" fillId="8" borderId="4" xfId="0" applyFont="true" applyBorder="true" applyAlignment="true" applyProtection="false">
      <alignment horizontal="right" vertical="center" textRotation="0" wrapText="false" indent="0" shrinkToFit="false"/>
      <protection locked="true" hidden="false"/>
    </xf>
    <xf numFmtId="170" fontId="30" fillId="8" borderId="19" xfId="0" applyFont="true" applyBorder="true" applyAlignment="true" applyProtection="false">
      <alignment horizontal="right" vertical="center" textRotation="0" wrapText="false" indent="0" shrinkToFit="false"/>
      <protection locked="true" hidden="false"/>
    </xf>
    <xf numFmtId="164" fontId="30" fillId="0" borderId="49" xfId="0" applyFont="true" applyBorder="true" applyAlignment="true" applyProtection="false">
      <alignment horizontal="general" vertical="center" textRotation="0" wrapText="false" indent="0" shrinkToFit="false"/>
      <protection locked="true" hidden="false"/>
    </xf>
    <xf numFmtId="170" fontId="30" fillId="0" borderId="41" xfId="0" applyFont="true" applyBorder="true" applyAlignment="true" applyProtection="false">
      <alignment horizontal="right" vertical="center" textRotation="0" wrapText="false" indent="0" shrinkToFit="false"/>
      <protection locked="true" hidden="false"/>
    </xf>
    <xf numFmtId="170" fontId="30" fillId="0" borderId="58" xfId="0" applyFont="true" applyBorder="true" applyAlignment="true" applyProtection="false">
      <alignment horizontal="right" vertical="center" textRotation="0" wrapText="false" indent="0" shrinkToFit="false"/>
      <protection locked="true" hidden="false"/>
    </xf>
    <xf numFmtId="164" fontId="30" fillId="11" borderId="9" xfId="0" applyFont="true" applyBorder="true" applyAlignment="true" applyProtection="false">
      <alignment horizontal="center" vertical="center" textRotation="0" wrapText="false" indent="0" shrinkToFit="false"/>
      <protection locked="true" hidden="false"/>
    </xf>
    <xf numFmtId="164" fontId="30" fillId="8" borderId="9" xfId="0" applyFont="true" applyBorder="true" applyAlignment="true" applyProtection="false">
      <alignment horizontal="center" vertical="center" textRotation="0" wrapText="false" indent="0" shrinkToFit="false"/>
      <protection locked="true" hidden="false"/>
    </xf>
    <xf numFmtId="164" fontId="30" fillId="11" borderId="11" xfId="0" applyFont="true" applyBorder="true" applyAlignment="true" applyProtection="false">
      <alignment horizontal="general" vertical="center" textRotation="0" wrapText="false" indent="0" shrinkToFit="false"/>
      <protection locked="true" hidden="false"/>
    </xf>
    <xf numFmtId="164" fontId="30" fillId="11" borderId="12" xfId="0" applyFont="true" applyBorder="true" applyAlignment="true" applyProtection="false">
      <alignment horizontal="general" vertical="center" textRotation="0" wrapText="false" indent="0" shrinkToFit="false"/>
      <protection locked="true" hidden="false"/>
    </xf>
    <xf numFmtId="164" fontId="30" fillId="11" borderId="14" xfId="0" applyFont="true" applyBorder="true" applyAlignment="true" applyProtection="false">
      <alignment horizontal="center" vertical="center" textRotation="0" wrapText="false" indent="0" shrinkToFit="false"/>
      <protection locked="true" hidden="false"/>
    </xf>
    <xf numFmtId="170" fontId="19" fillId="8" borderId="4" xfId="0" applyFont="true" applyBorder="true" applyAlignment="true" applyProtection="false">
      <alignment horizontal="general" vertical="center" textRotation="0" wrapText="false" indent="0" shrinkToFit="false"/>
      <protection locked="true" hidden="false"/>
    </xf>
    <xf numFmtId="170" fontId="19" fillId="8" borderId="19" xfId="0" applyFont="true" applyBorder="true" applyAlignment="true" applyProtection="false">
      <alignment horizontal="general" vertical="center" textRotation="0" wrapText="false" indent="0" shrinkToFit="false"/>
      <protection locked="true" hidden="false"/>
    </xf>
    <xf numFmtId="164" fontId="30" fillId="0" borderId="4" xfId="0" applyFont="true" applyBorder="true" applyAlignment="true" applyProtection="false">
      <alignment horizontal="general" vertical="center" textRotation="0" wrapText="false" indent="0" shrinkToFit="false"/>
      <protection locked="true" hidden="false"/>
    </xf>
    <xf numFmtId="170" fontId="30" fillId="8" borderId="4" xfId="0" applyFont="true" applyBorder="true" applyAlignment="true" applyProtection="false">
      <alignment horizontal="general" vertical="center" textRotation="0" wrapText="false" indent="0" shrinkToFit="false"/>
      <protection locked="true" hidden="false"/>
    </xf>
    <xf numFmtId="170" fontId="30" fillId="8" borderId="19" xfId="0" applyFont="true" applyBorder="true" applyAlignment="true" applyProtection="false">
      <alignment horizontal="general" vertical="center" textRotation="0" wrapText="false" indent="0" shrinkToFit="false"/>
      <protection locked="true" hidden="false"/>
    </xf>
    <xf numFmtId="164" fontId="12" fillId="0" borderId="41" xfId="0" applyFont="true" applyBorder="true" applyAlignment="true" applyProtection="false">
      <alignment horizontal="general" vertical="center" textRotation="0" wrapText="false" indent="0" shrinkToFit="false"/>
      <protection locked="true" hidden="false"/>
    </xf>
    <xf numFmtId="170" fontId="19" fillId="8" borderId="41" xfId="0" applyFont="true" applyBorder="true" applyAlignment="true" applyProtection="false">
      <alignment horizontal="general" vertical="center" textRotation="0" wrapText="false" indent="0" shrinkToFit="false"/>
      <protection locked="true" hidden="false"/>
    </xf>
    <xf numFmtId="170" fontId="19" fillId="8" borderId="58" xfId="0" applyFont="true" applyBorder="true" applyAlignment="true" applyProtection="false">
      <alignment horizontal="general" vertical="center" textRotation="0" wrapText="false" indent="0" shrinkToFit="false"/>
      <protection locked="true" hidden="false"/>
    </xf>
    <xf numFmtId="164" fontId="30" fillId="11" borderId="5" xfId="0" applyFont="true" applyBorder="true" applyAlignment="true" applyProtection="false">
      <alignment horizontal="general" vertical="center" textRotation="0" wrapText="false" indent="0" shrinkToFit="false"/>
      <protection locked="true" hidden="false"/>
    </xf>
    <xf numFmtId="164" fontId="30" fillId="11" borderId="7" xfId="0" applyFont="true" applyBorder="true" applyAlignment="true" applyProtection="false">
      <alignment horizontal="general" vertical="center" textRotation="0" wrapText="false" indent="0" shrinkToFit="false"/>
      <protection locked="true" hidden="false"/>
    </xf>
    <xf numFmtId="170" fontId="30" fillId="11" borderId="7" xfId="0" applyFont="true" applyBorder="true" applyAlignment="true" applyProtection="false">
      <alignment horizontal="general" vertical="center" textRotation="0" wrapText="false" indent="0" shrinkToFit="false"/>
      <protection locked="true" hidden="false"/>
    </xf>
    <xf numFmtId="170" fontId="30" fillId="11" borderId="8" xfId="0" applyFont="true" applyBorder="true" applyAlignment="true" applyProtection="false">
      <alignment horizontal="general" vertical="center" textRotation="0" wrapText="false" indent="0" shrinkToFit="false"/>
      <protection locked="true" hidden="false"/>
    </xf>
    <xf numFmtId="164" fontId="21" fillId="16" borderId="4" xfId="0" applyFont="true" applyBorder="true" applyAlignment="true" applyProtection="false">
      <alignment horizontal="center" vertical="center" textRotation="0" wrapText="true" indent="0" shrinkToFit="false"/>
      <protection locked="true" hidden="false"/>
    </xf>
    <xf numFmtId="164" fontId="29" fillId="0" borderId="18" xfId="0" applyFont="true" applyBorder="true" applyAlignment="true" applyProtection="false">
      <alignment horizontal="right" vertical="center" textRotation="0" wrapText="false" indent="0" shrinkToFit="false"/>
      <protection locked="true" hidden="false"/>
    </xf>
    <xf numFmtId="164" fontId="29" fillId="0" borderId="21" xfId="0" applyFont="true" applyBorder="true" applyAlignment="true" applyProtection="false">
      <alignment horizontal="left" vertical="center" textRotation="0" wrapText="false" indent="0" shrinkToFit="false"/>
      <protection locked="true" hidden="false"/>
    </xf>
    <xf numFmtId="164" fontId="31" fillId="16" borderId="4" xfId="0" applyFont="true" applyBorder="true" applyAlignment="true" applyProtection="false">
      <alignment horizontal="center" vertical="center" textRotation="0" wrapText="false" indent="0" shrinkToFit="false"/>
      <protection locked="true" hidden="false"/>
    </xf>
    <xf numFmtId="164" fontId="8" fillId="16" borderId="4" xfId="0" applyFont="true" applyBorder="true" applyAlignment="true" applyProtection="false">
      <alignment horizontal="center" vertical="center" textRotation="0" wrapText="false" indent="0" shrinkToFit="false"/>
      <protection locked="true" hidden="false"/>
    </xf>
    <xf numFmtId="164" fontId="20" fillId="0" borderId="4" xfId="0" applyFont="true" applyBorder="true" applyAlignment="true" applyProtection="false">
      <alignment horizontal="center" vertical="center" textRotation="0" wrapText="false" indent="0" shrinkToFit="false"/>
      <protection locked="true" hidden="false"/>
    </xf>
    <xf numFmtId="172" fontId="31" fillId="0" borderId="4" xfId="0" applyFont="true" applyBorder="true" applyAlignment="true" applyProtection="false">
      <alignment horizontal="center" vertical="center" textRotation="0" wrapText="false" indent="0" shrinkToFit="false"/>
      <protection locked="true" hidden="false"/>
    </xf>
    <xf numFmtId="164" fontId="31" fillId="0" borderId="4" xfId="0" applyFont="true" applyBorder="true" applyAlignment="true" applyProtection="false">
      <alignment horizontal="center" vertical="center" textRotation="0" wrapText="false" indent="0" shrinkToFit="false"/>
      <protection locked="true" hidden="false"/>
    </xf>
    <xf numFmtId="170" fontId="4" fillId="0" borderId="4" xfId="0" applyFont="true" applyBorder="true" applyAlignment="true" applyProtection="false">
      <alignment horizontal="center" vertical="bottom" textRotation="0" wrapText="false" indent="0" shrinkToFit="false"/>
      <protection locked="true" hidden="false"/>
    </xf>
    <xf numFmtId="164" fontId="20" fillId="0" borderId="12" xfId="0" applyFont="true" applyBorder="true" applyAlignment="true" applyProtection="false">
      <alignment horizontal="center" vertical="center" textRotation="0" wrapText="false" indent="0" shrinkToFit="false"/>
      <protection locked="true" hidden="false"/>
    </xf>
    <xf numFmtId="172" fontId="31" fillId="0" borderId="12" xfId="0" applyFont="true" applyBorder="true" applyAlignment="true" applyProtection="false">
      <alignment horizontal="center" vertical="center" textRotation="0" wrapText="false" indent="0" shrinkToFit="false"/>
      <protection locked="true" hidden="false"/>
    </xf>
    <xf numFmtId="164" fontId="31" fillId="0" borderId="12" xfId="0" applyFont="true" applyBorder="true" applyAlignment="true" applyProtection="false">
      <alignment horizontal="center" vertical="center" textRotation="0" wrapText="false" indent="0" shrinkToFit="false"/>
      <protection locked="true" hidden="false"/>
    </xf>
    <xf numFmtId="172" fontId="48" fillId="8" borderId="4" xfId="0" applyFont="true" applyBorder="true" applyAlignment="true" applyProtection="false">
      <alignment horizontal="center"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Explanatory Text" xfId="20"/>
  </cellStyles>
  <dxfs count="2">
    <dxf>
      <font>
        <color rgb="FF006100"/>
      </font>
      <fill>
        <patternFill>
          <bgColor rgb="FFC6EFCE"/>
        </patternFill>
      </fill>
    </dxf>
    <dxf>
      <font>
        <color rgb="FF9C0006"/>
      </font>
      <fill>
        <patternFill>
          <bgColor rgb="FFFFC7CE"/>
        </patternFill>
      </fill>
    </dxf>
  </dxfs>
  <colors>
    <indexedColors>
      <rgbColor rgb="FF000000"/>
      <rgbColor rgb="FFFFFFFF"/>
      <rgbColor rgb="FFFF0000"/>
      <rgbColor rgb="FF00FF00"/>
      <rgbColor rgb="FF0000FF"/>
      <rgbColor rgb="FFFFF2CC"/>
      <rgbColor rgb="FFFF00FF"/>
      <rgbColor rgb="FF00FFFF"/>
      <rgbColor rgb="FF9C0006"/>
      <rgbColor rgb="FF006100"/>
      <rgbColor rgb="FF000080"/>
      <rgbColor rgb="FF808000"/>
      <rgbColor rgb="FF800080"/>
      <rgbColor rgb="FF008080"/>
      <rgbColor rgb="FFC0C0C0"/>
      <rgbColor rgb="FF808080"/>
      <rgbColor rgb="FFD9D9D9"/>
      <rgbColor rgb="FF993366"/>
      <rgbColor rgb="FFFFFFCC"/>
      <rgbColor rgb="FFDEEBF7"/>
      <rgbColor rgb="FF660066"/>
      <rgbColor rgb="FFFF8080"/>
      <rgbColor rgb="FF0066CC"/>
      <rgbColor rgb="FFBDD7EE"/>
      <rgbColor rgb="FF000080"/>
      <rgbColor rgb="FFFF00FF"/>
      <rgbColor rgb="FFF2F2F2"/>
      <rgbColor rgb="FF00FFFF"/>
      <rgbColor rgb="FF800080"/>
      <rgbColor rgb="FFC00000"/>
      <rgbColor rgb="FF008080"/>
      <rgbColor rgb="FF0000FF"/>
      <rgbColor rgb="FF00B0F0"/>
      <rgbColor rgb="FFDCE6F2"/>
      <rgbColor rgb="FFC6EFCE"/>
      <rgbColor rgb="FFFFFF99"/>
      <rgbColor rgb="FFADB9CA"/>
      <rgbColor rgb="FFFFC7CE"/>
      <rgbColor rgb="FFBFBFBF"/>
      <rgbColor rgb="FFF8CBAD"/>
      <rgbColor rgb="FF3366CC"/>
      <rgbColor rgb="FF33CCCC"/>
      <rgbColor rgb="FF99CC00"/>
      <rgbColor rgb="FFF2DCDB"/>
      <rgbColor rgb="FFFF9900"/>
      <rgbColor rgb="FFFF6600"/>
      <rgbColor rgb="FF606060"/>
      <rgbColor rgb="FF969696"/>
      <rgbColor rgb="FF10243E"/>
      <rgbColor rgb="FF339966"/>
      <rgbColor rgb="FF003300"/>
      <rgbColor rgb="FF333300"/>
      <rgbColor rgb="FF993300"/>
      <rgbColor rgb="FF993366"/>
      <rgbColor rgb="FF59595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10.xml.rels><?xml version="1.0" encoding="UTF-8"?>
<Relationships xmlns="http://schemas.openxmlformats.org/package/2006/relationships"><Relationship Id="rId1" Type="http://schemas.openxmlformats.org/officeDocument/2006/relationships/image" Target="../media/image1.png"/>
</Relationships>
</file>

<file path=xl/drawings/_rels/drawing11.xml.rels><?xml version="1.0" encoding="UTF-8"?>
<Relationships xmlns="http://schemas.openxmlformats.org/package/2006/relationships"><Relationship Id="rId1" Type="http://schemas.openxmlformats.org/officeDocument/2006/relationships/image" Target="../media/image1.png"/>
</Relationships>
</file>

<file path=xl/drawings/_rels/drawing12.xml.rels><?xml version="1.0" encoding="UTF-8"?>
<Relationships xmlns="http://schemas.openxmlformats.org/package/2006/relationships"><Relationship Id="rId1" Type="http://schemas.openxmlformats.org/officeDocument/2006/relationships/image" Target="../media/image1.png"/>
</Relationships>
</file>

<file path=xl/drawings/_rels/drawing13.xml.rels><?xml version="1.0" encoding="UTF-8"?>
<Relationships xmlns="http://schemas.openxmlformats.org/package/2006/relationships"><Relationship Id="rId1" Type="http://schemas.openxmlformats.org/officeDocument/2006/relationships/image" Target="../media/image1.png"/>
</Relationships>
</file>

<file path=xl/drawings/_rels/drawing14.xml.rels><?xml version="1.0" encoding="UTF-8"?>
<Relationships xmlns="http://schemas.openxmlformats.org/package/2006/relationships"><Relationship Id="rId1" Type="http://schemas.openxmlformats.org/officeDocument/2006/relationships/image" Target="../media/image1.png"/>
</Relationships>
</file>

<file path=xl/drawings/_rels/drawing15.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1.png"/>
</Relationships>
</file>

<file path=xl/drawings/_rels/drawing3.xml.rels><?xml version="1.0" encoding="UTF-8"?>
<Relationships xmlns="http://schemas.openxmlformats.org/package/2006/relationships"><Relationship Id="rId1" Type="http://schemas.openxmlformats.org/officeDocument/2006/relationships/image" Target="../media/image1.png"/>
</Relationships>
</file>

<file path=xl/drawings/_rels/drawing4.xml.rels><?xml version="1.0" encoding="UTF-8"?>
<Relationships xmlns="http://schemas.openxmlformats.org/package/2006/relationships"><Relationship Id="rId1" Type="http://schemas.openxmlformats.org/officeDocument/2006/relationships/image" Target="../media/image1.png"/>
</Relationships>
</file>

<file path=xl/drawings/_rels/drawing5.xml.rels><?xml version="1.0" encoding="UTF-8"?>
<Relationships xmlns="http://schemas.openxmlformats.org/package/2006/relationships"><Relationship Id="rId1" Type="http://schemas.openxmlformats.org/officeDocument/2006/relationships/image" Target="../media/image1.png"/>
</Relationships>
</file>

<file path=xl/drawings/_rels/drawing6.xml.rels><?xml version="1.0" encoding="UTF-8"?>
<Relationships xmlns="http://schemas.openxmlformats.org/package/2006/relationships"><Relationship Id="rId1" Type="http://schemas.openxmlformats.org/officeDocument/2006/relationships/image" Target="../media/image1.png"/>
</Relationships>
</file>

<file path=xl/drawings/_rels/drawing7.xml.rels><?xml version="1.0" encoding="UTF-8"?>
<Relationships xmlns="http://schemas.openxmlformats.org/package/2006/relationships"><Relationship Id="rId1" Type="http://schemas.openxmlformats.org/officeDocument/2006/relationships/image" Target="../media/image1.png"/>
</Relationships>
</file>

<file path=xl/drawings/_rels/drawing8.xml.rels><?xml version="1.0" encoding="UTF-8"?>
<Relationships xmlns="http://schemas.openxmlformats.org/package/2006/relationships"><Relationship Id="rId1" Type="http://schemas.openxmlformats.org/officeDocument/2006/relationships/image" Target="../media/image1.png"/>
</Relationships>
</file>

<file path=xl/drawings/_rels/drawing9.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38160</xdr:colOff>
      <xdr:row>0</xdr:row>
      <xdr:rowOff>76320</xdr:rowOff>
    </xdr:from>
    <xdr:to>
      <xdr:col>1</xdr:col>
      <xdr:colOff>1080</xdr:colOff>
      <xdr:row>2</xdr:row>
      <xdr:rowOff>82800</xdr:rowOff>
    </xdr:to>
    <xdr:pic>
      <xdr:nvPicPr>
        <xdr:cNvPr id="0" name="Picture 1" descr=""/>
        <xdr:cNvPicPr/>
      </xdr:nvPicPr>
      <xdr:blipFill>
        <a:blip r:embed="rId1"/>
        <a:stretch/>
      </xdr:blipFill>
      <xdr:spPr>
        <a:xfrm>
          <a:off x="38160" y="76320"/>
          <a:ext cx="406080" cy="47304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171360</xdr:colOff>
      <xdr:row>0</xdr:row>
      <xdr:rowOff>38160</xdr:rowOff>
    </xdr:from>
    <xdr:to>
      <xdr:col>0</xdr:col>
      <xdr:colOff>578160</xdr:colOff>
      <xdr:row>2</xdr:row>
      <xdr:rowOff>130680</xdr:rowOff>
    </xdr:to>
    <xdr:pic>
      <xdr:nvPicPr>
        <xdr:cNvPr id="9" name="Picture 1" descr=""/>
        <xdr:cNvPicPr/>
      </xdr:nvPicPr>
      <xdr:blipFill>
        <a:blip r:embed="rId1"/>
        <a:stretch/>
      </xdr:blipFill>
      <xdr:spPr>
        <a:xfrm>
          <a:off x="171360" y="38160"/>
          <a:ext cx="406800" cy="47340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171360</xdr:colOff>
      <xdr:row>0</xdr:row>
      <xdr:rowOff>38160</xdr:rowOff>
    </xdr:from>
    <xdr:to>
      <xdr:col>0</xdr:col>
      <xdr:colOff>578160</xdr:colOff>
      <xdr:row>2</xdr:row>
      <xdr:rowOff>130680</xdr:rowOff>
    </xdr:to>
    <xdr:pic>
      <xdr:nvPicPr>
        <xdr:cNvPr id="10" name="Picture 1" descr=""/>
        <xdr:cNvPicPr/>
      </xdr:nvPicPr>
      <xdr:blipFill>
        <a:blip r:embed="rId1"/>
        <a:stretch/>
      </xdr:blipFill>
      <xdr:spPr>
        <a:xfrm>
          <a:off x="171360" y="38160"/>
          <a:ext cx="406800" cy="47340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171360</xdr:colOff>
      <xdr:row>0</xdr:row>
      <xdr:rowOff>38160</xdr:rowOff>
    </xdr:from>
    <xdr:to>
      <xdr:col>0</xdr:col>
      <xdr:colOff>578160</xdr:colOff>
      <xdr:row>2</xdr:row>
      <xdr:rowOff>130680</xdr:rowOff>
    </xdr:to>
    <xdr:pic>
      <xdr:nvPicPr>
        <xdr:cNvPr id="11" name="Picture 1" descr=""/>
        <xdr:cNvPicPr/>
      </xdr:nvPicPr>
      <xdr:blipFill>
        <a:blip r:embed="rId1"/>
        <a:stretch/>
      </xdr:blipFill>
      <xdr:spPr>
        <a:xfrm>
          <a:off x="171360" y="38160"/>
          <a:ext cx="406800" cy="47340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257040</xdr:colOff>
      <xdr:row>0</xdr:row>
      <xdr:rowOff>66600</xdr:rowOff>
    </xdr:from>
    <xdr:to>
      <xdr:col>0</xdr:col>
      <xdr:colOff>663840</xdr:colOff>
      <xdr:row>2</xdr:row>
      <xdr:rowOff>101880</xdr:rowOff>
    </xdr:to>
    <xdr:pic>
      <xdr:nvPicPr>
        <xdr:cNvPr id="12" name="Picture 1" descr=""/>
        <xdr:cNvPicPr/>
      </xdr:nvPicPr>
      <xdr:blipFill>
        <a:blip r:embed="rId1"/>
        <a:stretch/>
      </xdr:blipFill>
      <xdr:spPr>
        <a:xfrm>
          <a:off x="257040" y="66600"/>
          <a:ext cx="406800" cy="416160"/>
        </a:xfrm>
        <a:prstGeom prst="rect">
          <a:avLst/>
        </a:prstGeom>
        <a:ln w="0">
          <a:noFill/>
        </a:ln>
      </xdr:spPr>
    </xdr:pic>
    <xdr:clientData/>
  </xdr:twoCellAnchor>
</xdr:wsDr>
</file>

<file path=xl/drawings/drawing1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95400</xdr:colOff>
      <xdr:row>0</xdr:row>
      <xdr:rowOff>57240</xdr:rowOff>
    </xdr:from>
    <xdr:to>
      <xdr:col>0</xdr:col>
      <xdr:colOff>397440</xdr:colOff>
      <xdr:row>2</xdr:row>
      <xdr:rowOff>25920</xdr:rowOff>
    </xdr:to>
    <xdr:pic>
      <xdr:nvPicPr>
        <xdr:cNvPr id="13" name="Picture 1" descr=""/>
        <xdr:cNvPicPr/>
      </xdr:nvPicPr>
      <xdr:blipFill>
        <a:blip r:embed="rId1"/>
        <a:stretch/>
      </xdr:blipFill>
      <xdr:spPr>
        <a:xfrm>
          <a:off x="95400" y="57240"/>
          <a:ext cx="302040" cy="349560"/>
        </a:xfrm>
        <a:prstGeom prst="rect">
          <a:avLst/>
        </a:prstGeom>
        <a:ln w="0">
          <a:noFill/>
        </a:ln>
      </xdr:spPr>
    </xdr:pic>
    <xdr:clientData/>
  </xdr:twoCellAnchor>
</xdr:wsDr>
</file>

<file path=xl/drawings/drawing1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142920</xdr:colOff>
      <xdr:row>0</xdr:row>
      <xdr:rowOff>38160</xdr:rowOff>
    </xdr:from>
    <xdr:to>
      <xdr:col>0</xdr:col>
      <xdr:colOff>454320</xdr:colOff>
      <xdr:row>2</xdr:row>
      <xdr:rowOff>130680</xdr:rowOff>
    </xdr:to>
    <xdr:pic>
      <xdr:nvPicPr>
        <xdr:cNvPr id="14" name="Picture 1" descr=""/>
        <xdr:cNvPicPr/>
      </xdr:nvPicPr>
      <xdr:blipFill>
        <a:blip r:embed="rId1"/>
        <a:stretch/>
      </xdr:blipFill>
      <xdr:spPr>
        <a:xfrm>
          <a:off x="142920" y="38160"/>
          <a:ext cx="311400" cy="4734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95400</xdr:colOff>
      <xdr:row>0</xdr:row>
      <xdr:rowOff>57240</xdr:rowOff>
    </xdr:from>
    <xdr:to>
      <xdr:col>0</xdr:col>
      <xdr:colOff>400320</xdr:colOff>
      <xdr:row>2</xdr:row>
      <xdr:rowOff>25920</xdr:rowOff>
    </xdr:to>
    <xdr:pic>
      <xdr:nvPicPr>
        <xdr:cNvPr id="1" name="Picture 1" descr=""/>
        <xdr:cNvPicPr/>
      </xdr:nvPicPr>
      <xdr:blipFill>
        <a:blip r:embed="rId1"/>
        <a:stretch/>
      </xdr:blipFill>
      <xdr:spPr>
        <a:xfrm>
          <a:off x="95400" y="57240"/>
          <a:ext cx="304920" cy="34956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112680</xdr:colOff>
      <xdr:row>0</xdr:row>
      <xdr:rowOff>56160</xdr:rowOff>
    </xdr:from>
    <xdr:to>
      <xdr:col>0</xdr:col>
      <xdr:colOff>568800</xdr:colOff>
      <xdr:row>2</xdr:row>
      <xdr:rowOff>209520</xdr:rowOff>
    </xdr:to>
    <xdr:pic>
      <xdr:nvPicPr>
        <xdr:cNvPr id="2" name="Picture 1" descr=""/>
        <xdr:cNvPicPr/>
      </xdr:nvPicPr>
      <xdr:blipFill>
        <a:blip r:embed="rId1"/>
        <a:stretch/>
      </xdr:blipFill>
      <xdr:spPr>
        <a:xfrm>
          <a:off x="112680" y="56160"/>
          <a:ext cx="456120" cy="53424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47520</xdr:colOff>
      <xdr:row>0</xdr:row>
      <xdr:rowOff>0</xdr:rowOff>
    </xdr:from>
    <xdr:to>
      <xdr:col>0</xdr:col>
      <xdr:colOff>454320</xdr:colOff>
      <xdr:row>2</xdr:row>
      <xdr:rowOff>92520</xdr:rowOff>
    </xdr:to>
    <xdr:pic>
      <xdr:nvPicPr>
        <xdr:cNvPr id="3" name="Picture 1" descr=""/>
        <xdr:cNvPicPr/>
      </xdr:nvPicPr>
      <xdr:blipFill>
        <a:blip r:embed="rId1"/>
        <a:stretch/>
      </xdr:blipFill>
      <xdr:spPr>
        <a:xfrm>
          <a:off x="47520" y="0"/>
          <a:ext cx="406800" cy="47340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67320</xdr:colOff>
      <xdr:row>0</xdr:row>
      <xdr:rowOff>111960</xdr:rowOff>
    </xdr:from>
    <xdr:to>
      <xdr:col>1</xdr:col>
      <xdr:colOff>18000</xdr:colOff>
      <xdr:row>2</xdr:row>
      <xdr:rowOff>47520</xdr:rowOff>
    </xdr:to>
    <xdr:pic>
      <xdr:nvPicPr>
        <xdr:cNvPr id="4" name="Picture 1" descr=""/>
        <xdr:cNvPicPr/>
      </xdr:nvPicPr>
      <xdr:blipFill>
        <a:blip r:embed="rId1"/>
        <a:stretch/>
      </xdr:blipFill>
      <xdr:spPr>
        <a:xfrm>
          <a:off x="67320" y="111960"/>
          <a:ext cx="303120" cy="34524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38160</xdr:colOff>
      <xdr:row>0</xdr:row>
      <xdr:rowOff>85680</xdr:rowOff>
    </xdr:from>
    <xdr:to>
      <xdr:col>0</xdr:col>
      <xdr:colOff>359280</xdr:colOff>
      <xdr:row>2</xdr:row>
      <xdr:rowOff>101880</xdr:rowOff>
    </xdr:to>
    <xdr:pic>
      <xdr:nvPicPr>
        <xdr:cNvPr id="5" name="Picture 1" descr=""/>
        <xdr:cNvPicPr/>
      </xdr:nvPicPr>
      <xdr:blipFill>
        <a:blip r:embed="rId1"/>
        <a:stretch/>
      </xdr:blipFill>
      <xdr:spPr>
        <a:xfrm>
          <a:off x="38160" y="85680"/>
          <a:ext cx="321120" cy="30204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38160</xdr:colOff>
      <xdr:row>0</xdr:row>
      <xdr:rowOff>85680</xdr:rowOff>
    </xdr:from>
    <xdr:to>
      <xdr:col>0</xdr:col>
      <xdr:colOff>359280</xdr:colOff>
      <xdr:row>2</xdr:row>
      <xdr:rowOff>94320</xdr:rowOff>
    </xdr:to>
    <xdr:pic>
      <xdr:nvPicPr>
        <xdr:cNvPr id="6" name="Picture 1" descr=""/>
        <xdr:cNvPicPr/>
      </xdr:nvPicPr>
      <xdr:blipFill>
        <a:blip r:embed="rId1"/>
        <a:stretch/>
      </xdr:blipFill>
      <xdr:spPr>
        <a:xfrm>
          <a:off x="38160" y="85680"/>
          <a:ext cx="321120" cy="29448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264600</xdr:colOff>
      <xdr:row>0</xdr:row>
      <xdr:rowOff>52200</xdr:rowOff>
    </xdr:from>
    <xdr:to>
      <xdr:col>0</xdr:col>
      <xdr:colOff>636120</xdr:colOff>
      <xdr:row>2</xdr:row>
      <xdr:rowOff>79920</xdr:rowOff>
    </xdr:to>
    <xdr:pic>
      <xdr:nvPicPr>
        <xdr:cNvPr id="7" name="Picture 1" descr=""/>
        <xdr:cNvPicPr/>
      </xdr:nvPicPr>
      <xdr:blipFill>
        <a:blip r:embed="rId1"/>
        <a:stretch/>
      </xdr:blipFill>
      <xdr:spPr>
        <a:xfrm>
          <a:off x="264600" y="52200"/>
          <a:ext cx="371520" cy="35172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171360</xdr:colOff>
      <xdr:row>0</xdr:row>
      <xdr:rowOff>38160</xdr:rowOff>
    </xdr:from>
    <xdr:to>
      <xdr:col>0</xdr:col>
      <xdr:colOff>578160</xdr:colOff>
      <xdr:row>2</xdr:row>
      <xdr:rowOff>130680</xdr:rowOff>
    </xdr:to>
    <xdr:pic>
      <xdr:nvPicPr>
        <xdr:cNvPr id="8" name="Picture 1" descr=""/>
        <xdr:cNvPicPr/>
      </xdr:nvPicPr>
      <xdr:blipFill>
        <a:blip r:embed="rId1"/>
        <a:stretch/>
      </xdr:blipFill>
      <xdr:spPr>
        <a:xfrm>
          <a:off x="171360" y="38160"/>
          <a:ext cx="406800" cy="47340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Tema do Office">
  <a:themeElements>
    <a:clrScheme name="Escritório">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0.xml.rels><?xml version="1.0" encoding="UTF-8"?>
<Relationships xmlns="http://schemas.openxmlformats.org/package/2006/relationships"><Relationship Id="rId1" Type="http://schemas.openxmlformats.org/officeDocument/2006/relationships/drawing" Target="../drawings/drawing10.xml"/>
</Relationships>
</file>

<file path=xl/worksheets/_rels/sheet11.xml.rels><?xml version="1.0" encoding="UTF-8"?>
<Relationships xmlns="http://schemas.openxmlformats.org/package/2006/relationships"><Relationship Id="rId1" Type="http://schemas.openxmlformats.org/officeDocument/2006/relationships/drawing" Target="../drawings/drawing11.xml"/>
</Relationships>
</file>

<file path=xl/worksheets/_rels/sheet12.xml.rels><?xml version="1.0" encoding="UTF-8"?>
<Relationships xmlns="http://schemas.openxmlformats.org/package/2006/relationships"><Relationship Id="rId1" Type="http://schemas.openxmlformats.org/officeDocument/2006/relationships/drawing" Target="../drawings/drawing12.xml"/>
</Relationships>
</file>

<file path=xl/worksheets/_rels/sheet13.xml.rels><?xml version="1.0" encoding="UTF-8"?>
<Relationships xmlns="http://schemas.openxmlformats.org/package/2006/relationships"><Relationship Id="rId1" Type="http://schemas.openxmlformats.org/officeDocument/2006/relationships/drawing" Target="../drawings/drawing13.xml"/>
</Relationships>
</file>

<file path=xl/worksheets/_rels/sheet14.xml.rels><?xml version="1.0" encoding="UTF-8"?>
<Relationships xmlns="http://schemas.openxmlformats.org/package/2006/relationships"><Relationship Id="rId1" Type="http://schemas.openxmlformats.org/officeDocument/2006/relationships/drawing" Target="../drawings/drawing14.xml"/>
</Relationships>
</file>

<file path=xl/worksheets/_rels/sheet15.xml.rels><?xml version="1.0" encoding="UTF-8"?>
<Relationships xmlns="http://schemas.openxmlformats.org/package/2006/relationships"><Relationship Id="rId1" Type="http://schemas.openxmlformats.org/officeDocument/2006/relationships/drawing" Target="../drawings/drawing15.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drawing" Target="../drawings/drawing6.xml"/>
</Relationships>
</file>

<file path=xl/worksheets/_rels/sheet7.xml.rels><?xml version="1.0" encoding="UTF-8"?>
<Relationships xmlns="http://schemas.openxmlformats.org/package/2006/relationships"><Relationship Id="rId1" Type="http://schemas.openxmlformats.org/officeDocument/2006/relationships/drawing" Target="../drawings/drawing7.xml"/>
</Relationships>
</file>

<file path=xl/worksheets/_rels/sheet8.xml.rels><?xml version="1.0" encoding="UTF-8"?>
<Relationships xmlns="http://schemas.openxmlformats.org/package/2006/relationships"><Relationship Id="rId1" Type="http://schemas.openxmlformats.org/officeDocument/2006/relationships/drawing" Target="../drawings/drawing8.xml"/>
</Relationships>
</file>

<file path=xl/worksheets/_rels/sheet9.xml.rels><?xml version="1.0" encoding="UTF-8"?>
<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101"/>
  <sheetViews>
    <sheetView showFormulas="false" showGridLines="false" showRowColHeaders="true" showZeros="true" rightToLeft="false" tabSelected="false" showOutlineSymbols="true" defaultGridColor="true" view="normal" topLeftCell="A1" colorId="64" zoomScale="115" zoomScaleNormal="115" zoomScalePageLayoutView="140" workbookViewId="0">
      <selection pane="topLeft" activeCell="A101" activeCellId="0" sqref="A101"/>
    </sheetView>
  </sheetViews>
  <sheetFormatPr defaultColWidth="8.71484375" defaultRowHeight="15" zeroHeight="false" outlineLevelRow="0" outlineLevelCol="0"/>
  <cols>
    <col collapsed="false" customWidth="true" hidden="false" outlineLevel="0" max="1" min="1" style="1" width="6.29"/>
    <col collapsed="false" customWidth="true" hidden="false" outlineLevel="0" max="2" min="2" style="1" width="41.42"/>
    <col collapsed="false" customWidth="true" hidden="false" outlineLevel="0" max="3" min="3" style="1" width="7.86"/>
    <col collapsed="false" customWidth="true" hidden="false" outlineLevel="0" max="4" min="4" style="1" width="16.29"/>
    <col collapsed="false" customWidth="true" hidden="false" outlineLevel="0" max="5" min="5" style="1" width="12.86"/>
    <col collapsed="false" customWidth="true" hidden="false" outlineLevel="0" max="6" min="6" style="1" width="16.29"/>
    <col collapsed="false" customWidth="true" hidden="false" outlineLevel="0" max="7" min="7" style="1" width="17.71"/>
    <col collapsed="false" customWidth="true" hidden="false" outlineLevel="0" max="8" min="8" style="1" width="20"/>
    <col collapsed="false" customWidth="true" hidden="false" outlineLevel="0" max="10" min="9" style="1" width="16.29"/>
    <col collapsed="false" customWidth="true" hidden="false" outlineLevel="0" max="12" min="11" style="2" width="13.86"/>
    <col collapsed="false" customWidth="true" hidden="false" outlineLevel="0" max="13" min="13" style="2" width="14.29"/>
    <col collapsed="false" customWidth="true" hidden="false" outlineLevel="0" max="14" min="14" style="1" width="15.42"/>
    <col collapsed="false" customWidth="true" hidden="false" outlineLevel="0" max="15" min="15" style="1" width="12.86"/>
    <col collapsed="false" customWidth="true" hidden="false" outlineLevel="0" max="16" min="16" style="1" width="16.43"/>
    <col collapsed="false" customWidth="true" hidden="false" outlineLevel="0" max="17" min="17" style="1" width="12"/>
    <col collapsed="false" customWidth="true" hidden="false" outlineLevel="0" max="18" min="18" style="3" width="16.43"/>
    <col collapsed="false" customWidth="true" hidden="false" outlineLevel="0" max="19" min="19" style="3" width="10.14"/>
    <col collapsed="false" customWidth="true" hidden="false" outlineLevel="0" max="20" min="20" style="3" width="13.29"/>
    <col collapsed="false" customWidth="true" hidden="false" outlineLevel="0" max="21" min="21" style="3" width="13.86"/>
    <col collapsed="false" customWidth="true" hidden="false" outlineLevel="0" max="22" min="22" style="3" width="13.71"/>
    <col collapsed="false" customWidth="true" hidden="false" outlineLevel="0" max="23" min="23" style="3" width="12.29"/>
    <col collapsed="false" customWidth="true" hidden="false" outlineLevel="0" max="256" min="24" style="1" width="9.14"/>
    <col collapsed="false" customWidth="true" hidden="false" outlineLevel="0" max="257" min="257" style="1" width="6.29"/>
    <col collapsed="false" customWidth="true" hidden="false" outlineLevel="0" max="258" min="258" style="1" width="41.42"/>
    <col collapsed="false" customWidth="true" hidden="false" outlineLevel="0" max="259" min="259" style="1" width="7.86"/>
    <col collapsed="false" customWidth="true" hidden="false" outlineLevel="0" max="260" min="260" style="1" width="16.29"/>
    <col collapsed="false" customWidth="true" hidden="false" outlineLevel="0" max="261" min="261" style="1" width="12.86"/>
    <col collapsed="false" customWidth="true" hidden="false" outlineLevel="0" max="263" min="262" style="1" width="16.29"/>
    <col collapsed="false" customWidth="true" hidden="false" outlineLevel="0" max="264" min="264" style="1" width="13.29"/>
    <col collapsed="false" customWidth="true" hidden="false" outlineLevel="0" max="266" min="265" style="1" width="16.29"/>
    <col collapsed="false" customWidth="true" hidden="false" outlineLevel="0" max="268" min="267" style="1" width="13.86"/>
    <col collapsed="false" customWidth="true" hidden="false" outlineLevel="0" max="269" min="269" style="1" width="13"/>
    <col collapsed="false" customWidth="true" hidden="false" outlineLevel="0" max="270" min="270" style="1" width="13.57"/>
    <col collapsed="false" customWidth="true" hidden="false" outlineLevel="0" max="271" min="271" style="1" width="12.86"/>
    <col collapsed="false" customWidth="true" hidden="false" outlineLevel="0" max="272" min="272" style="1" width="14.14"/>
    <col collapsed="false" customWidth="true" hidden="false" outlineLevel="0" max="273" min="273" style="1" width="12"/>
    <col collapsed="false" customWidth="true" hidden="false" outlineLevel="0" max="274" min="274" style="1" width="13"/>
    <col collapsed="false" customWidth="true" hidden="false" outlineLevel="0" max="275" min="275" style="1" width="11.85"/>
    <col collapsed="false" customWidth="true" hidden="false" outlineLevel="0" max="276" min="276" style="1" width="13.29"/>
    <col collapsed="false" customWidth="true" hidden="false" outlineLevel="0" max="277" min="277" style="1" width="12.29"/>
    <col collapsed="false" customWidth="true" hidden="false" outlineLevel="0" max="278" min="278" style="1" width="12.42"/>
    <col collapsed="false" customWidth="true" hidden="false" outlineLevel="0" max="279" min="279" style="1" width="10.57"/>
    <col collapsed="false" customWidth="true" hidden="false" outlineLevel="0" max="512" min="280" style="1" width="9.14"/>
    <col collapsed="false" customWidth="true" hidden="false" outlineLevel="0" max="513" min="513" style="1" width="6.29"/>
    <col collapsed="false" customWidth="true" hidden="false" outlineLevel="0" max="514" min="514" style="1" width="41.42"/>
    <col collapsed="false" customWidth="true" hidden="false" outlineLevel="0" max="515" min="515" style="1" width="7.86"/>
    <col collapsed="false" customWidth="true" hidden="false" outlineLevel="0" max="516" min="516" style="1" width="16.29"/>
    <col collapsed="false" customWidth="true" hidden="false" outlineLevel="0" max="517" min="517" style="1" width="12.86"/>
    <col collapsed="false" customWidth="true" hidden="false" outlineLevel="0" max="519" min="518" style="1" width="16.29"/>
    <col collapsed="false" customWidth="true" hidden="false" outlineLevel="0" max="520" min="520" style="1" width="13.29"/>
    <col collapsed="false" customWidth="true" hidden="false" outlineLevel="0" max="522" min="521" style="1" width="16.29"/>
    <col collapsed="false" customWidth="true" hidden="false" outlineLevel="0" max="524" min="523" style="1" width="13.86"/>
    <col collapsed="false" customWidth="true" hidden="false" outlineLevel="0" max="525" min="525" style="1" width="13"/>
    <col collapsed="false" customWidth="true" hidden="false" outlineLevel="0" max="526" min="526" style="1" width="13.57"/>
    <col collapsed="false" customWidth="true" hidden="false" outlineLevel="0" max="527" min="527" style="1" width="12.86"/>
    <col collapsed="false" customWidth="true" hidden="false" outlineLevel="0" max="528" min="528" style="1" width="14.14"/>
    <col collapsed="false" customWidth="true" hidden="false" outlineLevel="0" max="529" min="529" style="1" width="12"/>
    <col collapsed="false" customWidth="true" hidden="false" outlineLevel="0" max="530" min="530" style="1" width="13"/>
    <col collapsed="false" customWidth="true" hidden="false" outlineLevel="0" max="531" min="531" style="1" width="11.85"/>
    <col collapsed="false" customWidth="true" hidden="false" outlineLevel="0" max="532" min="532" style="1" width="13.29"/>
    <col collapsed="false" customWidth="true" hidden="false" outlineLevel="0" max="533" min="533" style="1" width="12.29"/>
    <col collapsed="false" customWidth="true" hidden="false" outlineLevel="0" max="534" min="534" style="1" width="12.42"/>
    <col collapsed="false" customWidth="true" hidden="false" outlineLevel="0" max="535" min="535" style="1" width="10.57"/>
    <col collapsed="false" customWidth="true" hidden="false" outlineLevel="0" max="768" min="536" style="1" width="9.14"/>
    <col collapsed="false" customWidth="true" hidden="false" outlineLevel="0" max="769" min="769" style="1" width="6.29"/>
    <col collapsed="false" customWidth="true" hidden="false" outlineLevel="0" max="770" min="770" style="1" width="41.42"/>
    <col collapsed="false" customWidth="true" hidden="false" outlineLevel="0" max="771" min="771" style="1" width="7.86"/>
    <col collapsed="false" customWidth="true" hidden="false" outlineLevel="0" max="772" min="772" style="1" width="16.29"/>
    <col collapsed="false" customWidth="true" hidden="false" outlineLevel="0" max="773" min="773" style="1" width="12.86"/>
    <col collapsed="false" customWidth="true" hidden="false" outlineLevel="0" max="775" min="774" style="1" width="16.29"/>
    <col collapsed="false" customWidth="true" hidden="false" outlineLevel="0" max="776" min="776" style="1" width="13.29"/>
    <col collapsed="false" customWidth="true" hidden="false" outlineLevel="0" max="778" min="777" style="1" width="16.29"/>
    <col collapsed="false" customWidth="true" hidden="false" outlineLevel="0" max="780" min="779" style="1" width="13.86"/>
    <col collapsed="false" customWidth="true" hidden="false" outlineLevel="0" max="781" min="781" style="1" width="13"/>
    <col collapsed="false" customWidth="true" hidden="false" outlineLevel="0" max="782" min="782" style="1" width="13.57"/>
    <col collapsed="false" customWidth="true" hidden="false" outlineLevel="0" max="783" min="783" style="1" width="12.86"/>
    <col collapsed="false" customWidth="true" hidden="false" outlineLevel="0" max="784" min="784" style="1" width="14.14"/>
    <col collapsed="false" customWidth="true" hidden="false" outlineLevel="0" max="785" min="785" style="1" width="12"/>
    <col collapsed="false" customWidth="true" hidden="false" outlineLevel="0" max="786" min="786" style="1" width="13"/>
    <col collapsed="false" customWidth="true" hidden="false" outlineLevel="0" max="787" min="787" style="1" width="11.85"/>
    <col collapsed="false" customWidth="true" hidden="false" outlineLevel="0" max="788" min="788" style="1" width="13.29"/>
    <col collapsed="false" customWidth="true" hidden="false" outlineLevel="0" max="789" min="789" style="1" width="12.29"/>
    <col collapsed="false" customWidth="true" hidden="false" outlineLevel="0" max="790" min="790" style="1" width="12.42"/>
    <col collapsed="false" customWidth="true" hidden="false" outlineLevel="0" max="791" min="791" style="1" width="10.57"/>
    <col collapsed="false" customWidth="true" hidden="false" outlineLevel="0" max="1025" min="792" style="1" width="9.14"/>
  </cols>
  <sheetData>
    <row r="1" customFormat="false" ht="17.25" hidden="false" customHeight="true" outlineLevel="0" collapsed="false">
      <c r="A1" s="4"/>
      <c r="B1" s="5" t="str">
        <f aca="false">INSTRUÇÕES!B1</f>
        <v>Tribunal Regional Federal da 6ª Região</v>
      </c>
      <c r="T1" s="6"/>
      <c r="U1" s="6"/>
      <c r="V1" s="6"/>
    </row>
    <row r="2" s="12" customFormat="true" ht="19.5" hidden="false" customHeight="true" outlineLevel="0" collapsed="false">
      <c r="A2" s="7"/>
      <c r="B2" s="8" t="str">
        <f aca="false">INSTRUÇÕES!B2</f>
        <v>Seção Judiciária de Minas Gerais</v>
      </c>
      <c r="C2" s="9" t="s">
        <v>0</v>
      </c>
      <c r="D2" s="9"/>
      <c r="E2" s="9"/>
      <c r="F2" s="9"/>
      <c r="G2" s="9"/>
      <c r="H2" s="9"/>
      <c r="I2" s="9"/>
      <c r="J2" s="9"/>
      <c r="K2" s="9"/>
      <c r="L2" s="9"/>
      <c r="M2" s="9"/>
      <c r="N2" s="9"/>
      <c r="O2" s="9"/>
      <c r="P2" s="9"/>
      <c r="Q2" s="9"/>
      <c r="R2" s="9"/>
      <c r="S2" s="9"/>
      <c r="T2" s="10"/>
      <c r="U2" s="10"/>
      <c r="V2" s="10"/>
      <c r="W2" s="11"/>
    </row>
    <row r="3" s="12" customFormat="true" ht="22.05" hidden="false" customHeight="false" outlineLevel="0" collapsed="false">
      <c r="A3" s="7"/>
      <c r="B3" s="13" t="str">
        <f aca="false">INSTRUÇÕES!B3</f>
        <v>Subseção Judiciária de Passos</v>
      </c>
      <c r="C3" s="9" t="s">
        <v>1</v>
      </c>
      <c r="D3" s="9"/>
      <c r="E3" s="9"/>
      <c r="F3" s="9"/>
      <c r="G3" s="9"/>
      <c r="H3" s="9"/>
      <c r="I3" s="9"/>
      <c r="J3" s="9"/>
      <c r="K3" s="9"/>
      <c r="L3" s="9"/>
      <c r="M3" s="9"/>
      <c r="N3" s="9"/>
      <c r="O3" s="9"/>
      <c r="P3" s="9"/>
      <c r="Q3" s="9"/>
      <c r="R3" s="9"/>
      <c r="S3" s="9"/>
      <c r="W3" s="11"/>
    </row>
    <row r="4" s="18" customFormat="true" ht="30.75" hidden="true" customHeight="true" outlineLevel="0" collapsed="false">
      <c r="A4" s="14" t="s">
        <v>2</v>
      </c>
      <c r="B4" s="14"/>
      <c r="C4" s="14"/>
      <c r="D4" s="15" t="s">
        <v>3</v>
      </c>
      <c r="E4" s="15"/>
      <c r="F4" s="16"/>
      <c r="G4" s="16"/>
      <c r="H4" s="16"/>
      <c r="I4" s="16"/>
      <c r="J4" s="17"/>
      <c r="K4" s="17"/>
      <c r="L4" s="17"/>
      <c r="M4" s="17"/>
      <c r="N4" s="17"/>
      <c r="R4" s="19"/>
      <c r="S4" s="19"/>
      <c r="T4" s="19"/>
      <c r="U4" s="19"/>
      <c r="V4" s="19"/>
      <c r="W4" s="19"/>
    </row>
    <row r="5" s="18" customFormat="true" ht="23.25" hidden="true" customHeight="true" outlineLevel="0" collapsed="false">
      <c r="A5" s="14" t="s">
        <v>4</v>
      </c>
      <c r="B5" s="14"/>
      <c r="C5" s="14"/>
      <c r="D5" s="15" t="s">
        <v>5</v>
      </c>
      <c r="E5" s="20" t="n">
        <f aca="false">VLOOKUP(D5,B84:C87,2,FALSE())</f>
        <v>30</v>
      </c>
      <c r="F5" s="16" t="str">
        <f aca="false">VLOOKUP(D5,B85:D87,3,FALSE())</f>
        <v>Obs: Desconto atualmente aplicado (30 dias corridos).</v>
      </c>
      <c r="G5" s="16"/>
      <c r="H5" s="16"/>
      <c r="I5" s="16"/>
      <c r="J5" s="17"/>
      <c r="K5" s="17"/>
      <c r="L5" s="17"/>
      <c r="M5" s="17"/>
      <c r="N5" s="17"/>
      <c r="R5" s="19"/>
      <c r="S5" s="19"/>
      <c r="T5" s="19"/>
      <c r="U5" s="19"/>
      <c r="V5" s="19"/>
      <c r="W5" s="19"/>
    </row>
    <row r="6" s="18" customFormat="true" ht="12" hidden="true" customHeight="true" outlineLevel="0" collapsed="false">
      <c r="A6" s="17"/>
      <c r="B6" s="17"/>
      <c r="C6" s="17"/>
      <c r="D6" s="17"/>
      <c r="E6" s="17"/>
      <c r="F6" s="17"/>
      <c r="G6" s="17"/>
      <c r="H6" s="17"/>
      <c r="I6" s="17"/>
      <c r="J6" s="17"/>
      <c r="K6" s="17"/>
      <c r="L6" s="17"/>
      <c r="M6" s="17"/>
      <c r="N6" s="17"/>
      <c r="R6" s="19"/>
      <c r="S6" s="19"/>
      <c r="T6" s="19"/>
      <c r="U6" s="19"/>
      <c r="V6" s="19"/>
      <c r="W6" s="19"/>
    </row>
    <row r="7" s="18" customFormat="true" ht="31.5" hidden="true" customHeight="true" outlineLevel="0" collapsed="false">
      <c r="A7" s="21" t="s">
        <v>6</v>
      </c>
      <c r="B7" s="21"/>
      <c r="C7" s="21"/>
      <c r="D7" s="22" t="s">
        <v>7</v>
      </c>
      <c r="E7" s="23" t="s">
        <v>8</v>
      </c>
      <c r="F7" s="24" t="s">
        <v>9</v>
      </c>
      <c r="G7" s="24" t="s">
        <v>10</v>
      </c>
      <c r="H7" s="22" t="s">
        <v>11</v>
      </c>
      <c r="I7" s="23" t="s">
        <v>12</v>
      </c>
      <c r="J7" s="24" t="s">
        <v>13</v>
      </c>
      <c r="K7" s="25" t="s">
        <v>14</v>
      </c>
      <c r="L7" s="26" t="s">
        <v>15</v>
      </c>
      <c r="M7" s="26" t="s">
        <v>16</v>
      </c>
      <c r="N7" s="27" t="s">
        <v>17</v>
      </c>
      <c r="O7" s="28" t="s">
        <v>18</v>
      </c>
      <c r="P7" s="24" t="s">
        <v>19</v>
      </c>
      <c r="Q7" s="24" t="s">
        <v>20</v>
      </c>
      <c r="R7" s="25" t="s">
        <v>21</v>
      </c>
      <c r="S7" s="23" t="s">
        <v>22</v>
      </c>
      <c r="T7" s="29" t="s">
        <v>23</v>
      </c>
      <c r="U7" s="29"/>
      <c r="V7" s="29"/>
      <c r="W7" s="29"/>
    </row>
    <row r="8" s="18" customFormat="true" ht="31.5" hidden="true" customHeight="true" outlineLevel="0" collapsed="false">
      <c r="A8" s="21"/>
      <c r="B8" s="21"/>
      <c r="C8" s="21"/>
      <c r="D8" s="22"/>
      <c r="E8" s="23"/>
      <c r="F8" s="24"/>
      <c r="G8" s="24"/>
      <c r="H8" s="22"/>
      <c r="I8" s="23"/>
      <c r="J8" s="24"/>
      <c r="K8" s="25"/>
      <c r="L8" s="26"/>
      <c r="M8" s="26"/>
      <c r="N8" s="27"/>
      <c r="O8" s="28"/>
      <c r="P8" s="24"/>
      <c r="Q8" s="24"/>
      <c r="R8" s="25"/>
      <c r="S8" s="23"/>
      <c r="T8" s="29"/>
      <c r="U8" s="29"/>
      <c r="V8" s="29"/>
      <c r="W8" s="29"/>
    </row>
    <row r="9" s="18" customFormat="true" ht="31.5" hidden="true" customHeight="true" outlineLevel="0" collapsed="false">
      <c r="A9" s="21"/>
      <c r="B9" s="21"/>
      <c r="C9" s="21"/>
      <c r="D9" s="22"/>
      <c r="E9" s="23"/>
      <c r="F9" s="24"/>
      <c r="G9" s="24"/>
      <c r="H9" s="22"/>
      <c r="I9" s="23"/>
      <c r="J9" s="24"/>
      <c r="K9" s="25"/>
      <c r="L9" s="26"/>
      <c r="M9" s="26"/>
      <c r="N9" s="27"/>
      <c r="O9" s="28"/>
      <c r="P9" s="24"/>
      <c r="Q9" s="24"/>
      <c r="R9" s="25"/>
      <c r="S9" s="23"/>
      <c r="T9" s="29"/>
      <c r="U9" s="29"/>
      <c r="V9" s="29"/>
      <c r="W9" s="29"/>
    </row>
    <row r="10" s="18" customFormat="true" ht="49.95" hidden="true" customHeight="false" outlineLevel="0" collapsed="false">
      <c r="A10" s="30" t="s">
        <v>24</v>
      </c>
      <c r="B10" s="31" t="s">
        <v>25</v>
      </c>
      <c r="C10" s="31" t="s">
        <v>26</v>
      </c>
      <c r="D10" s="32" t="s">
        <v>27</v>
      </c>
      <c r="E10" s="30" t="s">
        <v>28</v>
      </c>
      <c r="F10" s="31" t="s">
        <v>29</v>
      </c>
      <c r="G10" s="31" t="s">
        <v>30</v>
      </c>
      <c r="H10" s="32" t="s">
        <v>31</v>
      </c>
      <c r="I10" s="30" t="s">
        <v>32</v>
      </c>
      <c r="J10" s="31" t="s">
        <v>33</v>
      </c>
      <c r="K10" s="33" t="s">
        <v>33</v>
      </c>
      <c r="L10" s="34" t="s">
        <v>34</v>
      </c>
      <c r="M10" s="34" t="s">
        <v>35</v>
      </c>
      <c r="N10" s="34" t="s">
        <v>36</v>
      </c>
      <c r="O10" s="35" t="s">
        <v>37</v>
      </c>
      <c r="P10" s="31" t="s">
        <v>38</v>
      </c>
      <c r="Q10" s="31" t="s">
        <v>39</v>
      </c>
      <c r="R10" s="33" t="s">
        <v>40</v>
      </c>
      <c r="S10" s="30" t="s">
        <v>41</v>
      </c>
      <c r="T10" s="31" t="s">
        <v>42</v>
      </c>
      <c r="U10" s="31" t="s">
        <v>43</v>
      </c>
      <c r="V10" s="31" t="s">
        <v>44</v>
      </c>
      <c r="W10" s="33" t="s">
        <v>45</v>
      </c>
    </row>
    <row r="11" s="18" customFormat="true" ht="15" hidden="true" customHeight="false" outlineLevel="0" collapsed="false">
      <c r="A11" s="36" t="n">
        <f aca="false">Dados!B7</f>
        <v>1</v>
      </c>
      <c r="B11" s="37" t="str">
        <f aca="false">Dados!C7</f>
        <v>Servente de Limpeza 40% Insalubridade</v>
      </c>
      <c r="C11" s="38" t="n">
        <f aca="false">Dados!D7</f>
        <v>200</v>
      </c>
      <c r="D11" s="39" t="n">
        <v>0</v>
      </c>
      <c r="E11" s="36" t="s">
        <v>46</v>
      </c>
      <c r="F11" s="38" t="n">
        <f aca="false">IF(E11="NÃO",0,D11*Dados!$G$34)</f>
        <v>0</v>
      </c>
      <c r="G11" s="40" t="n">
        <v>0</v>
      </c>
      <c r="H11" s="39" t="n">
        <v>0</v>
      </c>
      <c r="I11" s="41" t="n">
        <v>0</v>
      </c>
      <c r="J11" s="40" t="n">
        <v>0</v>
      </c>
      <c r="K11" s="42" t="n">
        <f aca="false">I11+J11</f>
        <v>0</v>
      </c>
      <c r="L11" s="43" t="n">
        <v>0</v>
      </c>
      <c r="M11" s="43" t="n">
        <v>0</v>
      </c>
      <c r="N11" s="44"/>
      <c r="O11" s="45" t="n">
        <f aca="false">Resumo!S12</f>
        <v>0</v>
      </c>
      <c r="P11" s="46" t="n">
        <f aca="false">Resumo!V12</f>
        <v>0</v>
      </c>
      <c r="Q11" s="47" t="n">
        <f aca="false">Resumo!W12</f>
        <v>5625.61</v>
      </c>
      <c r="R11" s="48" t="n">
        <f aca="false">Dados!O7+Dados!P7</f>
        <v>371.86</v>
      </c>
      <c r="S11" s="36" t="n">
        <f aca="false">Dados!S7</f>
        <v>2</v>
      </c>
      <c r="T11" s="49" t="n">
        <f aca="false">ROUND((Dados!M7*Encargos!$H$59*A11),2)</f>
        <v>647.16</v>
      </c>
      <c r="U11" s="49" t="s">
        <v>47</v>
      </c>
      <c r="V11" s="50" t="n">
        <f aca="false">SUMIF($S$11:$S$14,1,$Q$11:$Q$14)</f>
        <v>4655.99</v>
      </c>
      <c r="W11" s="51" t="n">
        <f aca="false">SUMIF($S$11:$S$14,1,$T$11:$T$14)</f>
        <v>576.64</v>
      </c>
    </row>
    <row r="12" s="18" customFormat="true" ht="15" hidden="true" customHeight="false" outlineLevel="0" collapsed="false">
      <c r="A12" s="36" t="n">
        <f aca="false">Dados!B8</f>
        <v>1</v>
      </c>
      <c r="B12" s="37" t="str">
        <f aca="false">Dados!C8</f>
        <v>Servente de Limpeza  ac. Copeira</v>
      </c>
      <c r="C12" s="38" t="n">
        <f aca="false">Dados!D8</f>
        <v>200</v>
      </c>
      <c r="D12" s="39" t="n">
        <v>0</v>
      </c>
      <c r="E12" s="36" t="s">
        <v>46</v>
      </c>
      <c r="F12" s="38" t="n">
        <f aca="false">IF(E12="NÃO",0,D12*Dados!$G$34)</f>
        <v>0</v>
      </c>
      <c r="G12" s="40" t="n">
        <v>0</v>
      </c>
      <c r="H12" s="39" t="n">
        <v>0</v>
      </c>
      <c r="I12" s="41" t="n">
        <v>0</v>
      </c>
      <c r="J12" s="40" t="n">
        <v>0</v>
      </c>
      <c r="K12" s="42" t="n">
        <f aca="false">I12+J12</f>
        <v>0</v>
      </c>
      <c r="L12" s="43" t="n">
        <v>0</v>
      </c>
      <c r="M12" s="43" t="n">
        <v>0</v>
      </c>
      <c r="N12" s="43" t="n">
        <v>0</v>
      </c>
      <c r="O12" s="45" t="n">
        <f aca="false">Resumo!S13</f>
        <v>0</v>
      </c>
      <c r="P12" s="49" t="n">
        <f aca="false">Resumo!V13</f>
        <v>0</v>
      </c>
      <c r="Q12" s="47" t="n">
        <f aca="false">Resumo!W13</f>
        <v>4568.58</v>
      </c>
      <c r="R12" s="48" t="n">
        <f aca="false">Dados!O8+Dados!P8</f>
        <v>457.973333333333</v>
      </c>
      <c r="S12" s="36" t="n">
        <f aca="false">Dados!S8</f>
        <v>2</v>
      </c>
      <c r="T12" s="49" t="n">
        <f aca="false">ROUND((Dados!M8*Encargos!$H$59*A12),2)</f>
        <v>473.78</v>
      </c>
      <c r="U12" s="49" t="s">
        <v>47</v>
      </c>
      <c r="V12" s="50" t="n">
        <f aca="false">SUMIF($S$11:$S$14,2,$Q$11:$Q$14)</f>
        <v>19544.38</v>
      </c>
      <c r="W12" s="51" t="n">
        <f aca="false">SUMIF($S$11:$S$14,2,$T$11:$T$14)</f>
        <v>2418.37</v>
      </c>
    </row>
    <row r="13" s="18" customFormat="true" ht="15" hidden="true" customHeight="false" outlineLevel="0" collapsed="false">
      <c r="A13" s="36" t="n">
        <f aca="false">Dados!B9</f>
        <v>3</v>
      </c>
      <c r="B13" s="37" t="str">
        <f aca="false">Dados!C9</f>
        <v>Auxiliar Administrativo</v>
      </c>
      <c r="C13" s="38" t="n">
        <f aca="false">Dados!D9</f>
        <v>150</v>
      </c>
      <c r="D13" s="39" t="n">
        <v>0</v>
      </c>
      <c r="E13" s="36" t="s">
        <v>46</v>
      </c>
      <c r="F13" s="38" t="n">
        <f aca="false">IF(E13="NÃO",0,D13*Dados!$G$34)</f>
        <v>0</v>
      </c>
      <c r="G13" s="40" t="n">
        <v>0</v>
      </c>
      <c r="H13" s="39" t="n">
        <v>0</v>
      </c>
      <c r="I13" s="41" t="n">
        <v>0</v>
      </c>
      <c r="J13" s="40" t="n">
        <v>0</v>
      </c>
      <c r="K13" s="42" t="n">
        <f aca="false">I13+J13</f>
        <v>0</v>
      </c>
      <c r="L13" s="43" t="n">
        <v>0</v>
      </c>
      <c r="M13" s="43" t="n">
        <v>0</v>
      </c>
      <c r="N13" s="44"/>
      <c r="O13" s="52" t="n">
        <f aca="false">Resumo!S14</f>
        <v>0</v>
      </c>
      <c r="P13" s="46" t="n">
        <f aca="false">Resumo!V14</f>
        <v>0</v>
      </c>
      <c r="Q13" s="49" t="n">
        <f aca="false">Resumo!W14</f>
        <v>9350.19</v>
      </c>
      <c r="R13" s="48" t="n">
        <f aca="false">Dados!O9+Dados!P9</f>
        <v>0</v>
      </c>
      <c r="S13" s="36" t="n">
        <f aca="false">Dados!S9</f>
        <v>2</v>
      </c>
      <c r="T13" s="49" t="n">
        <f aca="false">ROUND((Dados!M9*Encargos!$H$59*A13),2)</f>
        <v>1297.43</v>
      </c>
      <c r="U13" s="49" t="s">
        <v>47</v>
      </c>
      <c r="V13" s="50" t="n">
        <f aca="false">SUMIF($S$11:$S$14,4,$Q$11:$Q$14)</f>
        <v>0</v>
      </c>
      <c r="W13" s="51" t="n">
        <f aca="false">SUMIF($S$11:$S$14,4,$T$11:$T$14)</f>
        <v>0</v>
      </c>
    </row>
    <row r="14" s="18" customFormat="true" ht="15" hidden="true" customHeight="false" outlineLevel="0" collapsed="false">
      <c r="A14" s="36" t="n">
        <f aca="false">Dados!B10</f>
        <v>1</v>
      </c>
      <c r="B14" s="37" t="str">
        <f aca="false">Dados!C10</f>
        <v>Auxiliar Administrativo</v>
      </c>
      <c r="C14" s="38" t="n">
        <f aca="false">Dados!D10</f>
        <v>200</v>
      </c>
      <c r="D14" s="39" t="n">
        <v>0</v>
      </c>
      <c r="E14" s="53" t="s">
        <v>46</v>
      </c>
      <c r="F14" s="54" t="n">
        <f aca="false">IF(E14="NÃO",0,D14*Dados!$G$34)</f>
        <v>0</v>
      </c>
      <c r="G14" s="55" t="n">
        <v>0</v>
      </c>
      <c r="H14" s="56" t="n">
        <v>0</v>
      </c>
      <c r="I14" s="57" t="n">
        <v>0</v>
      </c>
      <c r="J14" s="55" t="n">
        <v>0</v>
      </c>
      <c r="K14" s="58" t="n">
        <f aca="false">I14+J14</f>
        <v>0</v>
      </c>
      <c r="L14" s="59" t="n">
        <v>0</v>
      </c>
      <c r="M14" s="59" t="n">
        <v>0</v>
      </c>
      <c r="N14" s="44"/>
      <c r="O14" s="52" t="n">
        <f aca="false">Resumo!S15</f>
        <v>0</v>
      </c>
      <c r="P14" s="46" t="n">
        <f aca="false">Resumo!V15</f>
        <v>0</v>
      </c>
      <c r="Q14" s="49" t="n">
        <f aca="false">Resumo!W15</f>
        <v>4655.99</v>
      </c>
      <c r="R14" s="48" t="n">
        <f aca="false">Dados!O10+Dados!P10</f>
        <v>0</v>
      </c>
      <c r="S14" s="36" t="n">
        <f aca="false">Dados!S10</f>
        <v>1</v>
      </c>
      <c r="T14" s="49" t="n">
        <f aca="false">ROUND((Dados!M10*Encargos!$H$59*A14),2)</f>
        <v>576.64</v>
      </c>
      <c r="U14" s="49" t="s">
        <v>48</v>
      </c>
      <c r="V14" s="50" t="n">
        <f aca="false">SUMIF($S$11:$S$14,5,$Q$11:$Q$14)</f>
        <v>0</v>
      </c>
      <c r="W14" s="51" t="n">
        <f aca="false">SUMIF($S$11:$S$14,5,$T$11:$T$14)</f>
        <v>0</v>
      </c>
    </row>
    <row r="15" s="70" customFormat="true" ht="13.5" hidden="true" customHeight="true" outlineLevel="0" collapsed="false">
      <c r="A15" s="60" t="s">
        <v>49</v>
      </c>
      <c r="B15" s="60"/>
      <c r="C15" s="60"/>
      <c r="D15" s="60"/>
      <c r="E15" s="60"/>
      <c r="F15" s="60"/>
      <c r="G15" s="60"/>
      <c r="H15" s="61" t="n">
        <f aca="false">Resumo!I16</f>
        <v>0</v>
      </c>
      <c r="I15" s="62"/>
      <c r="J15" s="62"/>
      <c r="K15" s="63" t="n">
        <f aca="false">Resumo!L16</f>
        <v>0</v>
      </c>
      <c r="L15" s="64" t="n">
        <f aca="false">Resumo!O16</f>
        <v>0</v>
      </c>
      <c r="M15" s="64" t="n">
        <f aca="false">Resumo!R16</f>
        <v>0</v>
      </c>
      <c r="N15" s="65" t="n">
        <f aca="false">Resumo!V16</f>
        <v>0</v>
      </c>
      <c r="O15" s="66" t="n">
        <f aca="false">(H15+K15+L15+M15)</f>
        <v>0</v>
      </c>
      <c r="P15" s="67" t="n">
        <f aca="false">Resumo!V16</f>
        <v>0</v>
      </c>
      <c r="Q15" s="67" t="n">
        <f aca="false">SUM(Q11:Q14)</f>
        <v>24200.37</v>
      </c>
      <c r="R15" s="68" t="n">
        <f aca="false">SUM(R11:R14)</f>
        <v>829.833333333333</v>
      </c>
      <c r="S15" s="69"/>
      <c r="T15" s="67" t="n">
        <f aca="false">SUM(T11:T14)</f>
        <v>2995.01</v>
      </c>
      <c r="U15" s="67"/>
      <c r="V15" s="67" t="n">
        <f aca="false">SUM(V11:V14)</f>
        <v>24200.37</v>
      </c>
      <c r="W15" s="68" t="n">
        <f aca="false">SUM(W11:W14)</f>
        <v>2995.01</v>
      </c>
    </row>
    <row r="16" customFormat="false" ht="15" hidden="true" customHeight="false" outlineLevel="0" collapsed="false">
      <c r="A16" s="71" t="s">
        <v>50</v>
      </c>
      <c r="B16" s="16"/>
      <c r="C16" s="16"/>
      <c r="D16" s="16"/>
      <c r="E16" s="16"/>
      <c r="F16" s="16"/>
      <c r="G16" s="16"/>
      <c r="H16" s="16"/>
      <c r="I16" s="16"/>
      <c r="J16" s="16"/>
    </row>
    <row r="17" customFormat="false" ht="15" hidden="true" customHeight="false" outlineLevel="0" collapsed="false">
      <c r="A17" s="72" t="s">
        <v>51</v>
      </c>
      <c r="B17" s="73"/>
      <c r="C17" s="73"/>
      <c r="D17" s="73"/>
      <c r="E17" s="73"/>
      <c r="F17" s="73"/>
      <c r="G17" s="73"/>
      <c r="H17" s="73"/>
      <c r="I17" s="73"/>
      <c r="J17" s="73"/>
    </row>
    <row r="18" s="70" customFormat="true" ht="25.5" hidden="true" customHeight="true" outlineLevel="0" collapsed="false">
      <c r="A18" s="74" t="s">
        <v>52</v>
      </c>
      <c r="B18" s="74"/>
      <c r="C18" s="74" t="s">
        <v>53</v>
      </c>
      <c r="D18" s="74" t="s">
        <v>54</v>
      </c>
      <c r="E18" s="74" t="s">
        <v>55</v>
      </c>
      <c r="F18" s="74" t="s">
        <v>56</v>
      </c>
      <c r="H18" s="72"/>
      <c r="I18" s="75"/>
      <c r="J18" s="72"/>
      <c r="K18" s="75"/>
      <c r="L18" s="75"/>
      <c r="M18" s="75"/>
      <c r="R18" s="75"/>
      <c r="S18" s="75"/>
      <c r="T18" s="75"/>
      <c r="U18" s="75"/>
      <c r="V18" s="75"/>
      <c r="W18" s="75"/>
    </row>
    <row r="19" s="70" customFormat="true" ht="15" hidden="true" customHeight="false" outlineLevel="0" collapsed="false">
      <c r="A19" s="74"/>
      <c r="B19" s="74"/>
      <c r="C19" s="76" t="n">
        <v>220</v>
      </c>
      <c r="D19" s="76" t="n">
        <v>10</v>
      </c>
      <c r="E19" s="76" t="n">
        <v>25</v>
      </c>
      <c r="F19" s="77" t="n">
        <f aca="false">ROUND((D19/VLOOKUP(C19,$B$90:$C$96,2,FALSE())+E19/60/VLOOKUP(C19,$B$90:$C$96,2,FALSE())),2)</f>
        <v>1.18</v>
      </c>
      <c r="H19" s="72"/>
      <c r="I19" s="75"/>
      <c r="J19" s="72"/>
      <c r="K19" s="75"/>
      <c r="L19" s="75"/>
      <c r="M19" s="75"/>
      <c r="R19" s="75"/>
      <c r="S19" s="75"/>
      <c r="T19" s="75"/>
      <c r="U19" s="75"/>
      <c r="V19" s="75"/>
      <c r="W19" s="75"/>
    </row>
    <row r="20" s="70" customFormat="true" ht="15" hidden="true" customHeight="true" outlineLevel="0" collapsed="false">
      <c r="A20" s="78" t="s">
        <v>57</v>
      </c>
      <c r="B20" s="78"/>
      <c r="C20" s="78"/>
      <c r="D20" s="78"/>
      <c r="E20" s="78"/>
      <c r="F20" s="78"/>
      <c r="G20" s="16"/>
      <c r="H20" s="16"/>
      <c r="I20" s="16"/>
      <c r="J20" s="72"/>
      <c r="K20" s="75"/>
      <c r="L20" s="75"/>
      <c r="M20" s="75"/>
      <c r="R20" s="75"/>
      <c r="S20" s="75"/>
      <c r="T20" s="75"/>
      <c r="U20" s="75"/>
      <c r="V20" s="75"/>
      <c r="W20" s="75"/>
    </row>
    <row r="21" s="70" customFormat="true" ht="15" hidden="true" customHeight="false" outlineLevel="0" collapsed="false">
      <c r="A21" s="78"/>
      <c r="B21" s="78"/>
      <c r="C21" s="78"/>
      <c r="D21" s="78"/>
      <c r="E21" s="78"/>
      <c r="F21" s="78"/>
      <c r="G21" s="16"/>
      <c r="H21" s="79"/>
      <c r="I21" s="16"/>
      <c r="J21" s="72"/>
      <c r="K21" s="75"/>
      <c r="L21" s="75"/>
      <c r="M21" s="75"/>
      <c r="R21" s="75"/>
      <c r="S21" s="75"/>
      <c r="T21" s="75"/>
      <c r="U21" s="75"/>
      <c r="V21" s="75"/>
      <c r="W21" s="75"/>
    </row>
    <row r="22" customFormat="false" ht="15" hidden="true" customHeight="false" outlineLevel="0" collapsed="false">
      <c r="A22" s="72" t="s">
        <v>58</v>
      </c>
      <c r="B22" s="16"/>
      <c r="C22" s="16"/>
      <c r="D22" s="16"/>
      <c r="E22" s="16"/>
      <c r="F22" s="16"/>
      <c r="G22" s="16"/>
      <c r="H22" s="16"/>
      <c r="I22" s="16"/>
      <c r="J22" s="16"/>
    </row>
    <row r="23" customFormat="false" ht="15" hidden="true" customHeight="false" outlineLevel="0" collapsed="false">
      <c r="A23" s="16"/>
      <c r="B23" s="16"/>
      <c r="C23" s="16"/>
      <c r="D23" s="16"/>
      <c r="E23" s="16"/>
      <c r="F23" s="16"/>
      <c r="G23" s="16"/>
      <c r="H23" s="16"/>
      <c r="I23" s="16"/>
      <c r="J23" s="16"/>
      <c r="N23" s="80"/>
      <c r="O23" s="81"/>
      <c r="P23" s="81"/>
    </row>
    <row r="24" customFormat="false" ht="30.75" hidden="true" customHeight="true" outlineLevel="0" collapsed="false">
      <c r="A24" s="82" t="s">
        <v>59</v>
      </c>
      <c r="B24" s="83" t="s">
        <v>60</v>
      </c>
      <c r="C24" s="83"/>
      <c r="D24" s="83"/>
      <c r="E24" s="83"/>
      <c r="F24" s="84" t="s">
        <v>61</v>
      </c>
      <c r="G24" s="84"/>
      <c r="H24" s="84"/>
      <c r="I24" s="85" t="s">
        <v>62</v>
      </c>
      <c r="J24" s="85"/>
      <c r="K24" s="85"/>
      <c r="L24" s="86" t="s">
        <v>63</v>
      </c>
      <c r="M24" s="86"/>
      <c r="N24" s="86"/>
      <c r="O24" s="86"/>
      <c r="V24" s="1"/>
      <c r="W24" s="1"/>
    </row>
    <row r="25" customFormat="false" ht="38.25" hidden="true" customHeight="true" outlineLevel="0" collapsed="false">
      <c r="A25" s="82"/>
      <c r="B25" s="74" t="s">
        <v>64</v>
      </c>
      <c r="C25" s="74"/>
      <c r="D25" s="74"/>
      <c r="E25" s="74" t="s">
        <v>65</v>
      </c>
      <c r="F25" s="74" t="s">
        <v>66</v>
      </c>
      <c r="G25" s="74" t="s">
        <v>67</v>
      </c>
      <c r="H25" s="87" t="s">
        <v>68</v>
      </c>
      <c r="I25" s="85"/>
      <c r="J25" s="85"/>
      <c r="K25" s="85"/>
      <c r="L25" s="82" t="s">
        <v>69</v>
      </c>
      <c r="M25" s="83" t="s">
        <v>70</v>
      </c>
      <c r="N25" s="83" t="s">
        <v>71</v>
      </c>
      <c r="O25" s="84" t="s">
        <v>72</v>
      </c>
      <c r="V25" s="16"/>
      <c r="W25" s="1"/>
    </row>
    <row r="26" customFormat="false" ht="17.25" hidden="true" customHeight="true" outlineLevel="0" collapsed="false">
      <c r="A26" s="88" t="n">
        <v>1</v>
      </c>
      <c r="B26" s="89" t="str">
        <f aca="false">Materiais!B9</f>
        <v>Água sanitária galão de 5 litros, composição do produto: hipoclorito de sódio 2,5%, hidróxido de sódio e veículo.,teor de cloro ativo entre 2,0 e 2,5% p/p.</v>
      </c>
      <c r="C26" s="89"/>
      <c r="D26" s="89"/>
      <c r="E26" s="49" t="str">
        <f aca="false">Materiais!C9</f>
        <v>Galão</v>
      </c>
      <c r="F26" s="49" t="str">
        <f aca="false">Materiais!D9</f>
        <v>Santa Clara</v>
      </c>
      <c r="G26" s="90" t="n">
        <f aca="false">IF($D$4="PLANILHA PARA LICITAÇÃO (PRECIFICAÇÃO)",L26,0)</f>
        <v>1</v>
      </c>
      <c r="H26" s="91" t="n">
        <f aca="false">G26*Materiais!G9</f>
        <v>15.74</v>
      </c>
      <c r="I26" s="92" t="str">
        <f aca="false">IF(G26&lt;L26,"Fornecimento inferior ao estimado mensalmente",IF(G26=L26,"Fornecimento igual ao estimado mensalmente",IF(G26&gt;L26,"Fornecimento superior ao estimado mensalmente",)))</f>
        <v>Fornecimento igual ao estimado mensalmente</v>
      </c>
      <c r="J26" s="92"/>
      <c r="K26" s="92"/>
      <c r="L26" s="93" t="n">
        <f aca="false">M26/O26</f>
        <v>1</v>
      </c>
      <c r="M26" s="94" t="n">
        <f aca="false">Materiais!E9</f>
        <v>2</v>
      </c>
      <c r="N26" s="95" t="str">
        <f aca="false">Materiais!F9</f>
        <v>bimestral</v>
      </c>
      <c r="O26" s="96" t="n">
        <f aca="false">IF(N26="MENSAL",1,IF(N26="BIMESTRAL",2,IF(N26="TRIMESTRAL",3,IF(N26="QUADRIMESTRAL",4,IF(N26="SEMESTRAL",6,IF(N26="ANUAL",12,IF(N26="BIENAL",24,"")))))))</f>
        <v>2</v>
      </c>
      <c r="W26" s="1"/>
    </row>
    <row r="27" customFormat="false" ht="27.75" hidden="true" customHeight="true" outlineLevel="0" collapsed="false">
      <c r="A27" s="97" t="n">
        <v>2</v>
      </c>
      <c r="B27" s="89" t="str">
        <f aca="false">Materiais!B10</f>
        <v>Alcool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v>
      </c>
      <c r="C27" s="89"/>
      <c r="D27" s="89"/>
      <c r="E27" s="49" t="str">
        <f aca="false">Materiais!C10</f>
        <v>Galão</v>
      </c>
      <c r="F27" s="49" t="str">
        <f aca="false">Materiais!D10</f>
        <v>Asseptgel</v>
      </c>
      <c r="G27" s="90" t="n">
        <f aca="false">IF($D$4="PLANILHA PARA LICITAÇÃO (PRECIFICAÇÃO)",L27,0)</f>
        <v>2</v>
      </c>
      <c r="H27" s="91" t="n">
        <f aca="false">G27*Materiais!G10</f>
        <v>103.22</v>
      </c>
      <c r="I27" s="92" t="str">
        <f aca="false">IF(G27&lt;L27,"Fornecimento inferior ao estimado mensalmente",IF(G27=L27,"Fornecimento igual ao estimado mensalmente",IF(G27&gt;L27,"Fornecimento superior ao estimado mensalmente",)))</f>
        <v>Fornecimento igual ao estimado mensalmente</v>
      </c>
      <c r="J27" s="92"/>
      <c r="K27" s="92"/>
      <c r="L27" s="93" t="n">
        <f aca="false">M27/O27</f>
        <v>2</v>
      </c>
      <c r="M27" s="94" t="n">
        <f aca="false">Materiais!E10</f>
        <v>2</v>
      </c>
      <c r="N27" s="95" t="str">
        <f aca="false">Materiais!F10</f>
        <v>mensal</v>
      </c>
      <c r="O27" s="96" t="n">
        <f aca="false">IF(N27="MENSAL",1,IF(N27="BIMESTRAL",2,IF(N27="TRIMESTRAL",3,IF(N27="QUADRIMESTRAL",4,IF(N27="SEMESTRAL",6,IF(N27="ANUAL",12,IF(N27="BIENAL",24,"")))))))</f>
        <v>1</v>
      </c>
      <c r="W27" s="1"/>
    </row>
    <row r="28" customFormat="false" ht="15" hidden="true" customHeight="true" outlineLevel="0" collapsed="false">
      <c r="A28" s="97" t="n">
        <v>3</v>
      </c>
      <c r="B28" s="89" t="str">
        <f aca="false">Materiais!B11</f>
        <v>Álcool Líquido 1 Litro: Etilico Hidratado, para limpeza em geral, teor alcoolico 70 inpm. Aprovação Anvisa; Produto devera estar de acordo com legislacão vigente</v>
      </c>
      <c r="C28" s="89"/>
      <c r="D28" s="89"/>
      <c r="E28" s="49" t="str">
        <f aca="false">Materiais!C11</f>
        <v>unid.</v>
      </c>
      <c r="F28" s="49" t="str">
        <f aca="false">Materiais!D11</f>
        <v>Facilita</v>
      </c>
      <c r="G28" s="90" t="n">
        <f aca="false">IF($D$4="PLANILHA PARA LICITAÇÃO (PRECIFICAÇÃO)",L28,0)</f>
        <v>4</v>
      </c>
      <c r="H28" s="91" t="n">
        <f aca="false">G28*Materiais!G11</f>
        <v>24.16</v>
      </c>
      <c r="I28" s="92" t="str">
        <f aca="false">IF(G28&lt;L28,"Fornecimento inferior ao estimado mensalmente",IF(G28=L28,"Fornecimento igual ao estimado mensalmente",IF(G28&gt;L28,"Fornecimento superior ao estimado mensalmente",)))</f>
        <v>Fornecimento igual ao estimado mensalmente</v>
      </c>
      <c r="J28" s="92"/>
      <c r="K28" s="92"/>
      <c r="L28" s="93" t="n">
        <f aca="false">M28/O28</f>
        <v>4</v>
      </c>
      <c r="M28" s="94" t="n">
        <f aca="false">Materiais!E11</f>
        <v>4</v>
      </c>
      <c r="N28" s="95" t="str">
        <f aca="false">Materiais!F11</f>
        <v>mensal</v>
      </c>
      <c r="O28" s="96" t="n">
        <f aca="false">IF(N28="MENSAL",1,IF(N28="BIMESTRAL",2,IF(N28="TRIMESTRAL",3,IF(N28="QUADRIMESTRAL",4,IF(N28="SEMESTRAL",6,IF(N28="ANUAL",12,IF(N28="BIENAL",24,"")))))))</f>
        <v>1</v>
      </c>
      <c r="W28" s="1"/>
    </row>
    <row r="29" customFormat="false" ht="15" hidden="true" customHeight="true" outlineLevel="0" collapsed="false">
      <c r="A29" s="88" t="n">
        <v>5</v>
      </c>
      <c r="B29" s="89" t="str">
        <f aca="false">Materiais!B12</f>
        <v>Balde plástico em polietileno de alta densidade, alta resistência a impacto, com paredes e fundo reforçados, com reforço no encaixe da alça de aço zincado constando no corpo a marcado fabricante, capacidade de 12 litros.</v>
      </c>
      <c r="C29" s="89"/>
      <c r="D29" s="89"/>
      <c r="E29" s="49" t="str">
        <f aca="false">Materiais!C12</f>
        <v>unid.</v>
      </c>
      <c r="F29" s="49" t="str">
        <f aca="false">Materiais!D12</f>
        <v>Arqplast</v>
      </c>
      <c r="G29" s="90" t="n">
        <f aca="false">IF($D$4="PLANILHA PARA LICITAÇÃO (PRECIFICAÇÃO)",L29,0)</f>
        <v>0.166666666666667</v>
      </c>
      <c r="H29" s="91" t="n">
        <f aca="false">G29*Materiais!G12</f>
        <v>2.66833333333333</v>
      </c>
      <c r="I29" s="92" t="str">
        <f aca="false">IF(G29&lt;L29,"Fornecimento inferior ao estimado mensalmente",IF(G29=L29,"Fornecimento igual ao estimado mensalmente",IF(G29&gt;L29,"Fornecimento superior ao estimado mensalmente",)))</f>
        <v>Fornecimento igual ao estimado mensalmente</v>
      </c>
      <c r="J29" s="92"/>
      <c r="K29" s="92"/>
      <c r="L29" s="93" t="n">
        <f aca="false">M29/O29</f>
        <v>0.166666666666667</v>
      </c>
      <c r="M29" s="94" t="n">
        <f aca="false">Materiais!E12</f>
        <v>2</v>
      </c>
      <c r="N29" s="95" t="str">
        <f aca="false">Materiais!F12</f>
        <v>anual</v>
      </c>
      <c r="O29" s="96" t="n">
        <f aca="false">IF(N29="MENSAL",1,IF(N29="BIMESTRAL",2,IF(N29="TRIMESTRAL",3,IF(N29="QUADRIMESTRAL",4,IF(N29="SEMESTRAL",6,IF(N29="ANUAL",12,IF(N29="BIENAL",24,"")))))))</f>
        <v>12</v>
      </c>
      <c r="W29" s="1"/>
    </row>
    <row r="30" customFormat="false" ht="15" hidden="true" customHeight="true" outlineLevel="0" collapsed="false">
      <c r="A30" s="97" t="n">
        <v>6</v>
      </c>
      <c r="B30" s="89" t="str">
        <f aca="false">Materiais!B13</f>
        <v>Desentupidor Pia: Tipo: Sanfonado, Com Alto Poder De Sucção. Material: Borracha Flexível, Composto Por Polipropileno E Borracha Termoplástica. Plástico Resistente, Cabo Longo, mínimo 20 CM.</v>
      </c>
      <c r="C30" s="89"/>
      <c r="D30" s="89"/>
      <c r="E30" s="49" t="str">
        <f aca="false">Materiais!C13</f>
        <v>unid.</v>
      </c>
      <c r="F30" s="49" t="str">
        <f aca="false">Materiais!D13</f>
        <v>Oliveira e Azevedo</v>
      </c>
      <c r="G30" s="90" t="n">
        <f aca="false">IF($D$4="PLANILHA PARA LICITAÇÃO (PRECIFICAÇÃO)",L30,0)</f>
        <v>0.0833333333333333</v>
      </c>
      <c r="H30" s="91" t="n">
        <f aca="false">G30*Materiais!G13</f>
        <v>0.81</v>
      </c>
      <c r="I30" s="92" t="str">
        <f aca="false">IF(G30&lt;L30,"Fornecimento inferior ao estimado mensalmente",IF(G30=L30,"Fornecimento igual ao estimado mensalmente",IF(G30&gt;L30,"Fornecimento superior ao estimado mensalmente",)))</f>
        <v>Fornecimento igual ao estimado mensalmente</v>
      </c>
      <c r="J30" s="92"/>
      <c r="K30" s="92"/>
      <c r="L30" s="93" t="n">
        <f aca="false">M30/O30</f>
        <v>0.0833333333333333</v>
      </c>
      <c r="M30" s="94" t="n">
        <f aca="false">Materiais!E13</f>
        <v>1</v>
      </c>
      <c r="N30" s="95" t="str">
        <f aca="false">Materiais!F13</f>
        <v>anual</v>
      </c>
      <c r="O30" s="96" t="n">
        <f aca="false">IF(N30="MENSAL",1,IF(N30="BIMESTRAL",2,IF(N30="TRIMESTRAL",3,IF(N30="QUADRIMESTRAL",4,IF(N30="SEMESTRAL",6,IF(N30="ANUAL",12,IF(N30="BIENAL",24,"")))))))</f>
        <v>12</v>
      </c>
      <c r="W30" s="1"/>
    </row>
    <row r="31" customFormat="false" ht="15" hidden="true" customHeight="true" outlineLevel="0" collapsed="false">
      <c r="A31" s="97" t="n">
        <v>7</v>
      </c>
      <c r="B31" s="89" t="str">
        <f aca="false">Materiais!B14</f>
        <v>Desentupidor Vaso Sanitário Material: Borracha Flexível, Comprimento Cabo: 50 CM, Altura: 10 CM, Cor: Preta , Diâmetro: 16 CM, MaterialCabo: Madeira</v>
      </c>
      <c r="C31" s="89"/>
      <c r="D31" s="89"/>
      <c r="E31" s="49" t="str">
        <f aca="false">Materiais!C14</f>
        <v>unid.</v>
      </c>
      <c r="F31" s="49" t="str">
        <f aca="false">Materiais!D14</f>
        <v>Canada</v>
      </c>
      <c r="G31" s="90" t="n">
        <f aca="false">IF($D$4="PLANILHA PARA LICITAÇÃO (PRECIFICAÇÃO)",L31,0)</f>
        <v>0.0833333333333333</v>
      </c>
      <c r="H31" s="91" t="n">
        <f aca="false">G31*Materiais!G14</f>
        <v>1.2225</v>
      </c>
      <c r="I31" s="92" t="str">
        <f aca="false">IF(G31&lt;L31,"Fornecimento inferior ao estimado mensalmente",IF(G31=L31,"Fornecimento igual ao estimado mensalmente",IF(G31&gt;L31,"Fornecimento superior ao estimado mensalmente",)))</f>
        <v>Fornecimento igual ao estimado mensalmente</v>
      </c>
      <c r="J31" s="92"/>
      <c r="K31" s="92"/>
      <c r="L31" s="93" t="n">
        <f aca="false">M31/O31</f>
        <v>0.0833333333333333</v>
      </c>
      <c r="M31" s="94" t="n">
        <f aca="false">Materiais!E14</f>
        <v>1</v>
      </c>
      <c r="N31" s="95" t="str">
        <f aca="false">Materiais!F14</f>
        <v>anual</v>
      </c>
      <c r="O31" s="96" t="n">
        <f aca="false">IF(N31="MENSAL",1,IF(N31="BIMESTRAL",2,IF(N31="TRIMESTRAL",3,IF(N31="QUADRIMESTRAL",4,IF(N31="SEMESTRAL",6,IF(N31="ANUAL",12,IF(N31="BIENAL",24,"")))))))</f>
        <v>12</v>
      </c>
      <c r="W31" s="1"/>
    </row>
    <row r="32" customFormat="false" ht="15" hidden="true" customHeight="true" outlineLevel="0" collapsed="false">
      <c r="A32" s="97" t="n">
        <v>8</v>
      </c>
      <c r="B32" s="89" t="str">
        <f aca="false">Materiais!B15</f>
        <v>Desinfetante concentrado líquido. Aroma floral. Embalagem com 5 litros.</v>
      </c>
      <c r="C32" s="89"/>
      <c r="D32" s="89"/>
      <c r="E32" s="49" t="str">
        <f aca="false">Materiais!C15</f>
        <v>Galão</v>
      </c>
      <c r="F32" s="49" t="str">
        <f aca="false">Materiais!D15</f>
        <v>Mirax Floral Bouquet</v>
      </c>
      <c r="G32" s="90" t="n">
        <f aca="false">IF($D$4="PLANILHA PARA LICITAÇÃO (PRECIFICAÇÃO)",L32,0)</f>
        <v>1</v>
      </c>
      <c r="H32" s="91" t="n">
        <f aca="false">G32*Materiais!G15</f>
        <v>35.27</v>
      </c>
      <c r="I32" s="92" t="str">
        <f aca="false">IF(G32&lt;L32,"Fornecimento inferior ao estimado mensalmente",IF(G32=L32,"Fornecimento igual ao estimado mensalmente",IF(G32&gt;L32,"Fornecimento superior ao estimado mensalmente",)))</f>
        <v>Fornecimento igual ao estimado mensalmente</v>
      </c>
      <c r="J32" s="92"/>
      <c r="K32" s="92"/>
      <c r="L32" s="93" t="n">
        <f aca="false">M32/O32</f>
        <v>1</v>
      </c>
      <c r="M32" s="94" t="n">
        <f aca="false">Materiais!E15</f>
        <v>1</v>
      </c>
      <c r="N32" s="95" t="str">
        <f aca="false">Materiais!F15</f>
        <v>mensal</v>
      </c>
      <c r="O32" s="96" t="n">
        <f aca="false">IF(N32="MENSAL",1,IF(N32="BIMESTRAL",2,IF(N32="TRIMESTRAL",3,IF(N32="QUADRIMESTRAL",4,IF(N32="SEMESTRAL",6,IF(N32="ANUAL",12,IF(N32="BIENAL",24,"")))))))</f>
        <v>1</v>
      </c>
      <c r="W32" s="1"/>
    </row>
    <row r="33" customFormat="false" ht="15" hidden="true" customHeight="true" outlineLevel="0" collapsed="false">
      <c r="A33" s="88" t="n">
        <v>9</v>
      </c>
      <c r="B33" s="89" t="str">
        <f aca="false">Materiais!B16</f>
        <v>Escova para lavar multiuso, oval, base plástica e cerdas de escova para lavar multiuso, oval, base plástica e cerdas de nylon.</v>
      </c>
      <c r="C33" s="89"/>
      <c r="D33" s="89"/>
      <c r="E33" s="49" t="str">
        <f aca="false">Materiais!C16</f>
        <v>unid.</v>
      </c>
      <c r="F33" s="49" t="str">
        <f aca="false">Materiais!D16</f>
        <v>Condor</v>
      </c>
      <c r="G33" s="90" t="n">
        <f aca="false">IF($D$4="PLANILHA PARA LICITAÇÃO (PRECIFICAÇÃO)",L33,0)</f>
        <v>0.0833333333333333</v>
      </c>
      <c r="H33" s="91" t="n">
        <f aca="false">G33*Materiais!G16</f>
        <v>0.26</v>
      </c>
      <c r="I33" s="92" t="str">
        <f aca="false">IF(G33&lt;L33,"Fornecimento inferior ao estimado mensalmente",IF(G33=L33,"Fornecimento igual ao estimado mensalmente",IF(G33&gt;L33,"Fornecimento superior ao estimado mensalmente",)))</f>
        <v>Fornecimento igual ao estimado mensalmente</v>
      </c>
      <c r="J33" s="92"/>
      <c r="K33" s="92"/>
      <c r="L33" s="93" t="n">
        <f aca="false">M33/O33</f>
        <v>0.0833333333333333</v>
      </c>
      <c r="M33" s="94" t="n">
        <f aca="false">Materiais!E16</f>
        <v>1</v>
      </c>
      <c r="N33" s="95" t="str">
        <f aca="false">Materiais!F16</f>
        <v>anual</v>
      </c>
      <c r="O33" s="96" t="n">
        <f aca="false">IF(N33="MENSAL",1,IF(N33="BIMESTRAL",2,IF(N33="TRIMESTRAL",3,IF(N33="QUADRIMESTRAL",4,IF(N33="SEMESTRAL",6,IF(N33="ANUAL",12,IF(N33="BIENAL",24,"")))))))</f>
        <v>12</v>
      </c>
      <c r="W33" s="1"/>
    </row>
    <row r="34" customFormat="false" ht="17.25" hidden="true" customHeight="true" outlineLevel="0" collapsed="false">
      <c r="A34" s="97" t="n">
        <v>10</v>
      </c>
      <c r="B34" s="89" t="str">
        <f aca="false">Materiais!B17</f>
        <v>Escova Sanitária Redonda em plástico Branco contendo 01 escova para vaso sanitário e 01 suporte redondo: Branco Tamanho: 14 x 42 cm</v>
      </c>
      <c r="C34" s="89"/>
      <c r="D34" s="89"/>
      <c r="E34" s="49" t="str">
        <f aca="false">Materiais!C17</f>
        <v>unid.</v>
      </c>
      <c r="F34" s="49" t="str">
        <f aca="false">Materiais!D17</f>
        <v>Limpamania</v>
      </c>
      <c r="G34" s="90" t="n">
        <f aca="false">IF($D$4="PLANILHA PARA LICITAÇÃO (PRECIFICAÇÃO)",L34,0)</f>
        <v>0.166666666666667</v>
      </c>
      <c r="H34" s="91" t="n">
        <f aca="false">G34*Materiais!G17</f>
        <v>1.95833333333333</v>
      </c>
      <c r="I34" s="92" t="str">
        <f aca="false">IF(G34&lt;L34,"Fornecimento inferior ao estimado mensalmente",IF(G34=L34,"Fornecimento igual ao estimado mensalmente",IF(G34&gt;L34,"Fornecimento superior ao estimado mensalmente",)))</f>
        <v>Fornecimento igual ao estimado mensalmente</v>
      </c>
      <c r="J34" s="92"/>
      <c r="K34" s="92"/>
      <c r="L34" s="93" t="n">
        <f aca="false">M34/O34</f>
        <v>0.166666666666667</v>
      </c>
      <c r="M34" s="94" t="n">
        <f aca="false">Materiais!E17</f>
        <v>2</v>
      </c>
      <c r="N34" s="95" t="str">
        <f aca="false">Materiais!F17</f>
        <v>anual</v>
      </c>
      <c r="O34" s="96" t="n">
        <f aca="false">IF(N34="MENSAL",1,IF(N34="BIMESTRAL",2,IF(N34="TRIMESTRAL",3,IF(N34="QUADRIMESTRAL",4,IF(N34="SEMESTRAL",6,IF(N34="ANUAL",12,IF(N34="BIENAL",24,"")))))))</f>
        <v>12</v>
      </c>
      <c r="W34" s="1"/>
    </row>
    <row r="35" customFormat="false" ht="15" hidden="true" customHeight="true" outlineLevel="0" collapsed="false">
      <c r="A35" s="97" t="n">
        <v>11</v>
      </c>
      <c r="B35" s="89" t="str">
        <f aca="false">Materiais!B18</f>
        <v>Esponja Para Lavagem De Louças E Limpeza Em Geral, Dupla Face Sintética, Um Lado Em Espuma Poliuretano E Outro Em Fibra Sintética Abrasiva, Antibacteriana, Formato Retangular, Medindo Aproximadamente 110mm X 75mm X 20mm De Espessura. Pacote com 4 unidades.</v>
      </c>
      <c r="C35" s="89"/>
      <c r="D35" s="89"/>
      <c r="E35" s="49" t="str">
        <f aca="false">Materiais!C18</f>
        <v>pacote</v>
      </c>
      <c r="F35" s="49" t="str">
        <f aca="false">Materiais!D18</f>
        <v>Scotch-Brite</v>
      </c>
      <c r="G35" s="90" t="n">
        <f aca="false">IF($D$4="PLANILHA PARA LICITAÇÃO (PRECIFICAÇÃO)",L35,0)</f>
        <v>4</v>
      </c>
      <c r="H35" s="91" t="n">
        <f aca="false">G35*Materiais!G18</f>
        <v>18.56</v>
      </c>
      <c r="I35" s="92" t="str">
        <f aca="false">IF(G35&lt;L35,"Fornecimento inferior ao estimado mensalmente",IF(G35=L35,"Fornecimento igual ao estimado mensalmente",IF(G35&gt;L35,"Fornecimento superior ao estimado mensalmente",)))</f>
        <v>Fornecimento igual ao estimado mensalmente</v>
      </c>
      <c r="J35" s="92"/>
      <c r="K35" s="92"/>
      <c r="L35" s="93" t="n">
        <f aca="false">M35/O35</f>
        <v>4</v>
      </c>
      <c r="M35" s="94" t="n">
        <f aca="false">Materiais!E18</f>
        <v>4</v>
      </c>
      <c r="N35" s="95" t="str">
        <f aca="false">Materiais!F18</f>
        <v>mensal</v>
      </c>
      <c r="O35" s="96" t="n">
        <f aca="false">IF(N35="MENSAL",1,IF(N35="BIMESTRAL",2,IF(N35="TRIMESTRAL",3,IF(N35="QUADRIMESTRAL",4,IF(N35="SEMESTRAL",6,IF(N35="ANUAL",12,IF(N35="BIENAL",24,"")))))))</f>
        <v>1</v>
      </c>
      <c r="W35" s="1"/>
    </row>
    <row r="36" customFormat="false" ht="15" hidden="true" customHeight="true" outlineLevel="0" collapsed="false">
      <c r="A36" s="97" t="n">
        <v>12</v>
      </c>
      <c r="B36" s="89" t="str">
        <f aca="false">Materiais!B19</f>
        <v>Espanador de pó de penas nº 25. Medidas: 25 cm de penas e 40 cm de cabo</v>
      </c>
      <c r="C36" s="89"/>
      <c r="D36" s="89"/>
      <c r="E36" s="49" t="str">
        <f aca="false">Materiais!C19</f>
        <v>unid.</v>
      </c>
      <c r="F36" s="49" t="str">
        <f aca="false">Materiais!D19</f>
        <v>Duster</v>
      </c>
      <c r="G36" s="90" t="n">
        <f aca="false">IF($D$4="PLANILHA PARA LICITAÇÃO (PRECIFICAÇÃO)",L36,0)</f>
        <v>0.166666666666667</v>
      </c>
      <c r="H36" s="91" t="n">
        <f aca="false">G36*Materiais!G19</f>
        <v>2.73833333333333</v>
      </c>
      <c r="I36" s="92" t="str">
        <f aca="false">IF(G36&lt;L36,"Fornecimento inferior ao estimado mensalmente",IF(G36=L36,"Fornecimento igual ao estimado mensalmente",IF(G36&gt;L36,"Fornecimento superior ao estimado mensalmente",)))</f>
        <v>Fornecimento igual ao estimado mensalmente</v>
      </c>
      <c r="J36" s="92"/>
      <c r="K36" s="92"/>
      <c r="L36" s="93" t="n">
        <f aca="false">M36/O36</f>
        <v>0.166666666666667</v>
      </c>
      <c r="M36" s="94" t="n">
        <f aca="false">Materiais!E19</f>
        <v>2</v>
      </c>
      <c r="N36" s="95" t="str">
        <f aca="false">Materiais!F19</f>
        <v>anual</v>
      </c>
      <c r="O36" s="96" t="n">
        <f aca="false">IF(N36="MENSAL",1,IF(N36="BIMESTRAL",2,IF(N36="TRIMESTRAL",3,IF(N36="QUADRIMESTRAL",4,IF(N36="SEMESTRAL",6,IF(N36="ANUAL",12,IF(N36="BIENAL",24,"")))))))</f>
        <v>12</v>
      </c>
      <c r="W36" s="1"/>
    </row>
    <row r="37" customFormat="false" ht="15" hidden="true" customHeight="true" outlineLevel="0" collapsed="false">
      <c r="A37" s="88" t="n">
        <v>13</v>
      </c>
      <c r="B37" s="89" t="str">
        <f aca="false">Materiais!B20</f>
        <v>Extensão elétrica 20 metros 3 tomada 20a cabo pp2x1,5mm reforçada, 2 cabos de som 10m para ligar as caixas xlr/p10, 2cabos xlr para microfones sem fio (especificações mínima)</v>
      </c>
      <c r="C37" s="89"/>
      <c r="D37" s="89"/>
      <c r="E37" s="49" t="str">
        <f aca="false">Materiais!C20</f>
        <v>unid.</v>
      </c>
      <c r="F37" s="49" t="str">
        <f aca="false">Materiais!D20</f>
        <v>Daneva</v>
      </c>
      <c r="G37" s="90" t="n">
        <f aca="false">IF($D$4="PLANILHA PARA LICITAÇÃO (PRECIFICAÇÃO)",L37,0)</f>
        <v>0.0833333333333333</v>
      </c>
      <c r="H37" s="91" t="n">
        <f aca="false">G37*Materiais!G20</f>
        <v>10.3058333333333</v>
      </c>
      <c r="I37" s="92" t="str">
        <f aca="false">IF(G37&lt;L37,"Fornecimento inferior ao estimado mensalmente",IF(G37=L37,"Fornecimento igual ao estimado mensalmente",IF(G37&gt;L37,"Fornecimento superior ao estimado mensalmente",)))</f>
        <v>Fornecimento igual ao estimado mensalmente</v>
      </c>
      <c r="J37" s="92"/>
      <c r="K37" s="92"/>
      <c r="L37" s="93" t="n">
        <f aca="false">M37/O37</f>
        <v>0.0833333333333333</v>
      </c>
      <c r="M37" s="94" t="n">
        <f aca="false">Materiais!E20</f>
        <v>1</v>
      </c>
      <c r="N37" s="95" t="str">
        <f aca="false">Materiais!F20</f>
        <v>anual</v>
      </c>
      <c r="O37" s="96" t="n">
        <f aca="false">IF(N37="MENSAL",1,IF(N37="BIMESTRAL",2,IF(N37="TRIMESTRAL",3,IF(N37="QUADRIMESTRAL",4,IF(N37="SEMESTRAL",6,IF(N37="ANUAL",12,IF(N37="BIENAL",24,"")))))))</f>
        <v>12</v>
      </c>
      <c r="W37" s="1"/>
    </row>
    <row r="38" customFormat="false" ht="15" hidden="true" customHeight="true" outlineLevel="0" collapsed="false">
      <c r="A38" s="97" t="n">
        <v>14</v>
      </c>
      <c r="B38" s="89" t="str">
        <f aca="false">Materiais!B21</f>
        <v>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v>
      </c>
      <c r="C38" s="89"/>
      <c r="D38" s="89"/>
      <c r="E38" s="49" t="str">
        <f aca="false">Materiais!C21</f>
        <v>unid.</v>
      </c>
      <c r="F38" s="49" t="str">
        <f aca="false">Materiais!D21</f>
        <v>Intextil</v>
      </c>
      <c r="G38" s="90" t="n">
        <f aca="false">IF($D$4="PLANILHA PARA LICITAÇÃO (PRECIFICAÇÃO)",L38,0)</f>
        <v>3</v>
      </c>
      <c r="H38" s="91" t="n">
        <f aca="false">G38*Materiais!G21</f>
        <v>12.39</v>
      </c>
      <c r="I38" s="92" t="str">
        <f aca="false">IF(G38&lt;L38,"Fornecimento inferior ao estimado mensalmente",IF(G38=L38,"Fornecimento igual ao estimado mensalmente",IF(G38&gt;L38,"Fornecimento superior ao estimado mensalmente",)))</f>
        <v>Fornecimento igual ao estimado mensalmente</v>
      </c>
      <c r="J38" s="92"/>
      <c r="K38" s="92"/>
      <c r="L38" s="93" t="n">
        <f aca="false">M38/O38</f>
        <v>3</v>
      </c>
      <c r="M38" s="94" t="n">
        <f aca="false">Materiais!E21</f>
        <v>3</v>
      </c>
      <c r="N38" s="95" t="str">
        <f aca="false">Materiais!F21</f>
        <v>mensal</v>
      </c>
      <c r="O38" s="96" t="n">
        <f aca="false">IF(N38="MENSAL",1,IF(N38="BIMESTRAL",2,IF(N38="TRIMESTRAL",3,IF(N38="QUADRIMESTRAL",4,IF(N38="SEMESTRAL",6,IF(N38="ANUAL",12,IF(N38="BIENAL",24,"")))))))</f>
        <v>1</v>
      </c>
      <c r="W38" s="1"/>
    </row>
    <row r="39" customFormat="false" ht="15" hidden="true" customHeight="true" outlineLevel="0" collapsed="false">
      <c r="A39" s="97" t="n">
        <v>15</v>
      </c>
      <c r="B39" s="89" t="str">
        <f aca="false">Materiais!B22</f>
        <v>Inseticida Aerossol, multiinseticida, frasco com mínimo 300 ml. Registro/ Autorização no ministério da saúde.</v>
      </c>
      <c r="C39" s="89"/>
      <c r="D39" s="89"/>
      <c r="E39" s="49" t="str">
        <f aca="false">Materiais!C22</f>
        <v>unid.</v>
      </c>
      <c r="F39" s="49" t="str">
        <f aca="false">Materiais!D22</f>
        <v>Raid</v>
      </c>
      <c r="G39" s="90" t="n">
        <f aca="false">IF($D$4="PLANILHA PARA LICITAÇÃO (PRECIFICAÇÃO)",L39,0)</f>
        <v>0.166666666666667</v>
      </c>
      <c r="H39" s="91" t="n">
        <f aca="false">G39*Materiais!G22</f>
        <v>1.78333333333333</v>
      </c>
      <c r="I39" s="92" t="str">
        <f aca="false">IF(G39&lt;L39,"Fornecimento inferior ao estimado mensalmente",IF(G39=L39,"Fornecimento igual ao estimado mensalmente",IF(G39&gt;L39,"Fornecimento superior ao estimado mensalmente",)))</f>
        <v>Fornecimento igual ao estimado mensalmente</v>
      </c>
      <c r="J39" s="92"/>
      <c r="K39" s="92"/>
      <c r="L39" s="93" t="n">
        <f aca="false">M39/O39</f>
        <v>0.166666666666667</v>
      </c>
      <c r="M39" s="94" t="n">
        <f aca="false">Materiais!E22</f>
        <v>1</v>
      </c>
      <c r="N39" s="95" t="str">
        <f aca="false">Materiais!F22</f>
        <v>semestral</v>
      </c>
      <c r="O39" s="96" t="n">
        <f aca="false">IF(N39="MENSAL",1,IF(N39="BIMESTRAL",2,IF(N39="TRIMESTRAL",3,IF(N39="QUADRIMESTRAL",4,IF(N39="SEMESTRAL",6,IF(N39="ANUAL",12,IF(N39="BIENAL",24,"")))))))</f>
        <v>6</v>
      </c>
      <c r="W39" s="1"/>
    </row>
    <row r="40" customFormat="false" ht="15" hidden="true" customHeight="true" outlineLevel="0" collapsed="false">
      <c r="A40" s="97" t="n">
        <v>16</v>
      </c>
      <c r="B40" s="89" t="str">
        <f aca="false">Materiais!B23</f>
        <v>Kit limpador de vidro: Rodo limpa vidros com cabo telescópico extensor de 06 (seis) metros. Extremidade composta por lavador de acrílico e limpador com lâmina de borracha de aproximadamente 35 cm. Utilizado para limpeza de vidros e vidraças.</v>
      </c>
      <c r="C40" s="89"/>
      <c r="D40" s="89"/>
      <c r="E40" s="49" t="str">
        <f aca="false">Materiais!C23</f>
        <v>unid.</v>
      </c>
      <c r="F40" s="49" t="str">
        <f aca="false">Materiais!D23</f>
        <v>Bralimpia</v>
      </c>
      <c r="G40" s="90" t="n">
        <f aca="false">IF($D$4="PLANILHA PARA LICITAÇÃO (PRECIFICAÇÃO)",L40,0)</f>
        <v>0.0833333333333333</v>
      </c>
      <c r="H40" s="91" t="n">
        <f aca="false">G40*Materiais!G23</f>
        <v>6.455</v>
      </c>
      <c r="I40" s="92" t="str">
        <f aca="false">IF(G40&lt;L40,"Fornecimento inferior ao estimado mensalmente",IF(G40=L40,"Fornecimento igual ao estimado mensalmente",IF(G40&gt;L40,"Fornecimento superior ao estimado mensalmente",)))</f>
        <v>Fornecimento igual ao estimado mensalmente</v>
      </c>
      <c r="J40" s="92"/>
      <c r="K40" s="92"/>
      <c r="L40" s="93" t="n">
        <f aca="false">M40/O40</f>
        <v>0.0833333333333333</v>
      </c>
      <c r="M40" s="94" t="n">
        <f aca="false">Materiais!E23</f>
        <v>1</v>
      </c>
      <c r="N40" s="95" t="str">
        <f aca="false">Materiais!F23</f>
        <v>anual</v>
      </c>
      <c r="O40" s="96" t="n">
        <f aca="false">IF(N40="MENSAL",1,IF(N40="BIMESTRAL",2,IF(N40="TRIMESTRAL",3,IF(N40="QUADRIMESTRAL",4,IF(N40="SEMESTRAL",6,IF(N40="ANUAL",12,IF(N40="BIENAL",24,"")))))))</f>
        <v>12</v>
      </c>
      <c r="W40" s="1"/>
    </row>
    <row r="41" customFormat="false" ht="15" hidden="true" customHeight="true" outlineLevel="0" collapsed="false">
      <c r="A41" s="88" t="n">
        <v>17</v>
      </c>
      <c r="B41" s="89" t="str">
        <f aca="false">Materiais!B24</f>
        <v>Limpa vidro 500ml (Veja ou similar)</v>
      </c>
      <c r="C41" s="89"/>
      <c r="D41" s="89"/>
      <c r="E41" s="49" t="str">
        <f aca="false">Materiais!C24</f>
        <v>unid.</v>
      </c>
      <c r="F41" s="49" t="str">
        <f aca="false">Materiais!D24</f>
        <v>Veja</v>
      </c>
      <c r="G41" s="90" t="n">
        <f aca="false">IF($D$4="PLANILHA PARA LICITAÇÃO (PRECIFICAÇÃO)",L41,0)</f>
        <v>1</v>
      </c>
      <c r="H41" s="91" t="n">
        <f aca="false">G41*Materiais!G24</f>
        <v>17.64</v>
      </c>
      <c r="I41" s="92" t="str">
        <f aca="false">IF(G41&lt;L41,"Fornecimento inferior ao estimado mensalmente",IF(G41=L41,"Fornecimento igual ao estimado mensalmente",IF(G41&gt;L41,"Fornecimento superior ao estimado mensalmente",)))</f>
        <v>Fornecimento igual ao estimado mensalmente</v>
      </c>
      <c r="J41" s="92"/>
      <c r="K41" s="92"/>
      <c r="L41" s="93" t="n">
        <f aca="false">M41/O41</f>
        <v>1</v>
      </c>
      <c r="M41" s="94" t="n">
        <f aca="false">Materiais!E24</f>
        <v>1</v>
      </c>
      <c r="N41" s="95" t="str">
        <f aca="false">Materiais!F24</f>
        <v>mensal</v>
      </c>
      <c r="O41" s="96" t="n">
        <f aca="false">IF(N41="MENSAL",1,IF(N41="BIMESTRAL",2,IF(N41="TRIMESTRAL",3,IF(N41="QUADRIMESTRAL",4,IF(N41="SEMESTRAL",6,IF(N41="ANUAL",12,IF(N41="BIENAL",24,"")))))))</f>
        <v>1</v>
      </c>
      <c r="W41" s="1"/>
    </row>
    <row r="42" customFormat="false" ht="15" hidden="true" customHeight="true" outlineLevel="0" collapsed="false">
      <c r="A42" s="97" t="n">
        <v>18</v>
      </c>
      <c r="B42" s="89" t="str">
        <f aca="false">Materiais!B25</f>
        <v>Limpa Pedras Pisos, lajota removedor de encardido pedra e cerâmica - Ácido Sulfônico - 5 litros concentrado com baixo odor e pH ácido sinergicamente balanceado para uma ação rápida e eficaz. Limpeza pesada, sem danificar, de sujidades como terra, fuligem, ferrugem, incrustações e encardidos em geral.</v>
      </c>
      <c r="C42" s="89"/>
      <c r="D42" s="89"/>
      <c r="E42" s="49" t="str">
        <f aca="false">Materiais!C25</f>
        <v>Galão</v>
      </c>
      <c r="F42" s="49" t="str">
        <f aca="false">Materiais!D25</f>
        <v>Pedrex</v>
      </c>
      <c r="G42" s="90" t="n">
        <f aca="false">IF($D$4="PLANILHA PARA LICITAÇÃO (PRECIFICAÇÃO)",L42,0)</f>
        <v>0.333333333333333</v>
      </c>
      <c r="H42" s="91" t="n">
        <f aca="false">G42*Materiais!G25</f>
        <v>11.7166666666667</v>
      </c>
      <c r="I42" s="92" t="str">
        <f aca="false">IF(G42&lt;L42,"Fornecimento inferior ao estimado mensalmente",IF(G42=L42,"Fornecimento igual ao estimado mensalmente",IF(G42&gt;L42,"Fornecimento superior ao estimado mensalmente",)))</f>
        <v>Fornecimento igual ao estimado mensalmente</v>
      </c>
      <c r="J42" s="92"/>
      <c r="K42" s="92"/>
      <c r="L42" s="93" t="n">
        <f aca="false">M42/O42</f>
        <v>0.333333333333333</v>
      </c>
      <c r="M42" s="94" t="n">
        <f aca="false">Materiais!E25</f>
        <v>1</v>
      </c>
      <c r="N42" s="95" t="str">
        <f aca="false">Materiais!F25</f>
        <v>trimestral</v>
      </c>
      <c r="O42" s="96" t="n">
        <f aca="false">IF(N42="MENSAL",1,IF(N42="BIMESTRAL",2,IF(N42="TRIMESTRAL",3,IF(N42="QUADRIMESTRAL",4,IF(N42="SEMESTRAL",6,IF(N42="ANUAL",12,IF(N42="BIENAL",24,"")))))))</f>
        <v>3</v>
      </c>
      <c r="W42" s="1"/>
    </row>
    <row r="43" customFormat="false" ht="15" hidden="true" customHeight="true" outlineLevel="0" collapsed="false">
      <c r="A43" s="97" t="n">
        <v>19</v>
      </c>
      <c r="B43" s="89" t="str">
        <f aca="false">Materiais!B26</f>
        <v>Multiuso limpeza pesada 500ml - composição: alquil benzeno sulfonato de sódio, solvente, coadjuvantes, conservante, sequestrante, corante, fragrância e água. tensoativo biodegradável. frascos de 500 ml de produto (marca de referência: veja).</v>
      </c>
      <c r="C43" s="89"/>
      <c r="D43" s="89"/>
      <c r="E43" s="49" t="str">
        <f aca="false">Materiais!C26</f>
        <v>unid.</v>
      </c>
      <c r="F43" s="49" t="str">
        <f aca="false">Materiais!D26</f>
        <v>Veja</v>
      </c>
      <c r="G43" s="90" t="n">
        <f aca="false">IF($D$4="PLANILHA PARA LICITAÇÃO (PRECIFICAÇÃO)",L43,0)</f>
        <v>2</v>
      </c>
      <c r="H43" s="91" t="n">
        <f aca="false">G43*Materiais!G26</f>
        <v>12.6</v>
      </c>
      <c r="I43" s="92" t="str">
        <f aca="false">IF(G43&lt;L43,"Fornecimento inferior ao estimado mensalmente",IF(G43=L43,"Fornecimento igual ao estimado mensalmente",IF(G43&gt;L43,"Fornecimento superior ao estimado mensalmente",)))</f>
        <v>Fornecimento igual ao estimado mensalmente</v>
      </c>
      <c r="J43" s="92"/>
      <c r="K43" s="92"/>
      <c r="L43" s="93" t="n">
        <f aca="false">M43/O43</f>
        <v>2</v>
      </c>
      <c r="M43" s="94" t="n">
        <f aca="false">Materiais!E26</f>
        <v>2</v>
      </c>
      <c r="N43" s="95" t="str">
        <f aca="false">Materiais!F26</f>
        <v>mensal</v>
      </c>
      <c r="O43" s="96" t="n">
        <f aca="false">IF(N43="MENSAL",1,IF(N43="BIMESTRAL",2,IF(N43="TRIMESTRAL",3,IF(N43="QUADRIMESTRAL",4,IF(N43="SEMESTRAL",6,IF(N43="ANUAL",12,IF(N43="BIENAL",24,"")))))))</f>
        <v>1</v>
      </c>
      <c r="W43" s="1"/>
    </row>
    <row r="44" customFormat="false" ht="15" hidden="true" customHeight="true" outlineLevel="0" collapsed="false">
      <c r="A44" s="97" t="n">
        <v>20</v>
      </c>
      <c r="B44" s="89" t="str">
        <f aca="false">Materiais!B27</f>
        <v>Luva Segurança Com Forro. Material: 100% Látex Nitrílico , Tamanho: M ou G ,Aplicação: Manuseio Reagente Químico E Radioativo , Características Adicionais: Com Forro, Sem Talco, Pulso Com Bainha , Modelo: Palma Antiderrapante, Cor: Verde, Tipo: Ambidestra</v>
      </c>
      <c r="C44" s="89"/>
      <c r="D44" s="89"/>
      <c r="E44" s="49" t="str">
        <f aca="false">Materiais!C27</f>
        <v>Par</v>
      </c>
      <c r="F44" s="49" t="str">
        <f aca="false">Materiais!D27</f>
        <v>Bettanin</v>
      </c>
      <c r="G44" s="90" t="n">
        <f aca="false">IF($D$4="PLANILHA PARA LICITAÇÃO (PRECIFICAÇÃO)",L44,0)</f>
        <v>2</v>
      </c>
      <c r="H44" s="91" t="n">
        <f aca="false">G44*Materiais!G27</f>
        <v>28.32</v>
      </c>
      <c r="I44" s="92" t="str">
        <f aca="false">IF(G44&lt;L44,"Fornecimento inferior ao estimado mensalmente",IF(G44=L44,"Fornecimento igual ao estimado mensalmente",IF(G44&gt;L44,"Fornecimento superior ao estimado mensalmente",)))</f>
        <v>Fornecimento igual ao estimado mensalmente</v>
      </c>
      <c r="J44" s="92"/>
      <c r="K44" s="92"/>
      <c r="L44" s="93" t="n">
        <f aca="false">M44/O44</f>
        <v>2</v>
      </c>
      <c r="M44" s="94" t="n">
        <f aca="false">Materiais!E27</f>
        <v>2</v>
      </c>
      <c r="N44" s="95" t="str">
        <f aca="false">Materiais!F27</f>
        <v>mensal</v>
      </c>
      <c r="O44" s="96" t="n">
        <f aca="false">IF(N44="MENSAL",1,IF(N44="BIMESTRAL",2,IF(N44="TRIMESTRAL",3,IF(N44="QUADRIMESTRAL",4,IF(N44="SEMESTRAL",6,IF(N44="ANUAL",12,IF(N44="BIENAL",24,"")))))))</f>
        <v>1</v>
      </c>
      <c r="W44" s="1"/>
    </row>
    <row r="45" customFormat="false" ht="15" hidden="true" customHeight="true" outlineLevel="0" collapsed="false">
      <c r="A45" s="88" t="n">
        <v>21</v>
      </c>
      <c r="B45" s="89" t="str">
        <f aca="false">Materiais!B28</f>
        <v>Mangueira para jardim, com 50 metros de extensão, antitorção, com engate de torneira e esguicho</v>
      </c>
      <c r="C45" s="89"/>
      <c r="D45" s="89"/>
      <c r="E45" s="49" t="str">
        <f aca="false">Materiais!C28</f>
        <v>unid.</v>
      </c>
      <c r="F45" s="49" t="str">
        <f aca="false">Materiais!D28</f>
        <v>Tramontina</v>
      </c>
      <c r="G45" s="90" t="n">
        <f aca="false">IF($D$4="PLANILHA PARA LICITAÇÃO (PRECIFICAÇÃO)",L45,0)</f>
        <v>0.0833333333333333</v>
      </c>
      <c r="H45" s="91" t="n">
        <f aca="false">G45*Materiais!G28</f>
        <v>18.6941666666667</v>
      </c>
      <c r="I45" s="92" t="str">
        <f aca="false">IF(G45&lt;L45,"Fornecimento inferior ao estimado mensalmente",IF(G45=L45,"Fornecimento igual ao estimado mensalmente",IF(G45&gt;L45,"Fornecimento superior ao estimado mensalmente",)))</f>
        <v>Fornecimento igual ao estimado mensalmente</v>
      </c>
      <c r="J45" s="92"/>
      <c r="K45" s="92"/>
      <c r="L45" s="93" t="n">
        <f aca="false">M45/O45</f>
        <v>0.0833333333333333</v>
      </c>
      <c r="M45" s="94" t="n">
        <f aca="false">Materiais!E28</f>
        <v>1</v>
      </c>
      <c r="N45" s="95" t="str">
        <f aca="false">Materiais!F28</f>
        <v>anual</v>
      </c>
      <c r="O45" s="96" t="n">
        <f aca="false">IF(N45="MENSAL",1,IF(N45="BIMESTRAL",2,IF(N45="TRIMESTRAL",3,IF(N45="QUADRIMESTRAL",4,IF(N45="SEMESTRAL",6,IF(N45="ANUAL",12,IF(N45="BIENAL",24,"")))))))</f>
        <v>12</v>
      </c>
      <c r="W45" s="1"/>
    </row>
    <row r="46" customFormat="false" ht="14.25" hidden="true" customHeight="true" outlineLevel="0" collapsed="false">
      <c r="A46" s="97" t="n">
        <v>22</v>
      </c>
      <c r="B46" s="89" t="str">
        <f aca="false">Materiais!B29</f>
        <v>Pá p/ lixo em plástico resistente c/ cabo de madeira de 60cm de altura na vertical.</v>
      </c>
      <c r="C46" s="89"/>
      <c r="D46" s="89"/>
      <c r="E46" s="49" t="str">
        <f aca="false">Materiais!C29</f>
        <v>unid.</v>
      </c>
      <c r="F46" s="49" t="str">
        <f aca="false">Materiais!D29</f>
        <v>Bettanin</v>
      </c>
      <c r="G46" s="90" t="n">
        <f aca="false">IF($D$4="PLANILHA PARA LICITAÇÃO (PRECIFICAÇÃO)",L46,0)</f>
        <v>0.0833333333333333</v>
      </c>
      <c r="H46" s="91" t="n">
        <f aca="false">G46*Materiais!G29</f>
        <v>0.9725</v>
      </c>
      <c r="I46" s="92" t="str">
        <f aca="false">IF(G46&lt;L46,"Fornecimento inferior ao estimado mensalmente",IF(G46=L46,"Fornecimento igual ao estimado mensalmente",IF(G46&gt;L46,"Fornecimento superior ao estimado mensalmente",)))</f>
        <v>Fornecimento igual ao estimado mensalmente</v>
      </c>
      <c r="J46" s="92"/>
      <c r="K46" s="92"/>
      <c r="L46" s="93" t="n">
        <f aca="false">M46/O46</f>
        <v>0.0833333333333333</v>
      </c>
      <c r="M46" s="94" t="n">
        <f aca="false">Materiais!E29</f>
        <v>1</v>
      </c>
      <c r="N46" s="95" t="str">
        <f aca="false">Materiais!F29</f>
        <v>anual</v>
      </c>
      <c r="O46" s="96" t="n">
        <f aca="false">IF(N46="MENSAL",1,IF(N46="BIMESTRAL",2,IF(N46="TRIMESTRAL",3,IF(N46="QUADRIMESTRAL",4,IF(N46="SEMESTRAL",6,IF(N46="ANUAL",12,IF(N46="BIENAL",24,"")))))))</f>
        <v>12</v>
      </c>
      <c r="W46" s="1"/>
    </row>
    <row r="47" customFormat="false" ht="15" hidden="true" customHeight="true" outlineLevel="0" collapsed="false">
      <c r="A47" s="97" t="n">
        <v>23</v>
      </c>
      <c r="B47" s="89" t="str">
        <f aca="false">Materiais!B30</f>
        <v>Papel Higiênico Rolão 8 x 300m Folha Dupla - Institucional Rolão De 300 Metros, Neutro, Macio, Branco, Folha Dupla, Absorvente E Homogêneo Medindo: 10Cm X 300M. Pacote Com 8 Rolos. Material Hidrossolúvel (Solúvel Na Água), 100% Fibra Virgem. Produto Deverá Estar De Acordo Com As Normas Da Abnt Nbr 15464-9/2010 E Nbr 15134/2007. Não Poderá Esfarelar Durante O Uso, Não Poderá Apresentar Odor desagradável (Não Característico)</v>
      </c>
      <c r="C47" s="89"/>
      <c r="D47" s="89"/>
      <c r="E47" s="49" t="str">
        <f aca="false">Materiais!C30</f>
        <v>Pacote 08 rolos</v>
      </c>
      <c r="F47" s="49" t="str">
        <f aca="false">Materiais!D30</f>
        <v>Santher ou similar</v>
      </c>
      <c r="G47" s="90" t="n">
        <f aca="false">IF($D$4="PLANILHA PARA LICITAÇÃO (PRECIFICAÇÃO)",L47,0)</f>
        <v>2</v>
      </c>
      <c r="H47" s="91" t="n">
        <f aca="false">G47*Materiais!G30</f>
        <v>99.7</v>
      </c>
      <c r="I47" s="92" t="str">
        <f aca="false">IF(G47&lt;L47,"Fornecimento inferior ao estimado mensalmente",IF(G47=L47,"Fornecimento igual ao estimado mensalmente",IF(G47&gt;L47,"Fornecimento superior ao estimado mensalmente",)))</f>
        <v>Fornecimento igual ao estimado mensalmente</v>
      </c>
      <c r="J47" s="92"/>
      <c r="K47" s="92"/>
      <c r="L47" s="93" t="n">
        <f aca="false">M47/O47</f>
        <v>2</v>
      </c>
      <c r="M47" s="94" t="n">
        <f aca="false">Materiais!E30</f>
        <v>4</v>
      </c>
      <c r="N47" s="95" t="str">
        <f aca="false">Materiais!F30</f>
        <v>bimestral</v>
      </c>
      <c r="O47" s="96" t="n">
        <f aca="false">IF(N47="MENSAL",1,IF(N47="BIMESTRAL",2,IF(N47="TRIMESTRAL",3,IF(N47="QUADRIMESTRAL",4,IF(N47="SEMESTRAL",6,IF(N47="ANUAL",12,IF(N47="BIENAL",24,"")))))))</f>
        <v>2</v>
      </c>
      <c r="W47" s="1"/>
    </row>
    <row r="48" customFormat="false" ht="25.5" hidden="true" customHeight="true" outlineLevel="0" collapsed="false">
      <c r="A48" s="97" t="n">
        <v>24</v>
      </c>
      <c r="B48" s="89" t="str">
        <f aca="false">Materiais!B31</f>
        <v>Papel Toalha Bobina 200m, Uso Institucional, Alta Absorção. Bobina De, No Mínimo, 200M Metros De Comprimento Por 20Cm De Largura, Auto Cortante (Picotado). Gofrado, Folha Simples; Em Bobina; Branco, Com Maciez E Absorção. Composto Com 100% Celulose Virgem, Máximo De 15Mm2/M2, Conforme Notam Tappi T437 Om-90; Alvura Acima De 82%, Conforme A Norma Iso; Absorção Máxima De 3. Embalado Em Caixa C/06 Rolos. As Informações Do Produto Deve Constar No Exterior Da Embalagem.</v>
      </c>
      <c r="C48" s="89"/>
      <c r="D48" s="89"/>
      <c r="E48" s="49" t="str">
        <f aca="false">Materiais!C31</f>
        <v>Caixa com 06 tolos</v>
      </c>
      <c r="F48" s="49" t="str">
        <f aca="false">Materiais!D31</f>
        <v>Santher ou similar</v>
      </c>
      <c r="G48" s="90" t="n">
        <f aca="false">IF($D$4="PLANILHA PARA LICITAÇÃO (PRECIFICAÇÃO)",L48,0)</f>
        <v>2</v>
      </c>
      <c r="H48" s="91" t="n">
        <f aca="false">G48*Materiais!G31</f>
        <v>84.66</v>
      </c>
      <c r="I48" s="92" t="str">
        <f aca="false">IF(G48&lt;L48,"Fornecimento inferior ao estimado mensalmente",IF(G48=L48,"Fornecimento igual ao estimado mensalmente",IF(G48&gt;L48,"Fornecimento superior ao estimado mensalmente",)))</f>
        <v>Fornecimento igual ao estimado mensalmente</v>
      </c>
      <c r="J48" s="92"/>
      <c r="K48" s="92"/>
      <c r="L48" s="93" t="n">
        <f aca="false">M48/O48</f>
        <v>2</v>
      </c>
      <c r="M48" s="94" t="n">
        <f aca="false">Materiais!E31</f>
        <v>8</v>
      </c>
      <c r="N48" s="95" t="str">
        <f aca="false">Materiais!F31</f>
        <v>quadrimestral</v>
      </c>
      <c r="O48" s="96" t="n">
        <f aca="false">IF(N48="MENSAL",1,IF(N48="BIMESTRAL",2,IF(N48="TRIMESTRAL",3,IF(N48="QUADRIMESTRAL",4,IF(N48="SEMESTRAL",6,IF(N48="ANUAL",12,IF(N48="BIENAL",24,"")))))))</f>
        <v>4</v>
      </c>
      <c r="W48" s="1"/>
    </row>
    <row r="49" customFormat="false" ht="15.75" hidden="true" customHeight="true" outlineLevel="0" collapsed="false">
      <c r="A49" s="88" t="n">
        <v>25</v>
      </c>
      <c r="B49" s="89" t="str">
        <f aca="false">Materiais!B32</f>
        <v>Rodo Plástico e borracha dupla expandida de 60cm, resistente e durável, que puxa e seca a água, feita em EVA e cepo em polipropileno com garras pontiagudas nas laterais para melhor fixar panos de chão.</v>
      </c>
      <c r="C49" s="89"/>
      <c r="D49" s="89"/>
      <c r="E49" s="49" t="str">
        <f aca="false">Materiais!C32</f>
        <v>unid.</v>
      </c>
      <c r="F49" s="49" t="str">
        <f aca="false">Materiais!D32</f>
        <v>Brubalar</v>
      </c>
      <c r="G49" s="90" t="n">
        <f aca="false">IF($D$4="PLANILHA PARA LICITAÇÃO (PRECIFICAÇÃO)",L49,0)</f>
        <v>0.166666666666667</v>
      </c>
      <c r="H49" s="91" t="n">
        <f aca="false">G49*Materiais!G32</f>
        <v>2.49166666666667</v>
      </c>
      <c r="I49" s="92" t="str">
        <f aca="false">IF(G49&lt;L49,"Fornecimento inferior ao estimado mensalmente",IF(G49=L49,"Fornecimento igual ao estimado mensalmente",IF(G49&gt;L49,"Fornecimento superior ao estimado mensalmente",)))</f>
        <v>Fornecimento igual ao estimado mensalmente</v>
      </c>
      <c r="J49" s="92"/>
      <c r="K49" s="92"/>
      <c r="L49" s="93" t="n">
        <f aca="false">M49/O49</f>
        <v>0.166666666666667</v>
      </c>
      <c r="M49" s="94" t="n">
        <f aca="false">Materiais!E32</f>
        <v>2</v>
      </c>
      <c r="N49" s="95" t="str">
        <f aca="false">Materiais!F32</f>
        <v>anual</v>
      </c>
      <c r="O49" s="96" t="n">
        <f aca="false">IF(N49="MENSAL",1,IF(N49="BIMESTRAL",2,IF(N49="TRIMESTRAL",3,IF(N49="QUADRIMESTRAL",4,IF(N49="SEMESTRAL",6,IF(N49="ANUAL",12,IF(N49="BIENAL",24,"")))))))</f>
        <v>12</v>
      </c>
      <c r="W49" s="1"/>
    </row>
    <row r="50" customFormat="false" ht="15" hidden="true" customHeight="true" outlineLevel="0" collapsed="false">
      <c r="A50" s="97" t="n">
        <v>26</v>
      </c>
      <c r="B50" s="89" t="str">
        <f aca="false">Materiais!B33</f>
        <v>Sabão em barra glicerinado - cor neutra. Pacote com 5 de 200g cada unidade.</v>
      </c>
      <c r="C50" s="89"/>
      <c r="D50" s="89"/>
      <c r="E50" s="49" t="str">
        <f aca="false">Materiais!C33</f>
        <v>pacote</v>
      </c>
      <c r="F50" s="49" t="str">
        <f aca="false">Materiais!D33</f>
        <v>Minuano</v>
      </c>
      <c r="G50" s="90" t="n">
        <f aca="false">IF($D$4="PLANILHA PARA LICITAÇÃO (PRECIFICAÇÃO)",L50,0)</f>
        <v>0.666666666666667</v>
      </c>
      <c r="H50" s="91" t="n">
        <f aca="false">G50*Materiais!G33</f>
        <v>6.83333333333333</v>
      </c>
      <c r="I50" s="92" t="str">
        <f aca="false">IF(G50&lt;L50,"Fornecimento inferior ao estimado mensalmente",IF(G50=L50,"Fornecimento igual ao estimado mensalmente",IF(G50&gt;L50,"Fornecimento superior ao estimado mensalmente",)))</f>
        <v>Fornecimento igual ao estimado mensalmente</v>
      </c>
      <c r="J50" s="92"/>
      <c r="K50" s="92"/>
      <c r="L50" s="93" t="n">
        <f aca="false">M50/O50</f>
        <v>0.666666666666667</v>
      </c>
      <c r="M50" s="94" t="n">
        <f aca="false">Materiais!E33</f>
        <v>4</v>
      </c>
      <c r="N50" s="95" t="str">
        <f aca="false">Materiais!F33</f>
        <v>semestral</v>
      </c>
      <c r="O50" s="96" t="n">
        <f aca="false">IF(N50="MENSAL",1,IF(N50="BIMESTRAL",2,IF(N50="TRIMESTRAL",3,IF(N50="QUADRIMESTRAL",4,IF(N50="SEMESTRAL",6,IF(N50="ANUAL",12,IF(N50="BIENAL",24,"")))))))</f>
        <v>6</v>
      </c>
      <c r="W50" s="1"/>
    </row>
    <row r="51" customFormat="false" ht="15" hidden="true" customHeight="true" outlineLevel="0" collapsed="false">
      <c r="A51" s="97" t="n">
        <v>27</v>
      </c>
      <c r="B51" s="89" t="str">
        <f aca="false">Materiais!B34</f>
        <v>Sabão em Pó – Caixa de 0,8 a 1Kg. Sabão em pó, convencional, de primeira linha. Para lavar roupas e limpeza em geral.</v>
      </c>
      <c r="C51" s="89"/>
      <c r="D51" s="89"/>
      <c r="E51" s="49" t="str">
        <f aca="false">Materiais!C34</f>
        <v>cx.</v>
      </c>
      <c r="F51" s="49" t="str">
        <f aca="false">Materiais!D34</f>
        <v>Omo ou similar</v>
      </c>
      <c r="G51" s="90" t="n">
        <f aca="false">IF($D$4="PLANILHA PARA LICITAÇÃO (PRECIFICAÇÃO)",L51,0)</f>
        <v>0.0833333333333333</v>
      </c>
      <c r="H51" s="91" t="n">
        <f aca="false">G51*Materiais!G34</f>
        <v>1.35583333333333</v>
      </c>
      <c r="I51" s="92" t="str">
        <f aca="false">IF(G51&lt;L51,"Fornecimento inferior ao estimado mensalmente",IF(G51=L51,"Fornecimento igual ao estimado mensalmente",IF(G51&gt;L51,"Fornecimento superior ao estimado mensalmente",)))</f>
        <v>Fornecimento igual ao estimado mensalmente</v>
      </c>
      <c r="J51" s="92"/>
      <c r="K51" s="92"/>
      <c r="L51" s="93" t="n">
        <f aca="false">M51/O51</f>
        <v>0.0833333333333333</v>
      </c>
      <c r="M51" s="94" t="n">
        <f aca="false">Materiais!E34</f>
        <v>1</v>
      </c>
      <c r="N51" s="95" t="str">
        <f aca="false">Materiais!F34</f>
        <v>anual</v>
      </c>
      <c r="O51" s="96" t="n">
        <f aca="false">IF(N51="MENSAL",1,IF(N51="BIMESTRAL",2,IF(N51="TRIMESTRAL",3,IF(N51="QUADRIMESTRAL",4,IF(N51="SEMESTRAL",6,IF(N51="ANUAL",12,IF(N51="BIENAL",24,"")))))))</f>
        <v>12</v>
      </c>
      <c r="W51" s="1"/>
    </row>
    <row r="52" customFormat="false" ht="15" hidden="true" customHeight="true" outlineLevel="0" collapsed="false">
      <c r="A52" s="88" t="n">
        <v>28</v>
      </c>
      <c r="B52" s="89" t="str">
        <f aca="false">Materiais!B35</f>
        <v>Sapólio em pó 300g</v>
      </c>
      <c r="C52" s="89"/>
      <c r="D52" s="89"/>
      <c r="E52" s="49" t="str">
        <f aca="false">Materiais!C35</f>
        <v>unid</v>
      </c>
      <c r="F52" s="49" t="str">
        <f aca="false">Materiais!D35</f>
        <v>Bombril</v>
      </c>
      <c r="G52" s="90" t="n">
        <f aca="false">IF($D$4="PLANILHA PARA LICITAÇÃO (PRECIFICAÇÃO)",L52,0)</f>
        <v>0.0833333333333333</v>
      </c>
      <c r="H52" s="91" t="n">
        <f aca="false">G52*Materiais!G35</f>
        <v>0.501666666666667</v>
      </c>
      <c r="I52" s="92" t="str">
        <f aca="false">IF(G52&lt;L52,"Fornecimento inferior ao estimado mensalmente",IF(G52=L52,"Fornecimento igual ao estimado mensalmente",IF(G52&gt;L52,"Fornecimento superior ao estimado mensalmente",)))</f>
        <v>Fornecimento igual ao estimado mensalmente</v>
      </c>
      <c r="J52" s="92"/>
      <c r="K52" s="92"/>
      <c r="L52" s="93" t="n">
        <f aca="false">M52/O52</f>
        <v>0.0833333333333333</v>
      </c>
      <c r="M52" s="94" t="n">
        <f aca="false">Materiais!E35</f>
        <v>1</v>
      </c>
      <c r="N52" s="95" t="str">
        <f aca="false">Materiais!F35</f>
        <v>anual</v>
      </c>
      <c r="O52" s="96" t="n">
        <f aca="false">IF(N52="MENSAL",1,IF(N52="BIMESTRAL",2,IF(N52="TRIMESTRAL",3,IF(N52="QUADRIMESTRAL",4,IF(N52="SEMESTRAL",6,IF(N52="ANUAL",12,IF(N52="BIENAL",24,"")))))))</f>
        <v>12</v>
      </c>
      <c r="W52" s="1"/>
    </row>
    <row r="53" customFormat="false" ht="15" hidden="true" customHeight="true" outlineLevel="0" collapsed="false">
      <c r="A53" s="97" t="n">
        <v>29</v>
      </c>
      <c r="B53" s="89" t="str">
        <f aca="false">Materiais!B36</f>
        <v>Sabonete líquido Concentrado, cremoso perolizado, pronto pra uso, aroma erva-doce, lavanda ou similar, galão de 05 litros.</v>
      </c>
      <c r="C53" s="89"/>
      <c r="D53" s="89"/>
      <c r="E53" s="49" t="str">
        <f aca="false">Materiais!C36</f>
        <v>Galão</v>
      </c>
      <c r="F53" s="49" t="str">
        <f aca="false">Materiais!D36</f>
        <v>Nobre, Start, Ikebana</v>
      </c>
      <c r="G53" s="90" t="n">
        <f aca="false">IF($D$4="PLANILHA PARA LICITAÇÃO (PRECIFICAÇÃO)",L53,0)</f>
        <v>0.5</v>
      </c>
      <c r="H53" s="91" t="n">
        <f aca="false">G53*Materiais!G36</f>
        <v>10.26</v>
      </c>
      <c r="I53" s="92" t="str">
        <f aca="false">IF(G53&lt;L53,"Fornecimento inferior ao estimado mensalmente",IF(G53=L53,"Fornecimento igual ao estimado mensalmente",IF(G53&gt;L53,"Fornecimento superior ao estimado mensalmente",)))</f>
        <v>Fornecimento igual ao estimado mensalmente</v>
      </c>
      <c r="J53" s="92"/>
      <c r="K53" s="92"/>
      <c r="L53" s="93" t="n">
        <f aca="false">M53/O53</f>
        <v>0.5</v>
      </c>
      <c r="M53" s="94" t="n">
        <f aca="false">Materiais!E36</f>
        <v>1</v>
      </c>
      <c r="N53" s="95" t="str">
        <f aca="false">Materiais!F36</f>
        <v>bimestral</v>
      </c>
      <c r="O53" s="96" t="n">
        <f aca="false">IF(N53="MENSAL",1,IF(N53="BIMESTRAL",2,IF(N53="TRIMESTRAL",3,IF(N53="QUADRIMESTRAL",4,IF(N53="SEMESTRAL",6,IF(N53="ANUAL",12,IF(N53="BIENAL",24,"")))))))</f>
        <v>2</v>
      </c>
      <c r="W53" s="1"/>
    </row>
    <row r="54" customFormat="false" ht="15" hidden="true" customHeight="true" outlineLevel="0" collapsed="false">
      <c r="A54" s="97" t="n">
        <v>30</v>
      </c>
      <c r="B54" s="89" t="str">
        <f aca="false">Materiais!B37</f>
        <v>Saco de Algodão Tipo: Alvejado, Tamanho: 60 X 80 CM, Cor: Branco, Características Adicionais: Dupla Face</v>
      </c>
      <c r="C54" s="89"/>
      <c r="D54" s="89"/>
      <c r="E54" s="49" t="str">
        <f aca="false">Materiais!C37</f>
        <v>unid.</v>
      </c>
      <c r="F54" s="49" t="str">
        <f aca="false">Materiais!D37</f>
        <v>Santa Margarida</v>
      </c>
      <c r="G54" s="90" t="n">
        <f aca="false">IF($D$4="PLANILHA PARA LICITAÇÃO (PRECIFICAÇÃO)",L54,0)</f>
        <v>1.66666666666667</v>
      </c>
      <c r="H54" s="91" t="n">
        <f aca="false">G54*Materiais!G37</f>
        <v>18.0833333333333</v>
      </c>
      <c r="I54" s="92" t="str">
        <f aca="false">IF(G54&lt;L54,"Fornecimento inferior ao estimado mensalmente",IF(G54=L54,"Fornecimento igual ao estimado mensalmente",IF(G54&gt;L54,"Fornecimento superior ao estimado mensalmente",)))</f>
        <v>Fornecimento igual ao estimado mensalmente</v>
      </c>
      <c r="J54" s="92"/>
      <c r="K54" s="92"/>
      <c r="L54" s="93" t="n">
        <f aca="false">M54/O54</f>
        <v>1.66666666666667</v>
      </c>
      <c r="M54" s="94" t="n">
        <f aca="false">Materiais!E37</f>
        <v>10</v>
      </c>
      <c r="N54" s="95" t="str">
        <f aca="false">Materiais!F37</f>
        <v>semestral</v>
      </c>
      <c r="O54" s="96" t="n">
        <f aca="false">IF(N54="MENSAL",1,IF(N54="BIMESTRAL",2,IF(N54="TRIMESTRAL",3,IF(N54="QUADRIMESTRAL",4,IF(N54="SEMESTRAL",6,IF(N54="ANUAL",12,IF(N54="BIENAL",24,"")))))))</f>
        <v>6</v>
      </c>
      <c r="W54" s="1"/>
    </row>
    <row r="55" customFormat="false" ht="15" hidden="true" customHeight="true" outlineLevel="0" collapsed="false">
      <c r="A55" s="97" t="n">
        <v>31</v>
      </c>
      <c r="B55" s="89" t="str">
        <f aca="false">Materiais!B38</f>
        <v>Saco plástico reforçado para lixo em polietileno, com capacidade de 100 litros, com estanqueidade suficiente para que não haja vazamento de lixo líquido. com espessura mínima de 10 micra, na cor preta. Pacote com 100 unidades.</v>
      </c>
      <c r="C55" s="89"/>
      <c r="D55" s="89"/>
      <c r="E55" s="49" t="str">
        <f aca="false">Materiais!C38</f>
        <v>Pacote</v>
      </c>
      <c r="F55" s="49" t="str">
        <f aca="false">Materiais!D38</f>
        <v>Polisac</v>
      </c>
      <c r="G55" s="90" t="n">
        <f aca="false">IF($D$4="PLANILHA PARA LICITAÇÃO (PRECIFICAÇÃO)",L55,0)</f>
        <v>1</v>
      </c>
      <c r="H55" s="91" t="n">
        <f aca="false">G55*Materiais!G38</f>
        <v>59.17</v>
      </c>
      <c r="I55" s="92" t="str">
        <f aca="false">IF(G55&lt;L55,"Fornecimento inferior ao estimado mensalmente",IF(G55=L55,"Fornecimento igual ao estimado mensalmente",IF(G55&gt;L55,"Fornecimento superior ao estimado mensalmente",)))</f>
        <v>Fornecimento igual ao estimado mensalmente</v>
      </c>
      <c r="J55" s="92"/>
      <c r="K55" s="92"/>
      <c r="L55" s="93" t="n">
        <f aca="false">M55/O55</f>
        <v>1</v>
      </c>
      <c r="M55" s="94" t="n">
        <f aca="false">Materiais!E38</f>
        <v>1</v>
      </c>
      <c r="N55" s="95" t="str">
        <f aca="false">Materiais!F38</f>
        <v>mensal</v>
      </c>
      <c r="O55" s="96" t="n">
        <f aca="false">IF(N55="MENSAL",1,IF(N55="BIMESTRAL",2,IF(N55="TRIMESTRAL",3,IF(N55="QUADRIMESTRAL",4,IF(N55="SEMESTRAL",6,IF(N55="ANUAL",12,IF(N55="BIENAL",24,"")))))))</f>
        <v>1</v>
      </c>
      <c r="W55" s="1"/>
    </row>
    <row r="56" customFormat="false" ht="15" hidden="true" customHeight="true" outlineLevel="0" collapsed="false">
      <c r="A56" s="88" t="n">
        <v>32</v>
      </c>
      <c r="B56" s="89" t="str">
        <f aca="false">Materiais!B39</f>
        <v>Saco plástico reforçado para lixo em polietileno, com capacidade de 20 litros, com estanqueidade suficiente para que não haja vazamento de lixo líquido. com espessura mínima de 09 micra, na cor preta. Pacote com 100 unidades.</v>
      </c>
      <c r="C56" s="89"/>
      <c r="D56" s="89"/>
      <c r="E56" s="49" t="str">
        <f aca="false">Materiais!C39</f>
        <v>Pacote</v>
      </c>
      <c r="F56" s="49" t="str">
        <f aca="false">Materiais!D39</f>
        <v>Altaplast</v>
      </c>
      <c r="G56" s="90" t="n">
        <f aca="false">IF($D$4="PLANILHA PARA LICITAÇÃO (PRECIFICAÇÃO)",L56,0)</f>
        <v>2</v>
      </c>
      <c r="H56" s="91" t="n">
        <f aca="false">G56*Materiais!G39</f>
        <v>32.2</v>
      </c>
      <c r="I56" s="92" t="str">
        <f aca="false">IF(G56&lt;L56,"Fornecimento inferior ao estimado mensalmente",IF(G56=L56,"Fornecimento igual ao estimado mensalmente",IF(G56&gt;L56,"Fornecimento superior ao estimado mensalmente",)))</f>
        <v>Fornecimento igual ao estimado mensalmente</v>
      </c>
      <c r="J56" s="92"/>
      <c r="K56" s="92"/>
      <c r="L56" s="93" t="n">
        <f aca="false">M56/O56</f>
        <v>2</v>
      </c>
      <c r="M56" s="94" t="n">
        <f aca="false">Materiais!E39</f>
        <v>2</v>
      </c>
      <c r="N56" s="95" t="str">
        <f aca="false">Materiais!F39</f>
        <v>mensal</v>
      </c>
      <c r="O56" s="96" t="n">
        <f aca="false">IF(N56="MENSAL",1,IF(N56="BIMESTRAL",2,IF(N56="TRIMESTRAL",3,IF(N56="QUADRIMESTRAL",4,IF(N56="SEMESTRAL",6,IF(N56="ANUAL",12,IF(N56="BIENAL",24,"")))))))</f>
        <v>1</v>
      </c>
      <c r="W56" s="1"/>
    </row>
    <row r="57" customFormat="false" ht="15" hidden="true" customHeight="true" outlineLevel="0" collapsed="false">
      <c r="A57" s="97" t="n">
        <v>33</v>
      </c>
      <c r="B57" s="89" t="str">
        <f aca="false">Materiais!B40</f>
        <v>Vassoura limpa teto, com cerdas macias de sisal e cabo de madeira de 2,70 metros. Ideal para uso na limpeza de locais de difícil acesso.</v>
      </c>
      <c r="C57" s="89"/>
      <c r="D57" s="89"/>
      <c r="E57" s="49" t="str">
        <f aca="false">Materiais!C40</f>
        <v>unid.</v>
      </c>
      <c r="F57" s="49" t="str">
        <f aca="false">Materiais!D40</f>
        <v>Oliveira e Azevedo</v>
      </c>
      <c r="G57" s="90" t="n">
        <f aca="false">IF($D$4="PLANILHA PARA LICITAÇÃO (PRECIFICAÇÃO)",L57,0)</f>
        <v>0.0833333333333333</v>
      </c>
      <c r="H57" s="91" t="n">
        <f aca="false">G57*Materiais!G40</f>
        <v>1.79833333333333</v>
      </c>
      <c r="I57" s="92" t="str">
        <f aca="false">IF(G57&lt;L57,"Fornecimento inferior ao estimado mensalmente",IF(G57=L57,"Fornecimento igual ao estimado mensalmente",IF(G57&gt;L57,"Fornecimento superior ao estimado mensalmente",)))</f>
        <v>Fornecimento igual ao estimado mensalmente</v>
      </c>
      <c r="J57" s="92"/>
      <c r="K57" s="92"/>
      <c r="L57" s="93" t="n">
        <f aca="false">M57/O57</f>
        <v>0.0833333333333333</v>
      </c>
      <c r="M57" s="94" t="n">
        <f aca="false">Materiais!E40</f>
        <v>1</v>
      </c>
      <c r="N57" s="95" t="str">
        <f aca="false">Materiais!F40</f>
        <v>anual</v>
      </c>
      <c r="O57" s="96" t="n">
        <f aca="false">IF(N57="MENSAL",1,IF(N57="BIMESTRAL",2,IF(N57="TRIMESTRAL",3,IF(N57="QUADRIMESTRAL",4,IF(N57="SEMESTRAL",6,IF(N57="ANUAL",12,IF(N57="BIENAL",24,"")))))))</f>
        <v>12</v>
      </c>
      <c r="W57" s="1"/>
    </row>
    <row r="58" customFormat="false" ht="15" hidden="true" customHeight="true" outlineLevel="0" collapsed="false">
      <c r="A58" s="97" t="n">
        <v>34</v>
      </c>
      <c r="B58" s="89" t="str">
        <f aca="false">Materiais!B41</f>
        <v>Vassoura Material Cerdas: Pêlo Sintético, Comprimento Cepa: 60 CM, Tipo Cabo: Reforçado, Material Cabo: Madeira</v>
      </c>
      <c r="C58" s="89"/>
      <c r="D58" s="89"/>
      <c r="E58" s="49" t="str">
        <f aca="false">Materiais!C41</f>
        <v>unid.</v>
      </c>
      <c r="F58" s="49" t="str">
        <f aca="false">Materiais!D41</f>
        <v>Brubalar</v>
      </c>
      <c r="G58" s="90" t="n">
        <f aca="false">IF($D$4="PLANILHA PARA LICITAÇÃO (PRECIFICAÇÃO)",L58,0)</f>
        <v>0.0833333333333333</v>
      </c>
      <c r="H58" s="91" t="n">
        <f aca="false">G58*Materiais!G41</f>
        <v>1.33166666666667</v>
      </c>
      <c r="I58" s="92" t="str">
        <f aca="false">IF(G58&lt;L58,"Fornecimento inferior ao estimado mensalmente",IF(G58=L58,"Fornecimento igual ao estimado mensalmente",IF(G58&gt;L58,"Fornecimento superior ao estimado mensalmente",)))</f>
        <v>Fornecimento igual ao estimado mensalmente</v>
      </c>
      <c r="J58" s="92"/>
      <c r="K58" s="92"/>
      <c r="L58" s="93" t="n">
        <f aca="false">M58/O58</f>
        <v>0.0833333333333333</v>
      </c>
      <c r="M58" s="94" t="n">
        <f aca="false">Materiais!E41</f>
        <v>1</v>
      </c>
      <c r="N58" s="95" t="str">
        <f aca="false">Materiais!F41</f>
        <v>anual</v>
      </c>
      <c r="O58" s="96" t="n">
        <f aca="false">IF(N58="MENSAL",1,IF(N58="BIMESTRAL",2,IF(N58="TRIMESTRAL",3,IF(N58="QUADRIMESTRAL",4,IF(N58="SEMESTRAL",6,IF(N58="ANUAL",12,IF(N58="BIENAL",24,"")))))))</f>
        <v>12</v>
      </c>
      <c r="W58" s="1"/>
    </row>
    <row r="59" customFormat="false" ht="15" hidden="true" customHeight="true" outlineLevel="0" collapsed="false">
      <c r="A59" s="97" t="n">
        <v>35</v>
      </c>
      <c r="B59" s="89" t="str">
        <f aca="false">Materiais!B42</f>
        <v>Vassoura de nylon, cerdas c/ ponta desfiada, corpo de madeira medindo aproximadamente 25 x 05cm, c/ cabo de no mínimo 1,50m de comprimento</v>
      </c>
      <c r="C59" s="89"/>
      <c r="D59" s="89"/>
      <c r="E59" s="49" t="str">
        <f aca="false">Materiais!C42</f>
        <v>unid.</v>
      </c>
      <c r="F59" s="49" t="str">
        <f aca="false">Materiais!D42</f>
        <v>Oliveira e Azevedo</v>
      </c>
      <c r="G59" s="90" t="n">
        <f aca="false">IF($D$4="PLANILHA PARA LICITAÇÃO (PRECIFICAÇÃO)",L59,0)</f>
        <v>0.0833333333333333</v>
      </c>
      <c r="H59" s="91" t="n">
        <f aca="false">G59*Materiais!G42</f>
        <v>1.15333333333333</v>
      </c>
      <c r="I59" s="92" t="str">
        <f aca="false">IF(G59&lt;L59,"Fornecimento inferior ao estimado mensalmente",IF(G59=L59,"Fornecimento igual ao estimado mensalmente",IF(G59&gt;L59,"Fornecimento superior ao estimado mensalmente",)))</f>
        <v>Fornecimento igual ao estimado mensalmente</v>
      </c>
      <c r="J59" s="92"/>
      <c r="K59" s="92"/>
      <c r="L59" s="93" t="n">
        <f aca="false">M59/O59</f>
        <v>0.0833333333333333</v>
      </c>
      <c r="M59" s="94" t="n">
        <f aca="false">Materiais!E42</f>
        <v>1</v>
      </c>
      <c r="N59" s="95" t="str">
        <f aca="false">Materiais!F42</f>
        <v>anual</v>
      </c>
      <c r="O59" s="96" t="n">
        <f aca="false">IF(N59="MENSAL",1,IF(N59="BIMESTRAL",2,IF(N59="TRIMESTRAL",3,IF(N59="QUADRIMESTRAL",4,IF(N59="SEMESTRAL",6,IF(N59="ANUAL",12,IF(N59="BIENAL",24,"")))))))</f>
        <v>12</v>
      </c>
      <c r="W59" s="1"/>
    </row>
    <row r="60" customFormat="false" ht="15" hidden="true" customHeight="true" outlineLevel="0" collapsed="false">
      <c r="A60" s="88" t="n">
        <v>36</v>
      </c>
      <c r="B60" s="89" t="str">
        <f aca="false">Materiais!B43</f>
        <v>Carro Multifuncional Para Limpeza Kit completo - Para Transporte c/ Bolsa Para Coleta De No Mínimo 90 Litros, Com Tampa. Conjunto Balde Duplo De 25 Litros (Aproximadamente) Cada (Removível) 4 Organizadores/Prateleiras Para Acessórios; Rodízios Fixos E Giratórios. Balde espremedor, com rodas giratórias para mobilidade fácil, alça e cabo metálico resistente. Kit de limpeza contendo carrinho pequeno, placa, mop esfregão e espremedor</v>
      </c>
      <c r="C60" s="89"/>
      <c r="D60" s="89"/>
      <c r="E60" s="49" t="str">
        <f aca="false">Materiais!C43</f>
        <v>unid.</v>
      </c>
      <c r="F60" s="49" t="str">
        <f aca="false">Materiais!D43</f>
        <v>Bralimpia</v>
      </c>
      <c r="G60" s="90" t="n">
        <f aca="false">IF($D$4="PLANILHA PARA LICITAÇÃO (PRECIFICAÇÃO)",L60,0)</f>
        <v>0.166666666666667</v>
      </c>
      <c r="H60" s="91" t="n">
        <f aca="false">G60*Materiais!G43</f>
        <v>96.7033333333333</v>
      </c>
      <c r="I60" s="92" t="str">
        <f aca="false">IF(G60&lt;L60,"Fornecimento inferior ao estimado mensalmente",IF(G60=L60,"Fornecimento igual ao estimado mensalmente",IF(G60&gt;L60,"Fornecimento superior ao estimado mensalmente",)))</f>
        <v>Fornecimento igual ao estimado mensalmente</v>
      </c>
      <c r="J60" s="92"/>
      <c r="K60" s="92"/>
      <c r="L60" s="93" t="n">
        <f aca="false">M60/O60</f>
        <v>0.166666666666667</v>
      </c>
      <c r="M60" s="94" t="n">
        <f aca="false">Materiais!E43</f>
        <v>2</v>
      </c>
      <c r="N60" s="95" t="str">
        <f aca="false">Materiais!F43</f>
        <v>anual</v>
      </c>
      <c r="O60" s="96" t="n">
        <f aca="false">IF(N60="MENSAL",1,IF(N60="BIMESTRAL",2,IF(N60="TRIMESTRAL",3,IF(N60="QUADRIMESTRAL",4,IF(N60="SEMESTRAL",6,IF(N60="ANUAL",12,IF(N60="BIENAL",24,"")))))))</f>
        <v>12</v>
      </c>
      <c r="W60" s="1"/>
    </row>
    <row r="61" customFormat="false" ht="15" hidden="true" customHeight="true" outlineLevel="0" collapsed="false">
      <c r="A61" s="30" t="s">
        <v>73</v>
      </c>
      <c r="B61" s="30"/>
      <c r="C61" s="30"/>
      <c r="D61" s="30"/>
      <c r="E61" s="30"/>
      <c r="F61" s="30"/>
      <c r="G61" s="30"/>
      <c r="H61" s="98" t="n">
        <f aca="false">ROUND(SUM(H26:H60),2)</f>
        <v>743.73</v>
      </c>
      <c r="I61" s="70"/>
      <c r="J61" s="70"/>
      <c r="K61" s="1"/>
      <c r="L61" s="1"/>
      <c r="M61" s="1"/>
      <c r="N61" s="81"/>
      <c r="O61" s="81"/>
    </row>
    <row r="62" customFormat="false" ht="15" hidden="true" customHeight="true" outlineLevel="0" collapsed="false">
      <c r="A62" s="99" t="s">
        <v>74</v>
      </c>
      <c r="B62" s="99"/>
      <c r="C62" s="99"/>
      <c r="D62" s="99"/>
      <c r="E62" s="99"/>
      <c r="F62" s="99"/>
      <c r="G62" s="100" t="n">
        <f aca="false">Dados!G43</f>
        <v>0.03</v>
      </c>
      <c r="H62" s="101" t="n">
        <f aca="false">ROUND((H61*G62),2)</f>
        <v>22.31</v>
      </c>
      <c r="I62" s="70"/>
      <c r="J62" s="70"/>
      <c r="K62" s="1"/>
      <c r="L62" s="1"/>
      <c r="M62" s="1"/>
      <c r="N62" s="81"/>
      <c r="O62" s="81"/>
    </row>
    <row r="63" customFormat="false" ht="15" hidden="true" customHeight="true" outlineLevel="0" collapsed="false">
      <c r="A63" s="99" t="s">
        <v>75</v>
      </c>
      <c r="B63" s="99"/>
      <c r="C63" s="99"/>
      <c r="D63" s="99"/>
      <c r="E63" s="99"/>
      <c r="F63" s="99"/>
      <c r="G63" s="100" t="n">
        <f aca="false">Dados!G44</f>
        <v>0.0679</v>
      </c>
      <c r="H63" s="101" t="n">
        <f aca="false">ROUND((SUM(H61:H62)*G63),2)</f>
        <v>52.01</v>
      </c>
      <c r="I63" s="70"/>
      <c r="J63" s="70"/>
      <c r="K63" s="1"/>
      <c r="L63" s="1"/>
      <c r="M63" s="1"/>
      <c r="N63" s="81"/>
      <c r="O63" s="81"/>
    </row>
    <row r="64" customFormat="false" ht="15" hidden="true" customHeight="true" outlineLevel="0" collapsed="false">
      <c r="A64" s="99" t="s">
        <v>76</v>
      </c>
      <c r="B64" s="99"/>
      <c r="C64" s="99"/>
      <c r="D64" s="99"/>
      <c r="E64" s="99"/>
      <c r="F64" s="99"/>
      <c r="G64" s="100" t="n">
        <f aca="false">Dados!G55</f>
        <v>0.1225</v>
      </c>
      <c r="H64" s="101" t="n">
        <f aca="false">ROUND((H65*G64),2)</f>
        <v>114.2</v>
      </c>
      <c r="I64" s="70"/>
      <c r="J64" s="70"/>
      <c r="K64" s="1"/>
      <c r="L64" s="1"/>
      <c r="M64" s="1"/>
      <c r="N64" s="81"/>
      <c r="O64" s="81"/>
    </row>
    <row r="65" customFormat="false" ht="15.75" hidden="true" customHeight="true" outlineLevel="0" collapsed="false">
      <c r="A65" s="102" t="s">
        <v>77</v>
      </c>
      <c r="B65" s="102"/>
      <c r="C65" s="102"/>
      <c r="D65" s="102"/>
      <c r="E65" s="102"/>
      <c r="F65" s="102"/>
      <c r="G65" s="102"/>
      <c r="H65" s="103" t="n">
        <f aca="false">ROUND((SUM(H61:H63)/(1-G64)),2)</f>
        <v>932.25</v>
      </c>
      <c r="I65" s="70"/>
      <c r="J65" s="70"/>
      <c r="K65" s="1"/>
      <c r="L65" s="1"/>
      <c r="M65" s="1"/>
      <c r="N65" s="81"/>
      <c r="O65" s="81"/>
    </row>
    <row r="66" customFormat="false" ht="15" hidden="true" customHeight="false" outlineLevel="0" collapsed="false">
      <c r="A66" s="75"/>
      <c r="B66" s="81"/>
      <c r="C66" s="81"/>
      <c r="D66" s="81"/>
      <c r="E66" s="81"/>
      <c r="F66" s="81"/>
      <c r="G66" s="75"/>
      <c r="H66" s="81"/>
      <c r="I66" s="81"/>
      <c r="J66" s="81"/>
      <c r="K66" s="1"/>
      <c r="L66" s="1"/>
      <c r="M66" s="1"/>
      <c r="N66" s="81"/>
      <c r="O66" s="81"/>
    </row>
    <row r="67" customFormat="false" ht="15.75" hidden="true" customHeight="true" outlineLevel="0" collapsed="false">
      <c r="A67" s="82" t="s">
        <v>59</v>
      </c>
      <c r="B67" s="104" t="s">
        <v>78</v>
      </c>
      <c r="C67" s="104"/>
      <c r="D67" s="104"/>
      <c r="E67" s="104"/>
      <c r="F67" s="105" t="s">
        <v>61</v>
      </c>
      <c r="G67" s="105"/>
      <c r="H67" s="105"/>
      <c r="I67" s="85" t="s">
        <v>62</v>
      </c>
      <c r="J67" s="85"/>
      <c r="K67" s="85"/>
      <c r="L67" s="106" t="s">
        <v>63</v>
      </c>
      <c r="M67" s="106"/>
      <c r="N67" s="106"/>
      <c r="O67" s="106"/>
      <c r="V67" s="1"/>
      <c r="W67" s="1"/>
    </row>
    <row r="68" customFormat="false" ht="38.25" hidden="true" customHeight="true" outlineLevel="0" collapsed="false">
      <c r="A68" s="82"/>
      <c r="B68" s="74" t="s">
        <v>64</v>
      </c>
      <c r="C68" s="74"/>
      <c r="D68" s="74"/>
      <c r="E68" s="74" t="s">
        <v>65</v>
      </c>
      <c r="F68" s="74" t="s">
        <v>66</v>
      </c>
      <c r="G68" s="74" t="s">
        <v>67</v>
      </c>
      <c r="H68" s="87" t="s">
        <v>68</v>
      </c>
      <c r="I68" s="85"/>
      <c r="J68" s="85"/>
      <c r="K68" s="85"/>
      <c r="L68" s="82" t="s">
        <v>69</v>
      </c>
      <c r="M68" s="83" t="s">
        <v>70</v>
      </c>
      <c r="N68" s="83" t="s">
        <v>71</v>
      </c>
      <c r="O68" s="84" t="s">
        <v>72</v>
      </c>
      <c r="V68" s="1"/>
      <c r="W68" s="1"/>
    </row>
    <row r="69" customFormat="false" ht="14.25" hidden="true" customHeight="true" outlineLevel="0" collapsed="false">
      <c r="A69" s="36" t="n">
        <v>1</v>
      </c>
      <c r="B69" s="107" t="str">
        <f aca="false">Materiais!B50</f>
        <v>Coador de Café. Especificação: Em pano 100% algodão, cor branca, dimensões de 20cm (diâmetro) x 30cm (profundidade), cabo 16 cm de comprimento feito de arame de aço galvanizado revestido com PVC. O rótulo do produto deve estampar o nome do fabricante.</v>
      </c>
      <c r="C69" s="108"/>
      <c r="D69" s="109"/>
      <c r="E69" s="49" t="str">
        <f aca="false">Materiais!C50</f>
        <v>unid.</v>
      </c>
      <c r="F69" s="49" t="str">
        <f aca="false">Materiais!D50</f>
        <v>Stolf</v>
      </c>
      <c r="G69" s="90" t="n">
        <f aca="false">IF($D$4="PLANILHA PARA LICITAÇÃO (PRECIFICAÇÃO)",L69,0)</f>
        <v>0.5</v>
      </c>
      <c r="H69" s="91" t="n">
        <f aca="false">G69*Materiais!G50</f>
        <v>5.365</v>
      </c>
      <c r="I69" s="92" t="str">
        <f aca="false">IF(G69&lt;L69,"Fornecimento inferior ao estimado mensalmente",IF(G69=L69,"Fornecimento igual ao estimado mensalmente",IF(G69&gt;L69,"Fornecimento superior ao estimado mensalmente",)))</f>
        <v>Fornecimento igual ao estimado mensalmente</v>
      </c>
      <c r="J69" s="92"/>
      <c r="K69" s="92"/>
      <c r="L69" s="93" t="n">
        <f aca="false">M69/O69</f>
        <v>0.5</v>
      </c>
      <c r="M69" s="38" t="n">
        <f aca="false">Materiais!E50</f>
        <v>1</v>
      </c>
      <c r="N69" s="38" t="str">
        <f aca="false">Materiais!F50</f>
        <v>bimestral</v>
      </c>
      <c r="O69" s="96" t="n">
        <f aca="false">IF(N69="MENSAL",1,IF(N69="BIMESTRAL",2,IF(N69="TRIMESTRAL",3,IF(N69="QUADRIMESTRAL",4,IF(N69="SEMESTRAL",6,IF(N69="ANUAL",12,IF(N69="BIENAL",24,"")))))))</f>
        <v>2</v>
      </c>
      <c r="W69" s="1"/>
    </row>
    <row r="70" customFormat="false" ht="15" hidden="true" customHeight="true" outlineLevel="0" collapsed="false">
      <c r="A70" s="36" t="n">
        <v>2</v>
      </c>
      <c r="B70" s="107" t="str">
        <f aca="false">Materiais!B51</f>
        <v>Detergente líquido para louça, neutro, embalagem de 500ml, com tampa Push Pool. Deverá conter glicerina e ser testado e aprovado por dermatologistas. Com fórmula biodegradável. Deve possuir registro na Anvisa/Ministério da Saúde, o qual deverá estar impresso no rótulo.</v>
      </c>
      <c r="C70" s="108"/>
      <c r="D70" s="109"/>
      <c r="E70" s="49" t="str">
        <f aca="false">Materiais!C51</f>
        <v>unid.</v>
      </c>
      <c r="F70" s="49" t="str">
        <f aca="false">Materiais!D51</f>
        <v>Limpol ou similar</v>
      </c>
      <c r="G70" s="90" t="n">
        <f aca="false">IF($D$4="PLANILHA PARA LICITAÇÃO (PRECIFICAÇÃO)",L70,0)</f>
        <v>5</v>
      </c>
      <c r="H70" s="91" t="n">
        <f aca="false">G70*Materiais!G51</f>
        <v>23.1</v>
      </c>
      <c r="I70" s="92" t="str">
        <f aca="false">IF(G70&lt;L70,"Fornecimento inferior ao estimado mensalmente",IF(G70=L70,"Fornecimento igual ao estimado mensalmente",IF(G70&gt;L70,"Fornecimento superior ao estimado mensalmente",)))</f>
        <v>Fornecimento igual ao estimado mensalmente</v>
      </c>
      <c r="J70" s="92"/>
      <c r="K70" s="92"/>
      <c r="L70" s="93" t="n">
        <f aca="false">M70/O70</f>
        <v>5</v>
      </c>
      <c r="M70" s="38" t="n">
        <f aca="false">Materiais!E51</f>
        <v>5</v>
      </c>
      <c r="N70" s="38" t="str">
        <f aca="false">Materiais!F51</f>
        <v>mensal</v>
      </c>
      <c r="O70" s="96" t="n">
        <f aca="false">IF(N70="MENSAL",1,IF(N70="BIMESTRAL",2,IF(N70="TRIMESTRAL",3,IF(N70="QUADRIMESTRAL",4,IF(N70="SEMESTRAL",6,IF(N70="ANUAL",12,IF(N70="BIENAL",24,"")))))))</f>
        <v>1</v>
      </c>
      <c r="W70" s="1"/>
    </row>
    <row r="71" customFormat="false" ht="15" hidden="true" customHeight="true" outlineLevel="0" collapsed="false">
      <c r="A71" s="36" t="n">
        <v>3</v>
      </c>
      <c r="B71" s="107" t="str">
        <f aca="false">Materiais!B52</f>
        <v>Esponja Para Lavagem De Louças E Limpeza Em Geral, Dupla Face Sintética, Um Lado Em Espuma Poliuretano E Outro Em Fibra Sintética Abrasiva, Antibacteriana, Formato Retangular, Medindo Aproximadamente 110mm X 75mm X 20mm De Espessura. Pacote com 4 unidades.</v>
      </c>
      <c r="C71" s="108"/>
      <c r="D71" s="109"/>
      <c r="E71" s="49" t="str">
        <f aca="false">Materiais!C52</f>
        <v>unid.</v>
      </c>
      <c r="F71" s="49" t="str">
        <f aca="false">Materiais!D52</f>
        <v>Scotch-Brite</v>
      </c>
      <c r="G71" s="90" t="n">
        <f aca="false">IF($D$4="PLANILHA PARA LICITAÇÃO (PRECIFICAÇÃO)",L71,0)</f>
        <v>1</v>
      </c>
      <c r="H71" s="91" t="n">
        <f aca="false">G71*Materiais!G52</f>
        <v>4.64</v>
      </c>
      <c r="I71" s="92" t="str">
        <f aca="false">IF(G71&lt;L71,"Fornecimento inferior ao estimado mensalmente",IF(G71=L71,"Fornecimento igual ao estimado mensalmente",IF(G71&gt;L71,"Fornecimento superior ao estimado mensalmente",)))</f>
        <v>Fornecimento igual ao estimado mensalmente</v>
      </c>
      <c r="J71" s="92"/>
      <c r="K71" s="92"/>
      <c r="L71" s="93" t="n">
        <f aca="false">M71/O71</f>
        <v>1</v>
      </c>
      <c r="M71" s="38" t="n">
        <f aca="false">Materiais!E52</f>
        <v>1</v>
      </c>
      <c r="N71" s="38" t="str">
        <f aca="false">Materiais!F52</f>
        <v>mensal</v>
      </c>
      <c r="O71" s="96" t="n">
        <f aca="false">IF(N71="MENSAL",1,IF(N71="BIMESTRAL",2,IF(N71="TRIMESTRAL",3,IF(N71="QUADRIMESTRAL",4,IF(N71="SEMESTRAL",6,IF(N71="ANUAL",12,IF(N71="BIENAL",24,"")))))))</f>
        <v>1</v>
      </c>
      <c r="W71" s="1"/>
    </row>
    <row r="72" customFormat="false" ht="15" hidden="true" customHeight="true" outlineLevel="0" collapsed="false">
      <c r="A72" s="36" t="n">
        <v>4</v>
      </c>
      <c r="B72" s="107" t="str">
        <f aca="false">Materiais!B53</f>
        <v>Esponja de LÃ DE AÇO, composição básica: aço carbono abrasivo, p/ limpeza em geral, acondicionada em embalagem plástica original do fabricante, peso líquido aproximado de 60g, pacote c/ 08 unidades</v>
      </c>
      <c r="C72" s="108"/>
      <c r="D72" s="109"/>
      <c r="E72" s="49" t="str">
        <f aca="false">Materiais!C53</f>
        <v>Pacote</v>
      </c>
      <c r="F72" s="49" t="str">
        <f aca="false">Materiais!D53</f>
        <v>Bombril</v>
      </c>
      <c r="G72" s="90" t="n">
        <f aca="false">IF($D$4="PLANILHA PARA LICITAÇÃO (PRECIFICAÇÃO)",L72,0)</f>
        <v>0.333333333333333</v>
      </c>
      <c r="H72" s="91" t="n">
        <f aca="false">G72*Materiais!G53</f>
        <v>0.89</v>
      </c>
      <c r="I72" s="92" t="str">
        <f aca="false">IF(G72&lt;L72,"Fornecimento inferior ao estimado mensalmente",IF(G72=L72,"Fornecimento igual ao estimado mensalmente",IF(G72&gt;L72,"Fornecimento superior ao estimado mensalmente",)))</f>
        <v>Fornecimento igual ao estimado mensalmente</v>
      </c>
      <c r="J72" s="92"/>
      <c r="K72" s="92"/>
      <c r="L72" s="93" t="n">
        <f aca="false">M72/O72</f>
        <v>0.333333333333333</v>
      </c>
      <c r="M72" s="38" t="n">
        <f aca="false">Materiais!E53</f>
        <v>1</v>
      </c>
      <c r="N72" s="38" t="str">
        <f aca="false">Materiais!F53</f>
        <v>trimestral</v>
      </c>
      <c r="O72" s="96" t="n">
        <f aca="false">IF(N72="MENSAL",1,IF(N72="BIMESTRAL",2,IF(N72="TRIMESTRAL",3,IF(N72="QUADRIMESTRAL",4,IF(N72="SEMESTRAL",6,IF(N72="ANUAL",12,IF(N72="BIENAL",24,"")))))))</f>
        <v>3</v>
      </c>
      <c r="W72" s="1"/>
    </row>
    <row r="73" customFormat="false" ht="15" hidden="true" customHeight="true" outlineLevel="0" collapsed="false">
      <c r="A73" s="36" t="n">
        <v>5</v>
      </c>
      <c r="B73" s="107" t="str">
        <f aca="false">Materiais!B54</f>
        <v>Guardanapo de limpeza, em papel absorvente, folha simples, na cor branca, não gofrado, 4 dobras, dimensões mínimas 33 cm x 30 cm, 100% fibras naturais, embalado em pacote com 50 unidades, com dados do fabricante, data de fabricação e prazo de validade. Produto fabricado de acordo com as normas da ABNT/NBR. Do tipo Coquetel, Santepel, Snob ou de melhor qualidade </v>
      </c>
      <c r="C73" s="108"/>
      <c r="D73" s="109"/>
      <c r="E73" s="49" t="str">
        <f aca="false">Materiais!C54</f>
        <v>Pacote</v>
      </c>
      <c r="F73" s="49" t="str">
        <f aca="false">Materiais!D54</f>
        <v>Santepel</v>
      </c>
      <c r="G73" s="90" t="n">
        <f aca="false">IF($D$4="PLANILHA PARA LICITAÇÃO (PRECIFICAÇÃO)",L73,0)</f>
        <v>8</v>
      </c>
      <c r="H73" s="91" t="n">
        <f aca="false">G73*Materiais!G54</f>
        <v>41.84</v>
      </c>
      <c r="I73" s="92" t="str">
        <f aca="false">IF(G73&lt;L73,"Fornecimento inferior ao estimado mensalmente",IF(G73=L73,"Fornecimento igual ao estimado mensalmente",IF(G73&gt;L73,"Fornecimento superior ao estimado mensalmente",)))</f>
        <v>Fornecimento igual ao estimado mensalmente</v>
      </c>
      <c r="J73" s="92"/>
      <c r="K73" s="92"/>
      <c r="L73" s="93" t="n">
        <f aca="false">M73/O73</f>
        <v>8</v>
      </c>
      <c r="M73" s="38" t="n">
        <f aca="false">Materiais!E54</f>
        <v>8</v>
      </c>
      <c r="N73" s="38" t="str">
        <f aca="false">Materiais!F54</f>
        <v>mensal</v>
      </c>
      <c r="O73" s="96" t="n">
        <f aca="false">IF(N73="MENSAL",1,IF(N73="BIMESTRAL",2,IF(N73="TRIMESTRAL",3,IF(N73="QUADRIMESTRAL",4,IF(N73="SEMESTRAL",6,IF(N73="ANUAL",12,IF(N73="BIENAL",24,"")))))))</f>
        <v>1</v>
      </c>
      <c r="W73" s="1"/>
    </row>
    <row r="74" customFormat="false" ht="15" hidden="true" customHeight="true" outlineLevel="0" collapsed="false">
      <c r="A74" s="36" t="n">
        <v>6</v>
      </c>
      <c r="B74" s="107" t="str">
        <f aca="false">Materiais!B55</f>
        <v>Pano de copa aberto 100%  dimensões mínimas 40x60cm</v>
      </c>
      <c r="C74" s="108"/>
      <c r="D74" s="109"/>
      <c r="E74" s="49" t="str">
        <f aca="false">Materiais!C55</f>
        <v>unid.</v>
      </c>
      <c r="F74" s="49" t="str">
        <f aca="false">Materiais!D55</f>
        <v>Karsten</v>
      </c>
      <c r="G74" s="90" t="n">
        <f aca="false">IF($D$4="PLANILHA PARA LICITAÇÃO (PRECIFICAÇÃO)",L74,0)</f>
        <v>0.5</v>
      </c>
      <c r="H74" s="91" t="n">
        <f aca="false">G74*Materiais!G55</f>
        <v>3.445</v>
      </c>
      <c r="I74" s="92" t="str">
        <f aca="false">IF(G74&lt;L74,"Fornecimento inferior ao estimado mensalmente",IF(G74=L74,"Fornecimento igual ao estimado mensalmente",IF(G74&gt;L74,"Fornecimento superior ao estimado mensalmente",)))</f>
        <v>Fornecimento igual ao estimado mensalmente</v>
      </c>
      <c r="J74" s="92"/>
      <c r="K74" s="92"/>
      <c r="L74" s="93" t="n">
        <f aca="false">M74/O74</f>
        <v>0.5</v>
      </c>
      <c r="M74" s="38" t="n">
        <f aca="false">Materiais!E55</f>
        <v>1</v>
      </c>
      <c r="N74" s="38" t="str">
        <f aca="false">Materiais!F55</f>
        <v>bimestral</v>
      </c>
      <c r="O74" s="96" t="n">
        <f aca="false">IF(N74="MENSAL",1,IF(N74="BIMESTRAL",2,IF(N74="TRIMESTRAL",3,IF(N74="QUADRIMESTRAL",4,IF(N74="SEMESTRAL",6,IF(N74="ANUAL",12,IF(N74="BIENAL",24,"")))))))</f>
        <v>2</v>
      </c>
      <c r="W74" s="1"/>
    </row>
    <row r="75" customFormat="false" ht="15" hidden="true" customHeight="true" outlineLevel="0" collapsed="false">
      <c r="A75" s="36" t="n">
        <v>7</v>
      </c>
      <c r="B75" s="107" t="str">
        <f aca="false">Materiais!B56</f>
        <v>Sabão Glicerinado em Barra Neutro 200g</v>
      </c>
      <c r="C75" s="108"/>
      <c r="D75" s="109"/>
      <c r="E75" s="49" t="str">
        <f aca="false">Materiais!C56</f>
        <v>unid.</v>
      </c>
      <c r="F75" s="49" t="str">
        <f aca="false">Materiais!D56</f>
        <v>Minuano</v>
      </c>
      <c r="G75" s="90" t="n">
        <f aca="false">IF($D$4="PLANILHA PARA LICITAÇÃO (PRECIFICAÇÃO)",L75,0)</f>
        <v>0.666666666666667</v>
      </c>
      <c r="H75" s="91" t="n">
        <f aca="false">G75*Materiais!G56</f>
        <v>6.83333333333333</v>
      </c>
      <c r="I75" s="92" t="str">
        <f aca="false">IF(G75&lt;L75,"Fornecimento inferior ao estimado mensalmente",IF(G75=L75,"Fornecimento igual ao estimado mensalmente",IF(G75&gt;L75,"Fornecimento superior ao estimado mensalmente",)))</f>
        <v>Fornecimento igual ao estimado mensalmente</v>
      </c>
      <c r="J75" s="92"/>
      <c r="K75" s="92"/>
      <c r="L75" s="93" t="n">
        <f aca="false">M75/O75</f>
        <v>0.666666666666667</v>
      </c>
      <c r="M75" s="38" t="n">
        <f aca="false">Materiais!E56</f>
        <v>4</v>
      </c>
      <c r="N75" s="38" t="str">
        <f aca="false">Materiais!F56</f>
        <v>semestral</v>
      </c>
      <c r="O75" s="96" t="n">
        <f aca="false">IF(N75="MENSAL",1,IF(N75="BIMESTRAL",2,IF(N75="TRIMESTRAL",3,IF(N75="QUADRIMESTRAL",4,IF(N75="SEMESTRAL",6,IF(N75="ANUAL",12,IF(N75="BIENAL",24,"")))))))</f>
        <v>6</v>
      </c>
      <c r="W75" s="1"/>
    </row>
    <row r="76" customFormat="false" ht="15" hidden="true" customHeight="true" outlineLevel="0" collapsed="false">
      <c r="A76" s="82" t="s">
        <v>73</v>
      </c>
      <c r="B76" s="82"/>
      <c r="C76" s="82"/>
      <c r="D76" s="82"/>
      <c r="E76" s="82"/>
      <c r="F76" s="82"/>
      <c r="G76" s="82"/>
      <c r="H76" s="110" t="n">
        <f aca="false">SUM(H69:H75)</f>
        <v>86.1133333333333</v>
      </c>
      <c r="I76" s="70"/>
      <c r="J76" s="70"/>
      <c r="K76" s="1"/>
      <c r="L76" s="81"/>
      <c r="M76" s="81"/>
      <c r="N76" s="81"/>
      <c r="V76" s="1"/>
      <c r="W76" s="1"/>
    </row>
    <row r="77" customFormat="false" ht="15" hidden="true" customHeight="true" outlineLevel="0" collapsed="false">
      <c r="A77" s="99" t="s">
        <v>74</v>
      </c>
      <c r="B77" s="99"/>
      <c r="C77" s="99"/>
      <c r="D77" s="99"/>
      <c r="E77" s="99"/>
      <c r="F77" s="99"/>
      <c r="G77" s="100" t="n">
        <f aca="false">Dados!$G$43</f>
        <v>0.03</v>
      </c>
      <c r="H77" s="101" t="n">
        <f aca="false">ROUND((H76*G77),2)</f>
        <v>2.58</v>
      </c>
      <c r="I77" s="81"/>
      <c r="J77" s="81"/>
      <c r="K77" s="1"/>
      <c r="L77" s="81"/>
      <c r="M77" s="81"/>
      <c r="N77" s="81"/>
      <c r="V77" s="1"/>
      <c r="W77" s="1"/>
    </row>
    <row r="78" customFormat="false" ht="15" hidden="true" customHeight="true" outlineLevel="0" collapsed="false">
      <c r="A78" s="99" t="s">
        <v>75</v>
      </c>
      <c r="B78" s="99"/>
      <c r="C78" s="99"/>
      <c r="D78" s="99"/>
      <c r="E78" s="99"/>
      <c r="F78" s="99"/>
      <c r="G78" s="100" t="n">
        <f aca="false">Dados!$G$44</f>
        <v>0.0679</v>
      </c>
      <c r="H78" s="101" t="n">
        <f aca="false">ROUND((SUM(H76:H77)*G78),2)</f>
        <v>6.02</v>
      </c>
      <c r="I78" s="81"/>
      <c r="J78" s="81"/>
      <c r="K78" s="1"/>
      <c r="L78" s="81"/>
      <c r="M78" s="81"/>
      <c r="N78" s="81"/>
      <c r="V78" s="1"/>
      <c r="W78" s="1"/>
    </row>
    <row r="79" customFormat="false" ht="15" hidden="true" customHeight="true" outlineLevel="0" collapsed="false">
      <c r="A79" s="99" t="s">
        <v>76</v>
      </c>
      <c r="B79" s="99"/>
      <c r="C79" s="99"/>
      <c r="D79" s="99"/>
      <c r="E79" s="99"/>
      <c r="F79" s="99"/>
      <c r="G79" s="100" t="n">
        <f aca="false">Dados!$G$55</f>
        <v>0.1225</v>
      </c>
      <c r="H79" s="101" t="n">
        <f aca="false">ROUND((H80*G79),2)</f>
        <v>13.22</v>
      </c>
      <c r="I79" s="81"/>
      <c r="J79" s="81"/>
      <c r="K79" s="1"/>
      <c r="L79" s="81"/>
      <c r="M79" s="81"/>
      <c r="N79" s="81"/>
      <c r="V79" s="1"/>
      <c r="W79" s="1"/>
    </row>
    <row r="80" customFormat="false" ht="15.75" hidden="true" customHeight="true" outlineLevel="0" collapsed="false">
      <c r="A80" s="102" t="s">
        <v>79</v>
      </c>
      <c r="B80" s="102"/>
      <c r="C80" s="102"/>
      <c r="D80" s="102"/>
      <c r="E80" s="102"/>
      <c r="F80" s="102"/>
      <c r="G80" s="102"/>
      <c r="H80" s="103" t="n">
        <f aca="false">ROUND((SUM(H76:H78)/(1-G79)),2)</f>
        <v>107.94</v>
      </c>
      <c r="I80" s="81"/>
      <c r="J80" s="81"/>
      <c r="K80" s="1"/>
      <c r="L80" s="81"/>
      <c r="M80" s="81"/>
      <c r="N80" s="81"/>
      <c r="V80" s="1"/>
      <c r="W80" s="1"/>
    </row>
    <row r="81" customFormat="false" ht="15" hidden="true" customHeight="false" outlineLevel="0" collapsed="false">
      <c r="A81" s="75"/>
      <c r="B81" s="81"/>
      <c r="C81" s="81"/>
      <c r="D81" s="81"/>
      <c r="E81" s="81"/>
      <c r="F81" s="81"/>
      <c r="G81" s="75"/>
      <c r="H81" s="81"/>
      <c r="I81" s="81"/>
      <c r="J81" s="81"/>
      <c r="K81" s="1"/>
      <c r="L81" s="81"/>
      <c r="M81" s="81"/>
      <c r="N81" s="81"/>
      <c r="V81" s="1"/>
      <c r="W81" s="1"/>
    </row>
    <row r="82" customFormat="false" ht="15" hidden="true" customHeight="false" outlineLevel="0" collapsed="false">
      <c r="L82" s="1"/>
      <c r="M82" s="1"/>
      <c r="P82" s="3"/>
      <c r="Q82" s="3"/>
      <c r="V82" s="1"/>
      <c r="W82" s="1"/>
    </row>
    <row r="83" customFormat="false" ht="15" hidden="true" customHeight="false" outlineLevel="0" collapsed="false"/>
    <row r="84" customFormat="false" ht="15" hidden="true" customHeight="false" outlineLevel="0" collapsed="false">
      <c r="B84" s="111" t="s">
        <v>80</v>
      </c>
      <c r="C84" s="111"/>
    </row>
    <row r="85" customFormat="false" ht="15" hidden="true" customHeight="false" outlineLevel="0" collapsed="false">
      <c r="B85" s="112" t="s">
        <v>81</v>
      </c>
      <c r="C85" s="113" t="n">
        <v>22</v>
      </c>
      <c r="D85" s="1" t="s">
        <v>82</v>
      </c>
    </row>
    <row r="86" customFormat="false" ht="15" hidden="true" customHeight="false" outlineLevel="0" collapsed="false">
      <c r="B86" s="112" t="s">
        <v>5</v>
      </c>
      <c r="C86" s="114" t="n">
        <v>30</v>
      </c>
      <c r="D86" s="1" t="s">
        <v>83</v>
      </c>
    </row>
    <row r="87" customFormat="false" ht="15" hidden="true" customHeight="false" outlineLevel="0" collapsed="false">
      <c r="B87" s="112" t="s">
        <v>84</v>
      </c>
      <c r="C87" s="114" t="s">
        <v>85</v>
      </c>
      <c r="D87" s="1" t="s">
        <v>86</v>
      </c>
    </row>
    <row r="88" customFormat="false" ht="15" hidden="true" customHeight="false" outlineLevel="0" collapsed="false"/>
    <row r="89" customFormat="false" ht="15" hidden="true" customHeight="false" outlineLevel="0" collapsed="false">
      <c r="B89" s="112" t="s">
        <v>87</v>
      </c>
      <c r="C89" s="112" t="s">
        <v>88</v>
      </c>
    </row>
    <row r="90" customFormat="false" ht="15" hidden="true" customHeight="false" outlineLevel="0" collapsed="false">
      <c r="B90" s="112" t="n">
        <v>220</v>
      </c>
      <c r="C90" s="112" t="n">
        <v>8.8</v>
      </c>
    </row>
    <row r="91" customFormat="false" ht="15" hidden="true" customHeight="false" outlineLevel="0" collapsed="false">
      <c r="B91" s="112" t="n">
        <v>200</v>
      </c>
      <c r="C91" s="112" t="n">
        <v>8</v>
      </c>
    </row>
    <row r="92" customFormat="false" ht="15" hidden="true" customHeight="false" outlineLevel="0" collapsed="false">
      <c r="B92" s="112" t="n">
        <v>180</v>
      </c>
      <c r="C92" s="112" t="n">
        <v>7.2</v>
      </c>
    </row>
    <row r="93" customFormat="false" ht="15" hidden="true" customHeight="false" outlineLevel="0" collapsed="false">
      <c r="B93" s="112" t="n">
        <v>150</v>
      </c>
      <c r="C93" s="112" t="n">
        <v>6</v>
      </c>
    </row>
    <row r="94" customFormat="false" ht="15" hidden="true" customHeight="false" outlineLevel="0" collapsed="false">
      <c r="B94" s="112" t="n">
        <v>120</v>
      </c>
      <c r="C94" s="112" t="n">
        <v>4.8</v>
      </c>
    </row>
    <row r="95" customFormat="false" ht="15" hidden="true" customHeight="false" outlineLevel="0" collapsed="false">
      <c r="B95" s="112" t="n">
        <v>100</v>
      </c>
      <c r="C95" s="112" t="n">
        <v>4</v>
      </c>
    </row>
    <row r="96" customFormat="false" ht="15" hidden="true" customHeight="false" outlineLevel="0" collapsed="false">
      <c r="B96" s="112" t="n">
        <v>75</v>
      </c>
      <c r="C96" s="112" t="n">
        <v>3</v>
      </c>
    </row>
    <row r="97" customFormat="false" ht="15" hidden="true" customHeight="false" outlineLevel="0" collapsed="false"/>
    <row r="98" customFormat="false" ht="15" hidden="true" customHeight="false" outlineLevel="0" collapsed="false">
      <c r="B98" s="112" t="s">
        <v>89</v>
      </c>
    </row>
    <row r="99" customFormat="false" ht="15" hidden="true" customHeight="false" outlineLevel="0" collapsed="false">
      <c r="B99" s="115" t="n">
        <v>0</v>
      </c>
    </row>
    <row r="100" customFormat="false" ht="15" hidden="true" customHeight="false" outlineLevel="0" collapsed="false">
      <c r="B100" s="115" t="n">
        <v>1</v>
      </c>
    </row>
    <row r="101" customFormat="false" ht="15" hidden="true" customHeight="false" outlineLevel="0" collapsed="false">
      <c r="B101" s="115" t="n">
        <v>2</v>
      </c>
    </row>
  </sheetData>
  <sheetProtection algorithmName="SHA-512" hashValue="Mw4EAuCxmil0m0v9AQ4y+BE4/mz6oCaUhjz6eoppaDUJvMPqzr9flB9CYIo9r56o8vi83R7uPP7b2phNPzRbHw==" saltValue="M1/h2UMC7xFvOzejgXh2/Q==" spinCount="100000" sheet="true" objects="true" scenarios="true"/>
  <mergeCells count="127">
    <mergeCell ref="C2:S2"/>
    <mergeCell ref="C3:S3"/>
    <mergeCell ref="A4:C4"/>
    <mergeCell ref="D4:E4"/>
    <mergeCell ref="A5:C5"/>
    <mergeCell ref="A7:C9"/>
    <mergeCell ref="D7:D9"/>
    <mergeCell ref="E7:E9"/>
    <mergeCell ref="F7:F9"/>
    <mergeCell ref="G7:G9"/>
    <mergeCell ref="H7:H9"/>
    <mergeCell ref="I7:I9"/>
    <mergeCell ref="J7:J9"/>
    <mergeCell ref="K7:K9"/>
    <mergeCell ref="L7:L9"/>
    <mergeCell ref="M7:M9"/>
    <mergeCell ref="N7:N9"/>
    <mergeCell ref="O7:O9"/>
    <mergeCell ref="P7:P9"/>
    <mergeCell ref="Q7:Q9"/>
    <mergeCell ref="R7:R9"/>
    <mergeCell ref="S7:S9"/>
    <mergeCell ref="T7:W9"/>
    <mergeCell ref="A15:G15"/>
    <mergeCell ref="I15:J15"/>
    <mergeCell ref="A18:B19"/>
    <mergeCell ref="A20:F21"/>
    <mergeCell ref="A24:A25"/>
    <mergeCell ref="B24:E24"/>
    <mergeCell ref="F24:H24"/>
    <mergeCell ref="I24:K25"/>
    <mergeCell ref="L24:O24"/>
    <mergeCell ref="B25:D25"/>
    <mergeCell ref="B26:D26"/>
    <mergeCell ref="I26:K26"/>
    <mergeCell ref="B27:D27"/>
    <mergeCell ref="I27:K27"/>
    <mergeCell ref="B28:D28"/>
    <mergeCell ref="I28:K28"/>
    <mergeCell ref="B29:D29"/>
    <mergeCell ref="I29:K29"/>
    <mergeCell ref="B30:D30"/>
    <mergeCell ref="I30:K30"/>
    <mergeCell ref="B31:D31"/>
    <mergeCell ref="I31:K31"/>
    <mergeCell ref="B32:D32"/>
    <mergeCell ref="I32:K32"/>
    <mergeCell ref="B33:D33"/>
    <mergeCell ref="I33:K33"/>
    <mergeCell ref="B34:D34"/>
    <mergeCell ref="I34:K34"/>
    <mergeCell ref="B35:D35"/>
    <mergeCell ref="I35:K35"/>
    <mergeCell ref="B36:D36"/>
    <mergeCell ref="I36:K36"/>
    <mergeCell ref="B37:D37"/>
    <mergeCell ref="I37:K37"/>
    <mergeCell ref="B38:D38"/>
    <mergeCell ref="I38:K38"/>
    <mergeCell ref="B39:D39"/>
    <mergeCell ref="I39:K39"/>
    <mergeCell ref="B40:D40"/>
    <mergeCell ref="I40:K40"/>
    <mergeCell ref="B41:D41"/>
    <mergeCell ref="I41:K41"/>
    <mergeCell ref="B42:D42"/>
    <mergeCell ref="I42:K42"/>
    <mergeCell ref="B43:D43"/>
    <mergeCell ref="I43:K43"/>
    <mergeCell ref="B44:D44"/>
    <mergeCell ref="I44:K44"/>
    <mergeCell ref="B45:D45"/>
    <mergeCell ref="I45:K45"/>
    <mergeCell ref="B46:D46"/>
    <mergeCell ref="I46:K46"/>
    <mergeCell ref="B47:D47"/>
    <mergeCell ref="I47:K47"/>
    <mergeCell ref="B48:D48"/>
    <mergeCell ref="I48:K48"/>
    <mergeCell ref="B49:D49"/>
    <mergeCell ref="I49:K49"/>
    <mergeCell ref="B50:D50"/>
    <mergeCell ref="I50:K50"/>
    <mergeCell ref="B51:D51"/>
    <mergeCell ref="I51:K51"/>
    <mergeCell ref="B52:D52"/>
    <mergeCell ref="I52:K52"/>
    <mergeCell ref="B53:D53"/>
    <mergeCell ref="I53:K53"/>
    <mergeCell ref="B54:D54"/>
    <mergeCell ref="I54:K54"/>
    <mergeCell ref="B55:D55"/>
    <mergeCell ref="I55:K55"/>
    <mergeCell ref="B56:D56"/>
    <mergeCell ref="I56:K56"/>
    <mergeCell ref="B57:D57"/>
    <mergeCell ref="I57:K57"/>
    <mergeCell ref="B58:D58"/>
    <mergeCell ref="I58:K58"/>
    <mergeCell ref="B59:D59"/>
    <mergeCell ref="I59:K59"/>
    <mergeCell ref="B60:D60"/>
    <mergeCell ref="I60:K60"/>
    <mergeCell ref="A61:G61"/>
    <mergeCell ref="A62:F62"/>
    <mergeCell ref="A63:F63"/>
    <mergeCell ref="A64:F64"/>
    <mergeCell ref="A65:G65"/>
    <mergeCell ref="A67:A68"/>
    <mergeCell ref="B67:E67"/>
    <mergeCell ref="F67:H67"/>
    <mergeCell ref="I67:K68"/>
    <mergeCell ref="L67:O67"/>
    <mergeCell ref="B68:D68"/>
    <mergeCell ref="I69:K69"/>
    <mergeCell ref="I70:K70"/>
    <mergeCell ref="I71:K71"/>
    <mergeCell ref="I72:K72"/>
    <mergeCell ref="I73:K73"/>
    <mergeCell ref="I74:K74"/>
    <mergeCell ref="I75:K75"/>
    <mergeCell ref="A76:G76"/>
    <mergeCell ref="A77:F77"/>
    <mergeCell ref="A78:F78"/>
    <mergeCell ref="A79:F79"/>
    <mergeCell ref="A80:G80"/>
    <mergeCell ref="B84:C84"/>
  </mergeCells>
  <conditionalFormatting sqref="I69:I75 I26:I60">
    <cfRule type="containsText" priority="2" operator="containsText" aboveAverage="0" equalAverage="0" bottom="0" percent="0" rank="0" text="inferior" dxfId="0">
      <formula>NOT(ISERROR(SEARCH("inferior",I26)))</formula>
    </cfRule>
    <cfRule type="containsText" priority="3" operator="containsText" aboveAverage="0" equalAverage="0" bottom="0" percent="0" rank="0" text="superior" dxfId="1">
      <formula>NOT(ISERROR(SEARCH("superior",I26)))</formula>
    </cfRule>
  </conditionalFormatting>
  <dataValidations count="7">
    <dataValidation allowBlank="true" errorStyle="stop" operator="between" showDropDown="false" showErrorMessage="true" showInputMessage="true" sqref="C19" type="list">
      <formula1>$B$90:$B$96</formula1>
      <formula2>0</formula2>
    </dataValidation>
    <dataValidation allowBlank="true" errorStyle="stop" operator="between" showDropDown="false" showErrorMessage="true" showInputMessage="true" sqref="D14" type="list">
      <formula1>$B$99:$B$101</formula1>
      <formula2>0</formula2>
    </dataValidation>
    <dataValidation allowBlank="true" errorStyle="stop" operator="between" showDropDown="false" showErrorMessage="true" showInputMessage="true" sqref="D4:E4" type="list">
      <formula1>"PLANILHA PARA LICITAÇÃO (PRECIFICAÇÃO),PLANILHA PARA FATURAMENTO"</formula1>
      <formula2>0</formula2>
    </dataValidation>
    <dataValidation allowBlank="true" errorStyle="stop" operator="between" showDropDown="false" showErrorMessage="true" showInputMessage="true" sqref="D5" type="list">
      <formula1>$B$85:$B$87</formula1>
      <formula2>0</formula2>
    </dataValidation>
    <dataValidation allowBlank="true" errorStyle="stop" operator="between" showDropDown="false" showErrorMessage="true" showInputMessage="true" sqref="E11:E14" type="list">
      <formula1>"SIM,NÃO"</formula1>
      <formula2>0</formula2>
    </dataValidation>
    <dataValidation allowBlank="true" errorStyle="stop" operator="between" showDropDown="false" showErrorMessage="true" showInputMessage="true" sqref="D11:D13" type="list">
      <formula1>$B$99:$B$100</formula1>
      <formula2>0</formula2>
    </dataValidation>
    <dataValidation allowBlank="true" errorStyle="stop" operator="between" showDropDown="false" showErrorMessage="true" showInputMessage="true" sqref="N26:N60" type="list">
      <formula1>"Mensal,Bimestral,Trimestral,Quadrimestral,Semestral,Anual,Bienal"</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7"/>
  <sheetViews>
    <sheetView showFormulas="false" showGridLines="false" showRowColHeaders="true" showZeros="true" rightToLeft="false" tabSelected="false" showOutlineSymbols="true" defaultGridColor="true" view="normal" topLeftCell="A1" colorId="64" zoomScale="100" zoomScaleNormal="100" zoomScalePageLayoutView="110" workbookViewId="0">
      <selection pane="topLeft" activeCell="F26" activeCellId="0" sqref="F26"/>
    </sheetView>
  </sheetViews>
  <sheetFormatPr defaultColWidth="8.71484375" defaultRowHeight="15" zeroHeight="false" outlineLevelRow="0" outlineLevelCol="0"/>
  <cols>
    <col collapsed="false" customWidth="true" hidden="false" outlineLevel="0" max="1" min="1" style="81" width="10.57"/>
    <col collapsed="false" customWidth="true" hidden="false" outlineLevel="0" max="2" min="2" style="81" width="27.71"/>
    <col collapsed="false" customWidth="true" hidden="false" outlineLevel="0" max="3" min="3" style="81" width="14.42"/>
    <col collapsed="false" customWidth="true" hidden="false" outlineLevel="0" max="5" min="4" style="81" width="15"/>
    <col collapsed="false" customWidth="true" hidden="false" outlineLevel="0" max="6" min="6" style="406" width="16.71"/>
    <col collapsed="false" customWidth="true" hidden="false" outlineLevel="0" max="8" min="7" style="406" width="13.15"/>
    <col collapsed="false" customWidth="true" hidden="false" outlineLevel="0" max="10" min="9" style="406" width="12.57"/>
    <col collapsed="false" customWidth="true" hidden="false" outlineLevel="0" max="257" min="11" style="81" width="9.14"/>
    <col collapsed="false" customWidth="true" hidden="false" outlineLevel="0" max="258" min="258" style="81" width="10.57"/>
    <col collapsed="false" customWidth="true" hidden="false" outlineLevel="0" max="259" min="259" style="81" width="27.71"/>
    <col collapsed="false" customWidth="true" hidden="false" outlineLevel="0" max="260" min="260" style="81" width="14.42"/>
    <col collapsed="false" customWidth="true" hidden="false" outlineLevel="0" max="262" min="261" style="81" width="15"/>
    <col collapsed="false" customWidth="true" hidden="false" outlineLevel="0" max="263" min="263" style="81" width="16.71"/>
    <col collapsed="false" customWidth="true" hidden="false" outlineLevel="0" max="264" min="264" style="81" width="13.15"/>
    <col collapsed="false" customWidth="true" hidden="false" outlineLevel="0" max="266" min="265" style="81" width="12.57"/>
    <col collapsed="false" customWidth="true" hidden="false" outlineLevel="0" max="513" min="267" style="81" width="9.14"/>
    <col collapsed="false" customWidth="true" hidden="false" outlineLevel="0" max="514" min="514" style="81" width="10.57"/>
    <col collapsed="false" customWidth="true" hidden="false" outlineLevel="0" max="515" min="515" style="81" width="27.71"/>
    <col collapsed="false" customWidth="true" hidden="false" outlineLevel="0" max="516" min="516" style="81" width="14.42"/>
    <col collapsed="false" customWidth="true" hidden="false" outlineLevel="0" max="518" min="517" style="81" width="15"/>
    <col collapsed="false" customWidth="true" hidden="false" outlineLevel="0" max="519" min="519" style="81" width="16.71"/>
    <col collapsed="false" customWidth="true" hidden="false" outlineLevel="0" max="520" min="520" style="81" width="13.15"/>
    <col collapsed="false" customWidth="true" hidden="false" outlineLevel="0" max="522" min="521" style="81" width="12.57"/>
    <col collapsed="false" customWidth="true" hidden="false" outlineLevel="0" max="769" min="523" style="81" width="9.14"/>
    <col collapsed="false" customWidth="true" hidden="false" outlineLevel="0" max="770" min="770" style="81" width="10.57"/>
    <col collapsed="false" customWidth="true" hidden="false" outlineLevel="0" max="771" min="771" style="81" width="27.71"/>
    <col collapsed="false" customWidth="true" hidden="false" outlineLevel="0" max="772" min="772" style="81" width="14.42"/>
    <col collapsed="false" customWidth="true" hidden="false" outlineLevel="0" max="774" min="773" style="81" width="15"/>
    <col collapsed="false" customWidth="true" hidden="false" outlineLevel="0" max="775" min="775" style="81" width="16.71"/>
    <col collapsed="false" customWidth="true" hidden="false" outlineLevel="0" max="776" min="776" style="81" width="13.15"/>
    <col collapsed="false" customWidth="true" hidden="false" outlineLevel="0" max="778" min="777" style="81" width="12.57"/>
    <col collapsed="false" customWidth="true" hidden="false" outlineLevel="0" max="1025" min="779" style="81" width="9.14"/>
  </cols>
  <sheetData>
    <row r="1" customFormat="false" ht="15" hidden="false" customHeight="false" outlineLevel="0" collapsed="false">
      <c r="A1" s="407"/>
      <c r="B1" s="118" t="str">
        <f aca="false">INSTRUÇÕES!B1</f>
        <v>Tribunal Regional Federal da 6ª Região</v>
      </c>
      <c r="C1" s="408"/>
      <c r="D1" s="408"/>
      <c r="E1" s="408"/>
      <c r="F1" s="409"/>
      <c r="G1" s="410"/>
      <c r="H1" s="410"/>
      <c r="I1" s="409"/>
      <c r="J1" s="411"/>
    </row>
    <row r="2" customFormat="false" ht="15" hidden="false" customHeight="false" outlineLevel="0" collapsed="false">
      <c r="A2" s="412"/>
      <c r="B2" s="120" t="str">
        <f aca="false">INSTRUÇÕES!B2</f>
        <v>Seção Judiciária de Minas Gerais</v>
      </c>
      <c r="C2" s="70"/>
      <c r="D2" s="70"/>
      <c r="E2" s="70"/>
      <c r="F2" s="413"/>
      <c r="I2" s="413"/>
      <c r="J2" s="414"/>
    </row>
    <row r="3" customFormat="false" ht="15" hidden="false" customHeight="false" outlineLevel="0" collapsed="false">
      <c r="A3" s="201"/>
      <c r="B3" s="415" t="str">
        <f aca="false">INSTRUÇÕES!B3</f>
        <v>Subseção Judiciária de Passos</v>
      </c>
      <c r="C3" s="70"/>
      <c r="D3" s="70"/>
      <c r="E3" s="70"/>
      <c r="F3" s="413"/>
      <c r="I3" s="413"/>
      <c r="J3" s="414"/>
    </row>
    <row r="4" customFormat="false" ht="19.5" hidden="false" customHeight="true" outlineLevel="0" collapsed="false">
      <c r="A4" s="416" t="s">
        <v>526</v>
      </c>
      <c r="B4" s="416"/>
      <c r="C4" s="416"/>
      <c r="D4" s="416"/>
      <c r="E4" s="416"/>
      <c r="F4" s="416"/>
      <c r="G4" s="416"/>
      <c r="H4" s="416"/>
      <c r="I4" s="416"/>
      <c r="J4" s="416"/>
    </row>
    <row r="5" customFormat="false" ht="19.5" hidden="false" customHeight="true" outlineLevel="0" collapsed="false">
      <c r="A5" s="417" t="s">
        <v>294</v>
      </c>
      <c r="B5" s="417"/>
      <c r="C5" s="417"/>
      <c r="D5" s="417"/>
      <c r="E5" s="417"/>
      <c r="F5" s="417"/>
      <c r="G5" s="417"/>
      <c r="H5" s="417"/>
      <c r="I5" s="417"/>
      <c r="J5" s="417"/>
    </row>
    <row r="6" customFormat="false" ht="36" hidden="false" customHeight="true" outlineLevel="0" collapsed="false">
      <c r="A6" s="418" t="str">
        <f aca="false">Dados!A4</f>
        <v>Sindicato utilizado - SINSERHT x SINTAPPI. Vigência: 2024/2025. Sendo a data base da categoria 01° de Abril. Com número de registro no MTE MG002103/2024.</v>
      </c>
      <c r="B6" s="418"/>
      <c r="C6" s="418"/>
      <c r="D6" s="418"/>
      <c r="E6" s="418"/>
      <c r="F6" s="418"/>
      <c r="G6" s="418"/>
      <c r="H6" s="418"/>
      <c r="I6" s="418"/>
      <c r="J6" s="418"/>
    </row>
    <row r="7" customFormat="false" ht="19.5" hidden="false" customHeight="true" outlineLevel="0" collapsed="false">
      <c r="A7" s="419" t="str">
        <f aca="false">Dados!C8</f>
        <v>Servente de Limpeza  ac. Copeira</v>
      </c>
      <c r="B7" s="419"/>
      <c r="C7" s="419"/>
      <c r="D7" s="419"/>
      <c r="E7" s="419"/>
      <c r="F7" s="420" t="s">
        <v>527</v>
      </c>
      <c r="G7" s="420" t="s">
        <v>528</v>
      </c>
      <c r="H7" s="420" t="s">
        <v>529</v>
      </c>
      <c r="I7" s="420" t="s">
        <v>530</v>
      </c>
      <c r="J7" s="420" t="s">
        <v>531</v>
      </c>
    </row>
    <row r="8" customFormat="false" ht="19.5" hidden="false" customHeight="true" outlineLevel="0" collapsed="false">
      <c r="A8" s="421" t="s">
        <v>532</v>
      </c>
      <c r="B8" s="421"/>
      <c r="C8" s="421"/>
      <c r="D8" s="421"/>
      <c r="E8" s="422" t="s">
        <v>470</v>
      </c>
      <c r="F8" s="420"/>
      <c r="G8" s="420"/>
      <c r="H8" s="420"/>
      <c r="I8" s="420"/>
      <c r="J8" s="420"/>
    </row>
    <row r="9" customFormat="false" ht="19.5" hidden="false" customHeight="true" outlineLevel="0" collapsed="false">
      <c r="A9" s="423" t="s">
        <v>533</v>
      </c>
      <c r="B9" s="423"/>
      <c r="C9" s="423"/>
      <c r="D9" s="423"/>
      <c r="E9" s="423"/>
      <c r="F9" s="423"/>
      <c r="G9" s="423"/>
      <c r="H9" s="423"/>
      <c r="I9" s="423"/>
      <c r="J9" s="423"/>
    </row>
    <row r="10" customFormat="false" ht="24" hidden="false" customHeight="true" outlineLevel="0" collapsed="false">
      <c r="A10" s="210" t="s">
        <v>471</v>
      </c>
      <c r="B10" s="424" t="s">
        <v>534</v>
      </c>
      <c r="C10" s="424"/>
      <c r="D10" s="425" t="s">
        <v>535</v>
      </c>
      <c r="E10" s="426" t="s">
        <v>536</v>
      </c>
      <c r="F10" s="427" t="s">
        <v>474</v>
      </c>
      <c r="G10" s="427"/>
      <c r="H10" s="427"/>
      <c r="I10" s="427"/>
      <c r="J10" s="427"/>
    </row>
    <row r="11" customFormat="false" ht="19.5" hidden="false" customHeight="true" outlineLevel="0" collapsed="false">
      <c r="A11" s="428" t="n">
        <v>1</v>
      </c>
      <c r="B11" s="326" t="str">
        <f aca="false">A7</f>
        <v>Servente de Limpeza  ac. Copeira</v>
      </c>
      <c r="C11" s="326"/>
      <c r="D11" s="38" t="n">
        <f aca="false">Dados!D8</f>
        <v>200</v>
      </c>
      <c r="E11" s="430" t="n">
        <f aca="false">Dados!E8</f>
        <v>1526.8</v>
      </c>
      <c r="F11" s="431" t="n">
        <f aca="false">ROUND(E11/220*D11,2)</f>
        <v>1388</v>
      </c>
      <c r="G11" s="431" t="n">
        <f aca="false">F11</f>
        <v>1388</v>
      </c>
      <c r="H11" s="431"/>
      <c r="I11" s="431"/>
      <c r="J11" s="432"/>
    </row>
    <row r="12" customFormat="false" ht="19.5" hidden="false" customHeight="true" outlineLevel="0" collapsed="false">
      <c r="A12" s="428"/>
      <c r="B12" s="326" t="s">
        <v>537</v>
      </c>
      <c r="C12" s="326"/>
      <c r="D12" s="486" t="n">
        <f aca="false">Dados!G8</f>
        <v>0</v>
      </c>
      <c r="E12" s="430" t="n">
        <f aca="false">Dados!G27</f>
        <v>1412</v>
      </c>
      <c r="F12" s="431" t="n">
        <f aca="false">D12*E12</f>
        <v>0</v>
      </c>
      <c r="G12" s="431" t="n">
        <f aca="false">F12</f>
        <v>0</v>
      </c>
      <c r="H12" s="431"/>
      <c r="I12" s="431"/>
      <c r="J12" s="432" t="n">
        <f aca="false">F12</f>
        <v>0</v>
      </c>
    </row>
    <row r="13" customFormat="false" ht="21" hidden="false" customHeight="true" outlineLevel="0" collapsed="false">
      <c r="A13" s="428"/>
      <c r="B13" s="434" t="s">
        <v>538</v>
      </c>
      <c r="C13" s="435" t="n">
        <f aca="false">Dados!I8</f>
        <v>0.12</v>
      </c>
      <c r="D13" s="435" t="n">
        <f aca="false">Dados!J8</f>
        <v>0.25</v>
      </c>
      <c r="E13" s="436" t="n">
        <f aca="false">Dados!K8</f>
        <v>1388</v>
      </c>
      <c r="F13" s="437" t="n">
        <f aca="false">ROUND((E13*D13*C13),2)</f>
        <v>41.64</v>
      </c>
      <c r="G13" s="437" t="n">
        <f aca="false">F13</f>
        <v>41.64</v>
      </c>
      <c r="H13" s="437"/>
      <c r="I13" s="437"/>
      <c r="J13" s="438"/>
    </row>
    <row r="14" customFormat="false" ht="19.5" hidden="false" customHeight="true" outlineLevel="0" collapsed="false">
      <c r="A14" s="428"/>
      <c r="B14" s="327" t="s">
        <v>539</v>
      </c>
      <c r="C14" s="327"/>
      <c r="D14" s="327"/>
      <c r="E14" s="327"/>
      <c r="F14" s="439" t="n">
        <f aca="false">SUM(F11:F13)</f>
        <v>1429.64</v>
      </c>
      <c r="G14" s="439" t="n">
        <f aca="false">SUM(G11:G13)</f>
        <v>1429.64</v>
      </c>
      <c r="H14" s="439" t="n">
        <f aca="false">SUM(H11:H13)</f>
        <v>0</v>
      </c>
      <c r="I14" s="439" t="n">
        <f aca="false">SUM(I11:I13)</f>
        <v>0</v>
      </c>
      <c r="J14" s="440" t="n">
        <f aca="false">SUM(J11:J13)</f>
        <v>0</v>
      </c>
    </row>
    <row r="15" customFormat="false" ht="19.5" hidden="false" customHeight="true" outlineLevel="0" collapsed="false">
      <c r="A15" s="428"/>
      <c r="B15" s="441" t="s">
        <v>540</v>
      </c>
      <c r="C15" s="441"/>
      <c r="D15" s="441"/>
      <c r="E15" s="442" t="n">
        <f aca="false">Encargos!$C$57</f>
        <v>0.7905</v>
      </c>
      <c r="F15" s="431" t="n">
        <f aca="false">ROUND((E15*F14),2)</f>
        <v>1130.13</v>
      </c>
      <c r="G15" s="431" t="n">
        <f aca="false">F15</f>
        <v>1130.13</v>
      </c>
      <c r="H15" s="431"/>
      <c r="I15" s="431"/>
      <c r="J15" s="432" t="n">
        <f aca="false">ROUND((E15*J14),2)</f>
        <v>0</v>
      </c>
    </row>
    <row r="16" customFormat="false" ht="19.5" hidden="false" customHeight="true" outlineLevel="0" collapsed="false">
      <c r="A16" s="443" t="s">
        <v>541</v>
      </c>
      <c r="B16" s="443"/>
      <c r="C16" s="443"/>
      <c r="D16" s="443"/>
      <c r="E16" s="443"/>
      <c r="F16" s="444" t="n">
        <f aca="false">SUM(F14:F15)</f>
        <v>2559.77</v>
      </c>
      <c r="G16" s="444" t="n">
        <f aca="false">SUM(G14:G15)</f>
        <v>2559.77</v>
      </c>
      <c r="H16" s="444" t="n">
        <f aca="false">SUM(H14:H15)</f>
        <v>0</v>
      </c>
      <c r="I16" s="444" t="n">
        <f aca="false">SUM(I14:I15)</f>
        <v>0</v>
      </c>
      <c r="J16" s="445" t="n">
        <f aca="false">SUM(J14:J15)</f>
        <v>0</v>
      </c>
    </row>
    <row r="17" customFormat="false" ht="19.5" hidden="false" customHeight="true" outlineLevel="0" collapsed="false">
      <c r="A17" s="446" t="s">
        <v>542</v>
      </c>
      <c r="B17" s="446"/>
      <c r="C17" s="446"/>
      <c r="D17" s="446"/>
      <c r="E17" s="446"/>
      <c r="F17" s="446"/>
      <c r="G17" s="446"/>
      <c r="H17" s="446"/>
      <c r="I17" s="446"/>
      <c r="J17" s="446"/>
    </row>
    <row r="18" customFormat="false" ht="19.5" hidden="false" customHeight="true" outlineLevel="0" collapsed="false">
      <c r="A18" s="275" t="s">
        <v>543</v>
      </c>
      <c r="B18" s="275"/>
      <c r="C18" s="49" t="s">
        <v>473</v>
      </c>
      <c r="D18" s="447" t="s">
        <v>563</v>
      </c>
      <c r="E18" s="447"/>
      <c r="F18" s="432" t="s">
        <v>474</v>
      </c>
      <c r="G18" s="432"/>
      <c r="H18" s="432"/>
      <c r="I18" s="432"/>
      <c r="J18" s="432"/>
    </row>
    <row r="19" customFormat="false" ht="19.5" hidden="false" customHeight="true" outlineLevel="0" collapsed="false">
      <c r="A19" s="448" t="s">
        <v>545</v>
      </c>
      <c r="B19" s="448"/>
      <c r="C19" s="282"/>
      <c r="D19" s="282"/>
      <c r="E19" s="282"/>
      <c r="F19" s="431" t="n">
        <f aca="false">Dados!$N$8</f>
        <v>44.93</v>
      </c>
      <c r="G19" s="431" t="n">
        <f aca="false">F19</f>
        <v>44.93</v>
      </c>
      <c r="H19" s="431"/>
      <c r="I19" s="431"/>
      <c r="J19" s="432"/>
    </row>
    <row r="20" customFormat="false" ht="19.5" hidden="false" customHeight="true" outlineLevel="0" collapsed="false">
      <c r="A20" s="448" t="s">
        <v>546</v>
      </c>
      <c r="B20" s="448"/>
      <c r="C20" s="282"/>
      <c r="D20" s="282"/>
      <c r="E20" s="282"/>
      <c r="F20" s="431" t="n">
        <f aca="false">Dados!$G$30</f>
        <v>7.2</v>
      </c>
      <c r="G20" s="431" t="n">
        <f aca="false">F20</f>
        <v>7.2</v>
      </c>
      <c r="H20" s="431"/>
      <c r="I20" s="431"/>
      <c r="J20" s="432"/>
    </row>
    <row r="21" customFormat="false" ht="23.25" hidden="false" customHeight="true" outlineLevel="0" collapsed="false">
      <c r="A21" s="449" t="s">
        <v>224</v>
      </c>
      <c r="B21" s="449"/>
      <c r="C21" s="282"/>
      <c r="D21" s="282"/>
      <c r="E21" s="282"/>
      <c r="F21" s="431" t="n">
        <f aca="false">Dados!G31</f>
        <v>0</v>
      </c>
      <c r="G21" s="431" t="n">
        <f aca="false">F21</f>
        <v>0</v>
      </c>
      <c r="H21" s="431"/>
      <c r="I21" s="431"/>
      <c r="J21" s="432"/>
    </row>
    <row r="22" customFormat="false" ht="19.5" hidden="false" customHeight="true" outlineLevel="0" collapsed="false">
      <c r="A22" s="448" t="s">
        <v>225</v>
      </c>
      <c r="B22" s="448"/>
      <c r="C22" s="450" t="n">
        <f aca="false">Dados!$G$34</f>
        <v>22</v>
      </c>
      <c r="D22" s="450" t="n">
        <f aca="false">Dados!$G$33</f>
        <v>2</v>
      </c>
      <c r="E22" s="282" t="n">
        <f aca="false">Dados!$G$32</f>
        <v>3.9</v>
      </c>
      <c r="F22" s="431" t="n">
        <f aca="false">IF(ROUND((E22*D22*C22)-(F11*Dados!$G$35),2)&lt;0,0,ROUND((E22*D22*C22)-(F11*Dados!$G$35),2))</f>
        <v>88.32</v>
      </c>
      <c r="G22" s="431" t="n">
        <f aca="false">F22</f>
        <v>88.32</v>
      </c>
      <c r="H22" s="431"/>
      <c r="I22" s="431" t="n">
        <f aca="false">F22</f>
        <v>88.32</v>
      </c>
      <c r="J22" s="432"/>
    </row>
    <row r="23" customFormat="false" ht="19.5" hidden="false" customHeight="true" outlineLevel="0" collapsed="false">
      <c r="A23" s="448" t="s">
        <v>234</v>
      </c>
      <c r="B23" s="448"/>
      <c r="C23" s="450" t="n">
        <f aca="false">Dados!G37</f>
        <v>22</v>
      </c>
      <c r="D23" s="451" t="n">
        <f aca="false">Dados!G38</f>
        <v>0.2</v>
      </c>
      <c r="E23" s="282" t="n">
        <f aca="false">Dados!$G$36</f>
        <v>27</v>
      </c>
      <c r="F23" s="320" t="n">
        <f aca="false">ROUND((IF(D11&gt;150,((C23*E23)-(C23*(D23*E23))),0)),2)</f>
        <v>475.2</v>
      </c>
      <c r="G23" s="431" t="n">
        <f aca="false">F23</f>
        <v>475.2</v>
      </c>
      <c r="H23" s="431" t="n">
        <f aca="false">$F$23</f>
        <v>475.2</v>
      </c>
      <c r="I23" s="320"/>
      <c r="J23" s="432"/>
    </row>
    <row r="24" customFormat="false" ht="19.5" hidden="false" customHeight="true" outlineLevel="0" collapsed="false">
      <c r="A24" s="448" t="s">
        <v>184</v>
      </c>
      <c r="B24" s="448"/>
      <c r="C24" s="450"/>
      <c r="D24" s="450"/>
      <c r="E24" s="282"/>
      <c r="F24" s="320" t="n">
        <f aca="false">Dados!Q8</f>
        <v>4.17</v>
      </c>
      <c r="G24" s="431" t="n">
        <f aca="false">F24</f>
        <v>4.17</v>
      </c>
      <c r="H24" s="431"/>
      <c r="I24" s="320"/>
      <c r="J24" s="432"/>
    </row>
    <row r="25" customFormat="false" ht="19.5" hidden="false" customHeight="true" outlineLevel="0" collapsed="false">
      <c r="A25" s="448" t="s">
        <v>237</v>
      </c>
      <c r="B25" s="448"/>
      <c r="C25" s="450"/>
      <c r="D25" s="450"/>
      <c r="E25" s="282"/>
      <c r="F25" s="320" t="n">
        <f aca="false">Dados!$G$40</f>
        <v>0</v>
      </c>
      <c r="G25" s="431"/>
      <c r="H25" s="431"/>
      <c r="I25" s="320"/>
      <c r="J25" s="432"/>
    </row>
    <row r="26" customFormat="false" ht="19.5" hidden="false" customHeight="true" outlineLevel="0" collapsed="false">
      <c r="A26" s="448" t="s">
        <v>547</v>
      </c>
      <c r="B26" s="448"/>
      <c r="C26" s="450"/>
      <c r="D26" s="282"/>
      <c r="E26" s="282"/>
      <c r="F26" s="431" t="n">
        <f aca="false">Dados!$O$8</f>
        <v>371.86</v>
      </c>
      <c r="G26" s="431"/>
      <c r="H26" s="431"/>
      <c r="I26" s="431"/>
      <c r="J26" s="432"/>
      <c r="L26" s="70"/>
    </row>
    <row r="27" customFormat="false" ht="19.5" hidden="false" customHeight="true" outlineLevel="0" collapsed="false">
      <c r="A27" s="448" t="s">
        <v>548</v>
      </c>
      <c r="B27" s="452"/>
      <c r="C27" s="450"/>
      <c r="D27" s="282"/>
      <c r="E27" s="282"/>
      <c r="F27" s="431" t="n">
        <f aca="false">Dados!P8</f>
        <v>86.1133333333333</v>
      </c>
      <c r="G27" s="431"/>
      <c r="H27" s="431"/>
      <c r="I27" s="431"/>
      <c r="J27" s="432"/>
    </row>
    <row r="28" customFormat="false" ht="19.5" hidden="false" customHeight="true" outlineLevel="0" collapsed="false">
      <c r="A28" s="453" t="s">
        <v>549</v>
      </c>
      <c r="B28" s="453"/>
      <c r="C28" s="454"/>
      <c r="D28" s="455"/>
      <c r="E28" s="455"/>
      <c r="F28" s="437" t="n">
        <f aca="false">Dados!$R$8</f>
        <v>7.125</v>
      </c>
      <c r="G28" s="437" t="n">
        <f aca="false">F28</f>
        <v>7.125</v>
      </c>
      <c r="H28" s="437"/>
      <c r="I28" s="437"/>
      <c r="J28" s="438"/>
    </row>
    <row r="29" customFormat="false" ht="19.5" hidden="false" customHeight="true" outlineLevel="0" collapsed="false">
      <c r="A29" s="456" t="s">
        <v>550</v>
      </c>
      <c r="B29" s="456"/>
      <c r="C29" s="456"/>
      <c r="D29" s="456"/>
      <c r="E29" s="456"/>
      <c r="F29" s="444" t="n">
        <f aca="false">SUM(F19:F28)</f>
        <v>1084.91833333333</v>
      </c>
      <c r="G29" s="444" t="n">
        <f aca="false">SUM(G19:G28)</f>
        <v>626.945</v>
      </c>
      <c r="H29" s="444" t="n">
        <f aca="false">SUM(H19:H28)</f>
        <v>475.2</v>
      </c>
      <c r="I29" s="444" t="n">
        <f aca="false">SUM(I19:I28)</f>
        <v>88.32</v>
      </c>
      <c r="J29" s="445" t="n">
        <f aca="false">SUM(J19:J28)</f>
        <v>0</v>
      </c>
    </row>
    <row r="30" customFormat="false" ht="19.5" hidden="false" customHeight="true" outlineLevel="0" collapsed="false">
      <c r="A30" s="456" t="s">
        <v>551</v>
      </c>
      <c r="B30" s="456"/>
      <c r="C30" s="456"/>
      <c r="D30" s="456"/>
      <c r="E30" s="456"/>
      <c r="F30" s="444" t="n">
        <f aca="false">F16+F29</f>
        <v>3644.68833333333</v>
      </c>
      <c r="G30" s="444" t="n">
        <f aca="false">G16+G29</f>
        <v>3186.715</v>
      </c>
      <c r="H30" s="444" t="n">
        <f aca="false">H16+H29</f>
        <v>475.2</v>
      </c>
      <c r="I30" s="444" t="n">
        <f aca="false">I16+I29</f>
        <v>88.32</v>
      </c>
      <c r="J30" s="445" t="n">
        <f aca="false">J16+J29</f>
        <v>0</v>
      </c>
    </row>
    <row r="31" customFormat="false" ht="19.5" hidden="false" customHeight="true" outlineLevel="0" collapsed="false">
      <c r="A31" s="423" t="s">
        <v>552</v>
      </c>
      <c r="B31" s="423"/>
      <c r="C31" s="423"/>
      <c r="D31" s="423"/>
      <c r="E31" s="423"/>
      <c r="F31" s="423"/>
      <c r="G31" s="423"/>
      <c r="H31" s="423"/>
      <c r="I31" s="423"/>
      <c r="J31" s="423"/>
    </row>
    <row r="32" customFormat="false" ht="19.5" hidden="false" customHeight="true" outlineLevel="0" collapsed="false">
      <c r="A32" s="275" t="s">
        <v>553</v>
      </c>
      <c r="B32" s="275"/>
      <c r="C32" s="275"/>
      <c r="D32" s="285" t="s">
        <v>554</v>
      </c>
      <c r="E32" s="457" t="s">
        <v>474</v>
      </c>
      <c r="F32" s="457"/>
      <c r="G32" s="457"/>
      <c r="H32" s="457"/>
      <c r="I32" s="457"/>
      <c r="J32" s="457"/>
    </row>
    <row r="33" customFormat="false" ht="19.5" hidden="false" customHeight="true" outlineLevel="0" collapsed="false">
      <c r="A33" s="458" t="s">
        <v>555</v>
      </c>
      <c r="B33" s="459"/>
      <c r="C33" s="459"/>
      <c r="D33" s="433" t="n">
        <f aca="false">Dados!$G$43</f>
        <v>0.03</v>
      </c>
      <c r="E33" s="460"/>
      <c r="F33" s="431" t="n">
        <f aca="false">ROUND((F30*$D$33),2)</f>
        <v>109.34</v>
      </c>
      <c r="G33" s="431" t="n">
        <f aca="false">ROUND((G30*$D$33),2)</f>
        <v>95.6</v>
      </c>
      <c r="H33" s="431" t="n">
        <f aca="false">ROUND((H30*$D$33),2)</f>
        <v>14.26</v>
      </c>
      <c r="I33" s="431" t="n">
        <f aca="false">ROUND((I30*$D$33),2)</f>
        <v>2.65</v>
      </c>
      <c r="J33" s="432" t="n">
        <f aca="false">ROUND((J30*$D$33),2)</f>
        <v>0</v>
      </c>
    </row>
    <row r="34" customFormat="false" ht="19.5" hidden="false" customHeight="true" outlineLevel="0" collapsed="false">
      <c r="A34" s="461" t="s">
        <v>556</v>
      </c>
      <c r="B34" s="461"/>
      <c r="C34" s="461"/>
      <c r="D34" s="433"/>
      <c r="E34" s="460"/>
      <c r="F34" s="431" t="n">
        <f aca="false">F30+F33</f>
        <v>3754.02833333333</v>
      </c>
      <c r="G34" s="431" t="n">
        <f aca="false">G30+G33</f>
        <v>3282.315</v>
      </c>
      <c r="H34" s="431" t="n">
        <f aca="false">H30+H33</f>
        <v>489.46</v>
      </c>
      <c r="I34" s="431" t="n">
        <f aca="false">I30+I33</f>
        <v>90.97</v>
      </c>
      <c r="J34" s="432" t="n">
        <f aca="false">J30+J33</f>
        <v>0</v>
      </c>
    </row>
    <row r="35" customFormat="false" ht="19.5" hidden="false" customHeight="true" outlineLevel="0" collapsed="false">
      <c r="A35" s="462" t="s">
        <v>242</v>
      </c>
      <c r="B35" s="463"/>
      <c r="C35" s="463"/>
      <c r="D35" s="435" t="n">
        <f aca="false">Dados!$G$44</f>
        <v>0.0679</v>
      </c>
      <c r="E35" s="464"/>
      <c r="F35" s="437" t="n">
        <f aca="false">ROUND((F34*$D$35),2)</f>
        <v>254.9</v>
      </c>
      <c r="G35" s="437" t="n">
        <f aca="false">ROUND((G34*$D$35),2)</f>
        <v>222.87</v>
      </c>
      <c r="H35" s="437" t="n">
        <f aca="false">ROUND((H34*$D$35),2)</f>
        <v>33.23</v>
      </c>
      <c r="I35" s="437" t="n">
        <f aca="false">ROUND((I34*$D$35),2)</f>
        <v>6.18</v>
      </c>
      <c r="J35" s="438" t="n">
        <f aca="false">ROUND((J34*$D$35),2)</f>
        <v>0</v>
      </c>
    </row>
    <row r="36" customFormat="false" ht="19.5" hidden="false" customHeight="true" outlineLevel="0" collapsed="false">
      <c r="A36" s="465" t="s">
        <v>557</v>
      </c>
      <c r="B36" s="466"/>
      <c r="C36" s="466"/>
      <c r="D36" s="467" t="n">
        <f aca="false">SUM(D33:D35)</f>
        <v>0.0979</v>
      </c>
      <c r="E36" s="468"/>
      <c r="F36" s="444" t="n">
        <f aca="false">F33+F35</f>
        <v>364.24</v>
      </c>
      <c r="G36" s="444" t="n">
        <f aca="false">G33+G35</f>
        <v>318.47</v>
      </c>
      <c r="H36" s="444" t="n">
        <f aca="false">H33+H35</f>
        <v>47.49</v>
      </c>
      <c r="I36" s="444" t="n">
        <f aca="false">I33+I35</f>
        <v>8.83</v>
      </c>
      <c r="J36" s="445" t="n">
        <f aca="false">J33+J35</f>
        <v>0</v>
      </c>
    </row>
    <row r="37" customFormat="false" ht="19.5" hidden="false" customHeight="true" outlineLevel="0" collapsed="false">
      <c r="A37" s="469" t="s">
        <v>558</v>
      </c>
      <c r="B37" s="469"/>
      <c r="C37" s="469"/>
      <c r="D37" s="469"/>
      <c r="E37" s="469"/>
      <c r="F37" s="470" t="n">
        <f aca="false">F30+F36</f>
        <v>4008.92833333333</v>
      </c>
      <c r="G37" s="470" t="n">
        <f aca="false">G30+G36</f>
        <v>3505.185</v>
      </c>
      <c r="H37" s="470" t="n">
        <f aca="false">H30+H36</f>
        <v>522.69</v>
      </c>
      <c r="I37" s="470" t="n">
        <f aca="false">I30+I36</f>
        <v>97.15</v>
      </c>
      <c r="J37" s="471" t="n">
        <f aca="false">J30+J36</f>
        <v>0</v>
      </c>
    </row>
    <row r="38" customFormat="false" ht="19.5" hidden="false" customHeight="true" outlineLevel="0" collapsed="false">
      <c r="A38" s="472" t="s">
        <v>559</v>
      </c>
      <c r="B38" s="472"/>
      <c r="C38" s="472"/>
      <c r="D38" s="472"/>
      <c r="E38" s="472"/>
      <c r="F38" s="472"/>
      <c r="G38" s="472"/>
      <c r="H38" s="472"/>
      <c r="I38" s="472"/>
      <c r="J38" s="472"/>
    </row>
    <row r="39" customFormat="false" ht="19.5" hidden="false" customHeight="true" outlineLevel="0" collapsed="false">
      <c r="A39" s="448" t="s">
        <v>248</v>
      </c>
      <c r="B39" s="448"/>
      <c r="C39" s="448"/>
      <c r="D39" s="433" t="n">
        <f aca="false">Dados!G51</f>
        <v>0.076</v>
      </c>
      <c r="E39" s="431"/>
      <c r="F39" s="431" t="n">
        <f aca="false">ROUND(($F$45*D39),2)</f>
        <v>347.21</v>
      </c>
      <c r="G39" s="431" t="n">
        <f aca="false">ROUND((G45*$D$39),2)</f>
        <v>303.58</v>
      </c>
      <c r="H39" s="431" t="n">
        <f aca="false">ROUND((H45*$D$39),2)</f>
        <v>45.27</v>
      </c>
      <c r="I39" s="431" t="n">
        <f aca="false">ROUND((I45*$D$39),2)</f>
        <v>8.41</v>
      </c>
      <c r="J39" s="432" t="n">
        <f aca="false">ROUND((J45*$D$39),2)</f>
        <v>0</v>
      </c>
    </row>
    <row r="40" customFormat="false" ht="19.5" hidden="false" customHeight="true" outlineLevel="0" collapsed="false">
      <c r="A40" s="448" t="s">
        <v>250</v>
      </c>
      <c r="B40" s="448"/>
      <c r="C40" s="448"/>
      <c r="D40" s="433" t="n">
        <f aca="false">Dados!G52</f>
        <v>0.0165</v>
      </c>
      <c r="E40" s="431"/>
      <c r="F40" s="431" t="n">
        <f aca="false">ROUND((F45*$D$40),2)</f>
        <v>75.38</v>
      </c>
      <c r="G40" s="431" t="n">
        <f aca="false">ROUND((G45*$D$40),2)</f>
        <v>65.91</v>
      </c>
      <c r="H40" s="431" t="n">
        <f aca="false">ROUND((H45*$D$40),2)</f>
        <v>9.83</v>
      </c>
      <c r="I40" s="431" t="n">
        <f aca="false">ROUND((I45*$D$40),2)</f>
        <v>1.83</v>
      </c>
      <c r="J40" s="432" t="n">
        <f aca="false">ROUND((J45*$D$40),2)</f>
        <v>0</v>
      </c>
    </row>
    <row r="41" customFormat="false" ht="19.5" hidden="false" customHeight="true" outlineLevel="0" collapsed="false">
      <c r="A41" s="448" t="s">
        <v>251</v>
      </c>
      <c r="B41" s="448"/>
      <c r="C41" s="448"/>
      <c r="D41" s="433" t="n">
        <f aca="false">Dados!G53</f>
        <v>0.03</v>
      </c>
      <c r="E41" s="431"/>
      <c r="F41" s="431" t="n">
        <f aca="false">ROUND((F45*$D$41),2)</f>
        <v>137.06</v>
      </c>
      <c r="G41" s="431" t="n">
        <f aca="false">ROUND((G45*$D$41),2)</f>
        <v>119.84</v>
      </c>
      <c r="H41" s="431" t="n">
        <f aca="false">ROUND((H45*$D$41),2)</f>
        <v>17.87</v>
      </c>
      <c r="I41" s="431" t="n">
        <f aca="false">ROUND((I45*$D$41),2)</f>
        <v>3.32</v>
      </c>
      <c r="J41" s="432" t="n">
        <f aca="false">ROUND((J45*$D$41),2)</f>
        <v>0</v>
      </c>
    </row>
    <row r="42" customFormat="false" ht="19.5" hidden="false" customHeight="true" outlineLevel="0" collapsed="false">
      <c r="A42" s="448" t="s">
        <v>237</v>
      </c>
      <c r="B42" s="448"/>
      <c r="C42" s="448"/>
      <c r="D42" s="433" t="n">
        <f aca="false">Dados!G54</f>
        <v>0</v>
      </c>
      <c r="E42" s="431"/>
      <c r="F42" s="431" t="n">
        <f aca="false">ROUND((F45*$D$42),2)</f>
        <v>0</v>
      </c>
      <c r="G42" s="431" t="n">
        <f aca="false">ROUND((G45*$D$42),2)</f>
        <v>0</v>
      </c>
      <c r="H42" s="431" t="n">
        <f aca="false">ROUND((H45*$D$42),2)</f>
        <v>0</v>
      </c>
      <c r="I42" s="431" t="n">
        <f aca="false">ROUND((I45*$D$42),2)</f>
        <v>0</v>
      </c>
      <c r="J42" s="432" t="n">
        <f aca="false">ROUND((J45*$D$42),2)</f>
        <v>0</v>
      </c>
    </row>
    <row r="43" customFormat="false" ht="19.5" hidden="false" customHeight="true" outlineLevel="0" collapsed="false">
      <c r="A43" s="473" t="s">
        <v>560</v>
      </c>
      <c r="B43" s="473"/>
      <c r="C43" s="473"/>
      <c r="D43" s="474" t="n">
        <f aca="false">SUM(D39:D42)</f>
        <v>0.1225</v>
      </c>
      <c r="E43" s="475"/>
      <c r="F43" s="476" t="n">
        <f aca="false">SUM(F39:F42)</f>
        <v>559.65</v>
      </c>
      <c r="G43" s="476" t="n">
        <f aca="false">SUM(G39:G42)</f>
        <v>489.33</v>
      </c>
      <c r="H43" s="476" t="n">
        <f aca="false">SUM(H39:H42)</f>
        <v>72.97</v>
      </c>
      <c r="I43" s="476" t="n">
        <f aca="false">SUM(I39:I42)</f>
        <v>13.56</v>
      </c>
      <c r="J43" s="477" t="n">
        <f aca="false">SUM(J39:J41)</f>
        <v>0</v>
      </c>
    </row>
    <row r="44" customFormat="false" ht="19.5" hidden="false" customHeight="true" outlineLevel="0" collapsed="false">
      <c r="A44" s="478" t="str">
        <f aca="false">CONCATENATE("Custo Mensal - ",A7)</f>
        <v>Custo Mensal - Servente de Limpeza  ac. Copeira</v>
      </c>
      <c r="B44" s="478"/>
      <c r="C44" s="478"/>
      <c r="D44" s="478"/>
      <c r="E44" s="478"/>
      <c r="F44" s="479" t="n">
        <f aca="false">ROUND(F37/(1-D43),2)</f>
        <v>4568.58</v>
      </c>
      <c r="G44" s="479" t="n">
        <f aca="false">ROUND(G37/(1-D43),2)</f>
        <v>3994.51</v>
      </c>
      <c r="H44" s="479" t="n">
        <f aca="false">ROUND(H37/(1-D43),2)</f>
        <v>595.66</v>
      </c>
      <c r="I44" s="479" t="n">
        <f aca="false">ROUND(I37/(1-D43),2)</f>
        <v>110.71</v>
      </c>
      <c r="J44" s="480" t="n">
        <f aca="false">ROUND(J37/(1-D43),2)</f>
        <v>0</v>
      </c>
    </row>
    <row r="45" customFormat="false" ht="19.5" hidden="false" customHeight="true" outlineLevel="0" collapsed="false">
      <c r="A45" s="478" t="str">
        <f aca="false">CONCATENATE("Valor do Custo Mensal - ",A7)</f>
        <v>Valor do Custo Mensal - Servente de Limpeza  ac. Copeira</v>
      </c>
      <c r="B45" s="478"/>
      <c r="C45" s="478"/>
      <c r="D45" s="478"/>
      <c r="E45" s="478"/>
      <c r="F45" s="479" t="n">
        <f aca="false">F44</f>
        <v>4568.58</v>
      </c>
      <c r="G45" s="479" t="n">
        <f aca="false">G44</f>
        <v>3994.51</v>
      </c>
      <c r="H45" s="479" t="n">
        <f aca="false">H44</f>
        <v>595.66</v>
      </c>
      <c r="I45" s="479" t="n">
        <f aca="false">I44</f>
        <v>110.71</v>
      </c>
      <c r="J45" s="480" t="n">
        <f aca="false">J44</f>
        <v>0</v>
      </c>
      <c r="K45" s="481"/>
      <c r="L45" s="481"/>
    </row>
    <row r="46" customFormat="false" ht="27.75" hidden="false" customHeight="true" outlineLevel="0" collapsed="false">
      <c r="A46" s="482" t="s">
        <v>561</v>
      </c>
      <c r="B46" s="482"/>
      <c r="C46" s="482"/>
      <c r="D46" s="482"/>
      <c r="E46" s="482"/>
      <c r="F46" s="483" t="n">
        <f aca="false">(F45/F14)</f>
        <v>3.19561567947176</v>
      </c>
      <c r="G46" s="483" t="n">
        <f aca="false">(G45/G14)</f>
        <v>2.79406703785568</v>
      </c>
      <c r="H46" s="484" t="s">
        <v>562</v>
      </c>
      <c r="I46" s="484"/>
      <c r="J46" s="485" t="n">
        <v>0</v>
      </c>
    </row>
    <row r="47" customFormat="false" ht="19.5" hidden="false" customHeight="true" outlineLevel="0" collapsed="false"/>
  </sheetData>
  <sheetProtection algorithmName="SHA-512" hashValue="t8gtLkGU8C6b/GFyz3novS6Nh2Yh/Yli6h883p03qVe74z7kQyX8KkmWn/XrcP4uMJ0LFckle6szglyKUasfLw==" saltValue="DKBQgNYPQB4Jg6SgSJjPHg==" spinCount="100000" sheet="true" objects="true" scenarios="true"/>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A42:C42"/>
    <mergeCell ref="A43:C43"/>
    <mergeCell ref="A44:E44"/>
    <mergeCell ref="A45:E45"/>
    <mergeCell ref="A46:E46"/>
    <mergeCell ref="H46:I46"/>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F10" activeCellId="0" sqref="F10"/>
    </sheetView>
  </sheetViews>
  <sheetFormatPr defaultColWidth="8.71484375" defaultRowHeight="15" zeroHeight="false" outlineLevelRow="0" outlineLevelCol="0"/>
  <cols>
    <col collapsed="false" customWidth="true" hidden="false" outlineLevel="0" max="1" min="1" style="81" width="10.57"/>
    <col collapsed="false" customWidth="true" hidden="false" outlineLevel="0" max="2" min="2" style="81" width="27.71"/>
    <col collapsed="false" customWidth="true" hidden="false" outlineLevel="0" max="3" min="3" style="81" width="14.42"/>
    <col collapsed="false" customWidth="true" hidden="false" outlineLevel="0" max="5" min="4" style="81" width="15"/>
    <col collapsed="false" customWidth="true" hidden="false" outlineLevel="0" max="6" min="6" style="406" width="16.71"/>
    <col collapsed="false" customWidth="true" hidden="false" outlineLevel="0" max="8" min="7" style="406" width="13.15"/>
    <col collapsed="false" customWidth="true" hidden="false" outlineLevel="0" max="10" min="9" style="406" width="12.57"/>
    <col collapsed="false" customWidth="true" hidden="false" outlineLevel="0" max="257" min="11" style="81" width="9.14"/>
    <col collapsed="false" customWidth="true" hidden="false" outlineLevel="0" max="258" min="258" style="81" width="10.57"/>
    <col collapsed="false" customWidth="true" hidden="false" outlineLevel="0" max="259" min="259" style="81" width="27.71"/>
    <col collapsed="false" customWidth="true" hidden="false" outlineLevel="0" max="260" min="260" style="81" width="14.42"/>
    <col collapsed="false" customWidth="true" hidden="false" outlineLevel="0" max="262" min="261" style="81" width="15"/>
    <col collapsed="false" customWidth="true" hidden="false" outlineLevel="0" max="263" min="263" style="81" width="16.71"/>
    <col collapsed="false" customWidth="true" hidden="false" outlineLevel="0" max="264" min="264" style="81" width="13.15"/>
    <col collapsed="false" customWidth="true" hidden="false" outlineLevel="0" max="266" min="265" style="81" width="12.57"/>
    <col collapsed="false" customWidth="true" hidden="false" outlineLevel="0" max="513" min="267" style="81" width="9.14"/>
    <col collapsed="false" customWidth="true" hidden="false" outlineLevel="0" max="514" min="514" style="81" width="10.57"/>
    <col collapsed="false" customWidth="true" hidden="false" outlineLevel="0" max="515" min="515" style="81" width="27.71"/>
    <col collapsed="false" customWidth="true" hidden="false" outlineLevel="0" max="516" min="516" style="81" width="14.42"/>
    <col collapsed="false" customWidth="true" hidden="false" outlineLevel="0" max="518" min="517" style="81" width="15"/>
    <col collapsed="false" customWidth="true" hidden="false" outlineLevel="0" max="519" min="519" style="81" width="16.71"/>
    <col collapsed="false" customWidth="true" hidden="false" outlineLevel="0" max="520" min="520" style="81" width="13.15"/>
    <col collapsed="false" customWidth="true" hidden="false" outlineLevel="0" max="522" min="521" style="81" width="12.57"/>
    <col collapsed="false" customWidth="true" hidden="false" outlineLevel="0" max="769" min="523" style="81" width="9.14"/>
    <col collapsed="false" customWidth="true" hidden="false" outlineLevel="0" max="770" min="770" style="81" width="10.57"/>
    <col collapsed="false" customWidth="true" hidden="false" outlineLevel="0" max="771" min="771" style="81" width="27.71"/>
    <col collapsed="false" customWidth="true" hidden="false" outlineLevel="0" max="772" min="772" style="81" width="14.42"/>
    <col collapsed="false" customWidth="true" hidden="false" outlineLevel="0" max="774" min="773" style="81" width="15"/>
    <col collapsed="false" customWidth="true" hidden="false" outlineLevel="0" max="775" min="775" style="81" width="16.71"/>
    <col collapsed="false" customWidth="true" hidden="false" outlineLevel="0" max="776" min="776" style="81" width="13.15"/>
    <col collapsed="false" customWidth="true" hidden="false" outlineLevel="0" max="778" min="777" style="81" width="12.57"/>
    <col collapsed="false" customWidth="true" hidden="false" outlineLevel="0" max="1025" min="779" style="81" width="9.14"/>
  </cols>
  <sheetData>
    <row r="1" customFormat="false" ht="15" hidden="false" customHeight="false" outlineLevel="0" collapsed="false">
      <c r="A1" s="407"/>
      <c r="B1" s="118" t="str">
        <f aca="false">INSTRUÇÕES!B1</f>
        <v>Tribunal Regional Federal da 6ª Região</v>
      </c>
      <c r="C1" s="408"/>
      <c r="D1" s="408"/>
      <c r="E1" s="408"/>
      <c r="F1" s="409"/>
      <c r="G1" s="410"/>
      <c r="H1" s="410"/>
      <c r="I1" s="409"/>
      <c r="J1" s="411"/>
    </row>
    <row r="2" customFormat="false" ht="15" hidden="false" customHeight="false" outlineLevel="0" collapsed="false">
      <c r="A2" s="412"/>
      <c r="B2" s="120" t="str">
        <f aca="false">INSTRUÇÕES!B2</f>
        <v>Seção Judiciária de Minas Gerais</v>
      </c>
      <c r="C2" s="70"/>
      <c r="D2" s="70"/>
      <c r="E2" s="70"/>
      <c r="F2" s="413"/>
      <c r="I2" s="413"/>
      <c r="J2" s="414"/>
    </row>
    <row r="3" customFormat="false" ht="15" hidden="false" customHeight="false" outlineLevel="0" collapsed="false">
      <c r="A3" s="201"/>
      <c r="B3" s="415" t="str">
        <f aca="false">INSTRUÇÕES!B3</f>
        <v>Subseção Judiciária de Passos</v>
      </c>
      <c r="C3" s="70"/>
      <c r="D3" s="70"/>
      <c r="E3" s="70"/>
      <c r="F3" s="413"/>
      <c r="I3" s="413"/>
      <c r="J3" s="414"/>
    </row>
    <row r="4" customFormat="false" ht="19.5" hidden="false" customHeight="true" outlineLevel="0" collapsed="false">
      <c r="A4" s="416" t="s">
        <v>526</v>
      </c>
      <c r="B4" s="416"/>
      <c r="C4" s="416"/>
      <c r="D4" s="416"/>
      <c r="E4" s="416"/>
      <c r="F4" s="416"/>
      <c r="G4" s="416"/>
      <c r="H4" s="416"/>
      <c r="I4" s="416"/>
      <c r="J4" s="416"/>
    </row>
    <row r="5" customFormat="false" ht="19.5" hidden="false" customHeight="true" outlineLevel="0" collapsed="false">
      <c r="A5" s="417" t="s">
        <v>294</v>
      </c>
      <c r="B5" s="417"/>
      <c r="C5" s="417"/>
      <c r="D5" s="417"/>
      <c r="E5" s="417"/>
      <c r="F5" s="417"/>
      <c r="G5" s="417"/>
      <c r="H5" s="417"/>
      <c r="I5" s="417"/>
      <c r="J5" s="417"/>
    </row>
    <row r="6" customFormat="false" ht="36" hidden="false" customHeight="true" outlineLevel="0" collapsed="false">
      <c r="A6" s="418" t="str">
        <f aca="false">Dados!A4</f>
        <v>Sindicato utilizado - SINSERHT x SINTAPPI. Vigência: 2024/2025. Sendo a data base da categoria 01° de Abril. Com número de registro no MTE MG002103/2024.</v>
      </c>
      <c r="B6" s="418"/>
      <c r="C6" s="418"/>
      <c r="D6" s="418"/>
      <c r="E6" s="418"/>
      <c r="F6" s="418"/>
      <c r="G6" s="418"/>
      <c r="H6" s="418"/>
      <c r="I6" s="418"/>
      <c r="J6" s="418"/>
    </row>
    <row r="7" customFormat="false" ht="19.5" hidden="false" customHeight="true" outlineLevel="0" collapsed="false">
      <c r="A7" s="419" t="str">
        <f aca="false">Dados!C9</f>
        <v>Auxiliar Administrativo</v>
      </c>
      <c r="B7" s="419"/>
      <c r="C7" s="419"/>
      <c r="D7" s="419"/>
      <c r="E7" s="419"/>
      <c r="F7" s="420" t="s">
        <v>527</v>
      </c>
      <c r="G7" s="420" t="s">
        <v>528</v>
      </c>
      <c r="H7" s="420" t="s">
        <v>529</v>
      </c>
      <c r="I7" s="420" t="s">
        <v>530</v>
      </c>
      <c r="J7" s="420" t="s">
        <v>531</v>
      </c>
    </row>
    <row r="8" customFormat="false" ht="19.5" hidden="false" customHeight="true" outlineLevel="0" collapsed="false">
      <c r="A8" s="421" t="s">
        <v>532</v>
      </c>
      <c r="B8" s="421"/>
      <c r="C8" s="421"/>
      <c r="D8" s="421"/>
      <c r="E8" s="422" t="s">
        <v>470</v>
      </c>
      <c r="F8" s="420"/>
      <c r="G8" s="420"/>
      <c r="H8" s="420"/>
      <c r="I8" s="420"/>
      <c r="J8" s="420"/>
    </row>
    <row r="9" customFormat="false" ht="19.5" hidden="false" customHeight="true" outlineLevel="0" collapsed="false">
      <c r="A9" s="423" t="s">
        <v>533</v>
      </c>
      <c r="B9" s="423"/>
      <c r="C9" s="423"/>
      <c r="D9" s="423"/>
      <c r="E9" s="423"/>
      <c r="F9" s="423"/>
      <c r="G9" s="423"/>
      <c r="H9" s="423"/>
      <c r="I9" s="423"/>
      <c r="J9" s="423"/>
    </row>
    <row r="10" customFormat="false" ht="24" hidden="false" customHeight="true" outlineLevel="0" collapsed="false">
      <c r="A10" s="210" t="s">
        <v>471</v>
      </c>
      <c r="B10" s="424" t="s">
        <v>534</v>
      </c>
      <c r="C10" s="424"/>
      <c r="D10" s="425" t="s">
        <v>535</v>
      </c>
      <c r="E10" s="426" t="s">
        <v>536</v>
      </c>
      <c r="F10" s="427" t="s">
        <v>474</v>
      </c>
      <c r="G10" s="427"/>
      <c r="H10" s="427"/>
      <c r="I10" s="427"/>
      <c r="J10" s="427"/>
    </row>
    <row r="11" customFormat="false" ht="19.5" hidden="false" customHeight="true" outlineLevel="0" collapsed="false">
      <c r="A11" s="428" t="n">
        <v>1</v>
      </c>
      <c r="B11" s="326" t="str">
        <f aca="false">A7</f>
        <v>Auxiliar Administrativo</v>
      </c>
      <c r="C11" s="326"/>
      <c r="D11" s="38" t="n">
        <f aca="false">Dados!$D$9</f>
        <v>150</v>
      </c>
      <c r="E11" s="430" t="n">
        <f aca="false">Dados!$E$9</f>
        <v>1914</v>
      </c>
      <c r="F11" s="431" t="n">
        <f aca="false">ROUND(E11/220*D11,2)</f>
        <v>1305</v>
      </c>
      <c r="G11" s="431" t="n">
        <f aca="false">F11</f>
        <v>1305</v>
      </c>
      <c r="H11" s="431"/>
      <c r="I11" s="431"/>
      <c r="J11" s="432"/>
    </row>
    <row r="12" customFormat="false" ht="19.5" hidden="false" customHeight="true" outlineLevel="0" collapsed="false">
      <c r="A12" s="428"/>
      <c r="B12" s="326" t="s">
        <v>537</v>
      </c>
      <c r="C12" s="326"/>
      <c r="D12" s="486" t="n">
        <f aca="false">Dados!G8</f>
        <v>0</v>
      </c>
      <c r="E12" s="430" t="n">
        <f aca="false">Dados!$G$27</f>
        <v>1412</v>
      </c>
      <c r="F12" s="431" t="n">
        <f aca="false">D12*E12</f>
        <v>0</v>
      </c>
      <c r="G12" s="431" t="n">
        <f aca="false">F12</f>
        <v>0</v>
      </c>
      <c r="H12" s="431"/>
      <c r="I12" s="431"/>
      <c r="J12" s="432" t="n">
        <f aca="false">F12</f>
        <v>0</v>
      </c>
    </row>
    <row r="13" customFormat="false" ht="30.75" hidden="false" customHeight="true" outlineLevel="0" collapsed="false">
      <c r="A13" s="428"/>
      <c r="B13" s="434" t="s">
        <v>538</v>
      </c>
      <c r="C13" s="435" t="n">
        <f aca="false">Dados!$I$9</f>
        <v>0</v>
      </c>
      <c r="D13" s="435" t="n">
        <f aca="false">Dados!$J$9</f>
        <v>0</v>
      </c>
      <c r="E13" s="436" t="n">
        <f aca="false">Dados!$K$9</f>
        <v>0</v>
      </c>
      <c r="F13" s="437" t="n">
        <f aca="false">ROUND((E13*D13*C13),2)</f>
        <v>0</v>
      </c>
      <c r="G13" s="437" t="n">
        <f aca="false">F13</f>
        <v>0</v>
      </c>
      <c r="H13" s="437"/>
      <c r="I13" s="437"/>
      <c r="J13" s="438"/>
    </row>
    <row r="14" customFormat="false" ht="19.5" hidden="false" customHeight="true" outlineLevel="0" collapsed="false">
      <c r="A14" s="428"/>
      <c r="B14" s="327" t="s">
        <v>539</v>
      </c>
      <c r="C14" s="327"/>
      <c r="D14" s="327"/>
      <c r="E14" s="327"/>
      <c r="F14" s="439" t="n">
        <f aca="false">SUM(F11:F13)</f>
        <v>1305</v>
      </c>
      <c r="G14" s="439" t="n">
        <f aca="false">SUM(G11:G13)</f>
        <v>1305</v>
      </c>
      <c r="H14" s="439" t="n">
        <f aca="false">SUM(H11:H13)</f>
        <v>0</v>
      </c>
      <c r="I14" s="439" t="n">
        <f aca="false">SUM(I11:I13)</f>
        <v>0</v>
      </c>
      <c r="J14" s="440" t="n">
        <f aca="false">SUM(J11:J13)</f>
        <v>0</v>
      </c>
    </row>
    <row r="15" customFormat="false" ht="19.5" hidden="false" customHeight="true" outlineLevel="0" collapsed="false">
      <c r="A15" s="428"/>
      <c r="B15" s="441" t="s">
        <v>540</v>
      </c>
      <c r="C15" s="441"/>
      <c r="D15" s="441"/>
      <c r="E15" s="442" t="n">
        <f aca="false">Encargos!$C$57</f>
        <v>0.7905</v>
      </c>
      <c r="F15" s="431" t="n">
        <f aca="false">ROUND((E15*F14),2)</f>
        <v>1031.6</v>
      </c>
      <c r="G15" s="431" t="n">
        <f aca="false">F15</f>
        <v>1031.6</v>
      </c>
      <c r="H15" s="431"/>
      <c r="I15" s="431"/>
      <c r="J15" s="432" t="n">
        <f aca="false">ROUND((E15*J14),2)</f>
        <v>0</v>
      </c>
    </row>
    <row r="16" customFormat="false" ht="19.5" hidden="false" customHeight="true" outlineLevel="0" collapsed="false">
      <c r="A16" s="443" t="s">
        <v>541</v>
      </c>
      <c r="B16" s="443"/>
      <c r="C16" s="443"/>
      <c r="D16" s="443"/>
      <c r="E16" s="443"/>
      <c r="F16" s="444" t="n">
        <f aca="false">SUM(F14:F15)</f>
        <v>2336.6</v>
      </c>
      <c r="G16" s="444" t="n">
        <f aca="false">SUM(G14:G15)</f>
        <v>2336.6</v>
      </c>
      <c r="H16" s="444" t="n">
        <f aca="false">SUM(H14:H15)</f>
        <v>0</v>
      </c>
      <c r="I16" s="444" t="n">
        <f aca="false">SUM(I14:I15)</f>
        <v>0</v>
      </c>
      <c r="J16" s="445" t="n">
        <f aca="false">SUM(J14:J15)</f>
        <v>0</v>
      </c>
    </row>
    <row r="17" customFormat="false" ht="19.5" hidden="false" customHeight="true" outlineLevel="0" collapsed="false">
      <c r="A17" s="446" t="s">
        <v>542</v>
      </c>
      <c r="B17" s="446"/>
      <c r="C17" s="446"/>
      <c r="D17" s="446"/>
      <c r="E17" s="446"/>
      <c r="F17" s="446"/>
      <c r="G17" s="446"/>
      <c r="H17" s="446"/>
      <c r="I17" s="446"/>
      <c r="J17" s="446"/>
    </row>
    <row r="18" customFormat="false" ht="19.5" hidden="false" customHeight="true" outlineLevel="0" collapsed="false">
      <c r="A18" s="275" t="s">
        <v>543</v>
      </c>
      <c r="B18" s="275"/>
      <c r="C18" s="49" t="s">
        <v>473</v>
      </c>
      <c r="D18" s="447" t="s">
        <v>563</v>
      </c>
      <c r="E18" s="447"/>
      <c r="F18" s="432" t="s">
        <v>474</v>
      </c>
      <c r="G18" s="432"/>
      <c r="H18" s="432"/>
      <c r="I18" s="432"/>
      <c r="J18" s="432"/>
    </row>
    <row r="19" customFormat="false" ht="19.5" hidden="false" customHeight="true" outlineLevel="0" collapsed="false">
      <c r="A19" s="448" t="s">
        <v>545</v>
      </c>
      <c r="B19" s="448"/>
      <c r="C19" s="282"/>
      <c r="D19" s="282"/>
      <c r="E19" s="282"/>
      <c r="F19" s="431" t="n">
        <f aca="false">Dados!$N$9</f>
        <v>49.35</v>
      </c>
      <c r="G19" s="431" t="n">
        <f aca="false">F19</f>
        <v>49.35</v>
      </c>
      <c r="H19" s="431"/>
      <c r="I19" s="431"/>
      <c r="J19" s="432"/>
    </row>
    <row r="20" customFormat="false" ht="19.5" hidden="false" customHeight="true" outlineLevel="0" collapsed="false">
      <c r="A20" s="448" t="s">
        <v>546</v>
      </c>
      <c r="B20" s="448"/>
      <c r="C20" s="282"/>
      <c r="D20" s="282"/>
      <c r="E20" s="282"/>
      <c r="F20" s="431" t="n">
        <f aca="false">Dados!$G$30</f>
        <v>7.2</v>
      </c>
      <c r="G20" s="431" t="n">
        <f aca="false">F20</f>
        <v>7.2</v>
      </c>
      <c r="H20" s="431"/>
      <c r="I20" s="431"/>
      <c r="J20" s="432"/>
    </row>
    <row r="21" customFormat="false" ht="23.25" hidden="false" customHeight="true" outlineLevel="0" collapsed="false">
      <c r="A21" s="449" t="s">
        <v>224</v>
      </c>
      <c r="B21" s="449"/>
      <c r="C21" s="282"/>
      <c r="D21" s="282"/>
      <c r="E21" s="282"/>
      <c r="F21" s="431" t="n">
        <f aca="false">Dados!G31</f>
        <v>0</v>
      </c>
      <c r="G21" s="431" t="n">
        <f aca="false">F21</f>
        <v>0</v>
      </c>
      <c r="H21" s="431"/>
      <c r="I21" s="431"/>
      <c r="J21" s="432"/>
    </row>
    <row r="22" customFormat="false" ht="19.5" hidden="false" customHeight="true" outlineLevel="0" collapsed="false">
      <c r="A22" s="448" t="s">
        <v>225</v>
      </c>
      <c r="B22" s="448"/>
      <c r="C22" s="450" t="n">
        <f aca="false">Dados!$G$34</f>
        <v>22</v>
      </c>
      <c r="D22" s="450" t="n">
        <f aca="false">Dados!$G$33</f>
        <v>2</v>
      </c>
      <c r="E22" s="282" t="n">
        <f aca="false">Dados!$G$32</f>
        <v>3.9</v>
      </c>
      <c r="F22" s="431" t="n">
        <f aca="false">IF(ROUND((E22*D22*C22)-(F11*Dados!$G$35),2)&lt;0,0,ROUND((E22*D22*C22)-(F11*Dados!$G$35),2))</f>
        <v>93.3</v>
      </c>
      <c r="G22" s="431" t="n">
        <f aca="false">F22</f>
        <v>93.3</v>
      </c>
      <c r="H22" s="431"/>
      <c r="I22" s="431" t="n">
        <f aca="false">F22</f>
        <v>93.3</v>
      </c>
      <c r="J22" s="432"/>
    </row>
    <row r="23" customFormat="false" ht="19.5" hidden="false" customHeight="true" outlineLevel="0" collapsed="false">
      <c r="A23" s="448" t="s">
        <v>234</v>
      </c>
      <c r="B23" s="448"/>
      <c r="C23" s="450" t="n">
        <f aca="false">Dados!G37</f>
        <v>22</v>
      </c>
      <c r="D23" s="451" t="n">
        <f aca="false">Dados!G38</f>
        <v>0.2</v>
      </c>
      <c r="E23" s="282" t="n">
        <f aca="false">Dados!$G$36</f>
        <v>27</v>
      </c>
      <c r="F23" s="320" t="n">
        <f aca="false">ROUND((IF(D11&gt;150,((C23*E23)-(C23*(D23*E23))),0)),2)</f>
        <v>0</v>
      </c>
      <c r="G23" s="431" t="n">
        <f aca="false">F23</f>
        <v>0</v>
      </c>
      <c r="H23" s="431" t="n">
        <f aca="false">$F$23</f>
        <v>0</v>
      </c>
      <c r="I23" s="320"/>
      <c r="J23" s="432"/>
    </row>
    <row r="24" customFormat="false" ht="19.5" hidden="false" customHeight="true" outlineLevel="0" collapsed="false">
      <c r="A24" s="448" t="s">
        <v>237</v>
      </c>
      <c r="B24" s="448"/>
      <c r="C24" s="450"/>
      <c r="D24" s="450"/>
      <c r="E24" s="282"/>
      <c r="F24" s="320" t="n">
        <f aca="false">Dados!$G$39</f>
        <v>0</v>
      </c>
      <c r="G24" s="431"/>
      <c r="H24" s="431"/>
      <c r="I24" s="320"/>
      <c r="J24" s="432"/>
    </row>
    <row r="25" customFormat="false" ht="19.5" hidden="false" customHeight="true" outlineLevel="0" collapsed="false">
      <c r="A25" s="448" t="s">
        <v>237</v>
      </c>
      <c r="B25" s="448"/>
      <c r="C25" s="450"/>
      <c r="D25" s="450"/>
      <c r="E25" s="282"/>
      <c r="F25" s="320" t="n">
        <f aca="false">Dados!$G$40</f>
        <v>0</v>
      </c>
      <c r="G25" s="431"/>
      <c r="H25" s="431"/>
      <c r="I25" s="320"/>
      <c r="J25" s="432"/>
    </row>
    <row r="26" customFormat="false" ht="19.5" hidden="false" customHeight="true" outlineLevel="0" collapsed="false">
      <c r="A26" s="448" t="s">
        <v>184</v>
      </c>
      <c r="B26" s="448"/>
      <c r="C26" s="450"/>
      <c r="D26" s="282"/>
      <c r="E26" s="282"/>
      <c r="F26" s="431" t="n">
        <f aca="false">Dados!Q9</f>
        <v>0</v>
      </c>
      <c r="G26" s="431" t="n">
        <f aca="false">F26</f>
        <v>0</v>
      </c>
      <c r="H26" s="431"/>
      <c r="I26" s="431"/>
      <c r="J26" s="432"/>
      <c r="L26" s="70"/>
    </row>
    <row r="27" customFormat="false" ht="19.5" hidden="false" customHeight="true" outlineLevel="0" collapsed="false">
      <c r="A27" s="448" t="s">
        <v>548</v>
      </c>
      <c r="B27" s="452"/>
      <c r="C27" s="450"/>
      <c r="D27" s="282"/>
      <c r="E27" s="282"/>
      <c r="F27" s="431"/>
      <c r="G27" s="431"/>
      <c r="H27" s="431"/>
      <c r="I27" s="431"/>
      <c r="J27" s="432"/>
    </row>
    <row r="28" customFormat="false" ht="19.5" hidden="false" customHeight="true" outlineLevel="0" collapsed="false">
      <c r="A28" s="453" t="s">
        <v>549</v>
      </c>
      <c r="B28" s="453"/>
      <c r="C28" s="454"/>
      <c r="D28" s="455"/>
      <c r="E28" s="455"/>
      <c r="F28" s="437" t="n">
        <f aca="false">Dados!R9</f>
        <v>0</v>
      </c>
      <c r="G28" s="437" t="n">
        <f aca="false">F28</f>
        <v>0</v>
      </c>
      <c r="H28" s="437"/>
      <c r="I28" s="437"/>
      <c r="J28" s="438"/>
    </row>
    <row r="29" customFormat="false" ht="19.5" hidden="false" customHeight="true" outlineLevel="0" collapsed="false">
      <c r="A29" s="456" t="s">
        <v>550</v>
      </c>
      <c r="B29" s="456"/>
      <c r="C29" s="456"/>
      <c r="D29" s="456"/>
      <c r="E29" s="456"/>
      <c r="F29" s="444" t="n">
        <f aca="false">SUM(F19:F28)</f>
        <v>149.85</v>
      </c>
      <c r="G29" s="444" t="n">
        <f aca="false">SUM(G19:G28)</f>
        <v>149.85</v>
      </c>
      <c r="H29" s="444" t="n">
        <f aca="false">SUM(H19:H28)</f>
        <v>0</v>
      </c>
      <c r="I29" s="444" t="n">
        <f aca="false">SUM(I19:I28)</f>
        <v>93.3</v>
      </c>
      <c r="J29" s="445" t="n">
        <f aca="false">SUM(J19:J28)</f>
        <v>0</v>
      </c>
    </row>
    <row r="30" customFormat="false" ht="19.5" hidden="false" customHeight="true" outlineLevel="0" collapsed="false">
      <c r="A30" s="456" t="s">
        <v>551</v>
      </c>
      <c r="B30" s="456"/>
      <c r="C30" s="456"/>
      <c r="D30" s="456"/>
      <c r="E30" s="456"/>
      <c r="F30" s="444" t="n">
        <f aca="false">F16+F29</f>
        <v>2486.45</v>
      </c>
      <c r="G30" s="444" t="n">
        <f aca="false">G16+G29</f>
        <v>2486.45</v>
      </c>
      <c r="H30" s="444" t="n">
        <f aca="false">H16+H29</f>
        <v>0</v>
      </c>
      <c r="I30" s="444" t="n">
        <f aca="false">I16+I29</f>
        <v>93.3</v>
      </c>
      <c r="J30" s="445" t="n">
        <f aca="false">J16+J29</f>
        <v>0</v>
      </c>
    </row>
    <row r="31" customFormat="false" ht="19.5" hidden="false" customHeight="true" outlineLevel="0" collapsed="false">
      <c r="A31" s="423" t="s">
        <v>552</v>
      </c>
      <c r="B31" s="423"/>
      <c r="C31" s="423"/>
      <c r="D31" s="423"/>
      <c r="E31" s="423"/>
      <c r="F31" s="423"/>
      <c r="G31" s="423"/>
      <c r="H31" s="423"/>
      <c r="I31" s="423"/>
      <c r="J31" s="423"/>
    </row>
    <row r="32" customFormat="false" ht="19.5" hidden="false" customHeight="true" outlineLevel="0" collapsed="false">
      <c r="A32" s="275" t="s">
        <v>553</v>
      </c>
      <c r="B32" s="275"/>
      <c r="C32" s="275"/>
      <c r="D32" s="285" t="s">
        <v>554</v>
      </c>
      <c r="E32" s="457" t="s">
        <v>474</v>
      </c>
      <c r="F32" s="457"/>
      <c r="G32" s="457"/>
      <c r="H32" s="457"/>
      <c r="I32" s="457"/>
      <c r="J32" s="457"/>
    </row>
    <row r="33" customFormat="false" ht="19.5" hidden="false" customHeight="true" outlineLevel="0" collapsed="false">
      <c r="A33" s="458" t="s">
        <v>555</v>
      </c>
      <c r="B33" s="459"/>
      <c r="C33" s="459"/>
      <c r="D33" s="433" t="n">
        <f aca="false">Dados!$G$43</f>
        <v>0.03</v>
      </c>
      <c r="E33" s="460"/>
      <c r="F33" s="431" t="n">
        <f aca="false">ROUND((F30*$D$33),2)</f>
        <v>74.59</v>
      </c>
      <c r="G33" s="431" t="n">
        <f aca="false">ROUND((G30*$D$33),2)</f>
        <v>74.59</v>
      </c>
      <c r="H33" s="431" t="n">
        <f aca="false">ROUND((H30*$D$33),2)</f>
        <v>0</v>
      </c>
      <c r="I33" s="431" t="n">
        <f aca="false">ROUND((I30*$D$33),2)</f>
        <v>2.8</v>
      </c>
      <c r="J33" s="432" t="n">
        <f aca="false">ROUND((J30*$D$33),2)</f>
        <v>0</v>
      </c>
    </row>
    <row r="34" customFormat="false" ht="19.5" hidden="false" customHeight="true" outlineLevel="0" collapsed="false">
      <c r="A34" s="461" t="s">
        <v>556</v>
      </c>
      <c r="B34" s="461"/>
      <c r="C34" s="461"/>
      <c r="D34" s="433"/>
      <c r="E34" s="460"/>
      <c r="F34" s="431" t="n">
        <f aca="false">F30+F33</f>
        <v>2561.04</v>
      </c>
      <c r="G34" s="431" t="n">
        <f aca="false">G30+G33</f>
        <v>2561.04</v>
      </c>
      <c r="H34" s="431" t="n">
        <f aca="false">H30+H33</f>
        <v>0</v>
      </c>
      <c r="I34" s="431" t="n">
        <f aca="false">I30+I33</f>
        <v>96.1</v>
      </c>
      <c r="J34" s="432" t="n">
        <f aca="false">J30+J33</f>
        <v>0</v>
      </c>
    </row>
    <row r="35" customFormat="false" ht="19.5" hidden="false" customHeight="true" outlineLevel="0" collapsed="false">
      <c r="A35" s="462" t="s">
        <v>242</v>
      </c>
      <c r="B35" s="463"/>
      <c r="C35" s="463"/>
      <c r="D35" s="435" t="n">
        <f aca="false">Dados!$G$44</f>
        <v>0.0679</v>
      </c>
      <c r="E35" s="464"/>
      <c r="F35" s="437" t="n">
        <f aca="false">ROUND((F34*$D$35),2)</f>
        <v>173.89</v>
      </c>
      <c r="G35" s="437" t="n">
        <f aca="false">ROUND((G34*$D$35),2)</f>
        <v>173.89</v>
      </c>
      <c r="H35" s="437" t="n">
        <f aca="false">ROUND((H34*$D$35),2)</f>
        <v>0</v>
      </c>
      <c r="I35" s="437" t="n">
        <f aca="false">ROUND((I34*$D$35),2)</f>
        <v>6.53</v>
      </c>
      <c r="J35" s="438" t="n">
        <f aca="false">ROUND((J34*$D$35),2)</f>
        <v>0</v>
      </c>
    </row>
    <row r="36" customFormat="false" ht="19.5" hidden="false" customHeight="true" outlineLevel="0" collapsed="false">
      <c r="A36" s="465" t="s">
        <v>557</v>
      </c>
      <c r="B36" s="466"/>
      <c r="C36" s="466"/>
      <c r="D36" s="467" t="n">
        <f aca="false">SUM(D33:D35)</f>
        <v>0.0979</v>
      </c>
      <c r="E36" s="468"/>
      <c r="F36" s="444" t="n">
        <f aca="false">F33+F35</f>
        <v>248.48</v>
      </c>
      <c r="G36" s="444" t="n">
        <f aca="false">G33+G35</f>
        <v>248.48</v>
      </c>
      <c r="H36" s="444" t="n">
        <f aca="false">H33+H35</f>
        <v>0</v>
      </c>
      <c r="I36" s="444" t="n">
        <f aca="false">I33+I35</f>
        <v>9.33</v>
      </c>
      <c r="J36" s="445" t="n">
        <f aca="false">J33+J35</f>
        <v>0</v>
      </c>
    </row>
    <row r="37" customFormat="false" ht="19.5" hidden="false" customHeight="true" outlineLevel="0" collapsed="false">
      <c r="A37" s="469" t="s">
        <v>558</v>
      </c>
      <c r="B37" s="469"/>
      <c r="C37" s="469"/>
      <c r="D37" s="469"/>
      <c r="E37" s="469"/>
      <c r="F37" s="470" t="n">
        <f aca="false">F30+F36</f>
        <v>2734.93</v>
      </c>
      <c r="G37" s="470" t="n">
        <f aca="false">G30+G36</f>
        <v>2734.93</v>
      </c>
      <c r="H37" s="470" t="n">
        <f aca="false">H30+H36</f>
        <v>0</v>
      </c>
      <c r="I37" s="470" t="n">
        <f aca="false">I30+I36</f>
        <v>102.63</v>
      </c>
      <c r="J37" s="471" t="n">
        <f aca="false">J30+J36</f>
        <v>0</v>
      </c>
    </row>
    <row r="38" customFormat="false" ht="19.5" hidden="false" customHeight="true" outlineLevel="0" collapsed="false">
      <c r="A38" s="472" t="s">
        <v>559</v>
      </c>
      <c r="B38" s="472"/>
      <c r="C38" s="472"/>
      <c r="D38" s="472"/>
      <c r="E38" s="472"/>
      <c r="F38" s="472"/>
      <c r="G38" s="472"/>
      <c r="H38" s="472"/>
      <c r="I38" s="472"/>
      <c r="J38" s="472"/>
    </row>
    <row r="39" customFormat="false" ht="19.5" hidden="false" customHeight="true" outlineLevel="0" collapsed="false">
      <c r="A39" s="448" t="s">
        <v>248</v>
      </c>
      <c r="B39" s="448"/>
      <c r="C39" s="448"/>
      <c r="D39" s="433" t="n">
        <f aca="false">Dados!G51</f>
        <v>0.076</v>
      </c>
      <c r="E39" s="431"/>
      <c r="F39" s="431" t="n">
        <f aca="false">ROUND(($F$45*D39),2)</f>
        <v>236.87</v>
      </c>
      <c r="G39" s="431" t="n">
        <f aca="false">ROUND((G45*$D$39),2)</f>
        <v>236.87</v>
      </c>
      <c r="H39" s="431" t="n">
        <f aca="false">ROUND((H45*$D$39),2)</f>
        <v>0</v>
      </c>
      <c r="I39" s="431" t="n">
        <f aca="false">ROUND((I45*$D$39),2)</f>
        <v>8.89</v>
      </c>
      <c r="J39" s="432" t="n">
        <f aca="false">ROUND((J45*$D$39),2)</f>
        <v>0</v>
      </c>
    </row>
    <row r="40" customFormat="false" ht="19.5" hidden="false" customHeight="true" outlineLevel="0" collapsed="false">
      <c r="A40" s="448" t="s">
        <v>250</v>
      </c>
      <c r="B40" s="448"/>
      <c r="C40" s="448"/>
      <c r="D40" s="433" t="n">
        <f aca="false">Dados!G52</f>
        <v>0.0165</v>
      </c>
      <c r="E40" s="431"/>
      <c r="F40" s="431" t="n">
        <f aca="false">ROUND((F45*$D$40),2)</f>
        <v>51.43</v>
      </c>
      <c r="G40" s="431" t="n">
        <f aca="false">ROUND((G45*$D$40),2)</f>
        <v>51.43</v>
      </c>
      <c r="H40" s="431" t="n">
        <f aca="false">ROUND((H45*$D$40),2)</f>
        <v>0</v>
      </c>
      <c r="I40" s="431" t="n">
        <f aca="false">ROUND((I45*$D$40),2)</f>
        <v>1.93</v>
      </c>
      <c r="J40" s="432" t="n">
        <f aca="false">ROUND((J45*$D$40),2)</f>
        <v>0</v>
      </c>
    </row>
    <row r="41" customFormat="false" ht="19.5" hidden="false" customHeight="true" outlineLevel="0" collapsed="false">
      <c r="A41" s="448" t="s">
        <v>251</v>
      </c>
      <c r="B41" s="448"/>
      <c r="C41" s="448"/>
      <c r="D41" s="433" t="n">
        <f aca="false">Dados!G53</f>
        <v>0.03</v>
      </c>
      <c r="E41" s="431"/>
      <c r="F41" s="431" t="n">
        <f aca="false">ROUND((F45*$D$41),2)</f>
        <v>93.5</v>
      </c>
      <c r="G41" s="431" t="n">
        <f aca="false">ROUND((G45*$D$41),2)</f>
        <v>93.5</v>
      </c>
      <c r="H41" s="431" t="n">
        <f aca="false">ROUND((H45*$D$41),2)</f>
        <v>0</v>
      </c>
      <c r="I41" s="431" t="n">
        <f aca="false">ROUND((I45*$D$41),2)</f>
        <v>3.51</v>
      </c>
      <c r="J41" s="432" t="n">
        <f aca="false">ROUND((J45*$D$41),2)</f>
        <v>0</v>
      </c>
    </row>
    <row r="42" customFormat="false" ht="19.5" hidden="false" customHeight="true" outlineLevel="0" collapsed="false">
      <c r="A42" s="448" t="s">
        <v>237</v>
      </c>
      <c r="B42" s="448"/>
      <c r="C42" s="448"/>
      <c r="D42" s="433" t="n">
        <f aca="false">Dados!G54</f>
        <v>0</v>
      </c>
      <c r="E42" s="431"/>
      <c r="F42" s="431" t="n">
        <f aca="false">ROUND((F45*$D$42),2)</f>
        <v>0</v>
      </c>
      <c r="G42" s="431" t="n">
        <f aca="false">ROUND((G45*$D$42),2)</f>
        <v>0</v>
      </c>
      <c r="H42" s="431" t="n">
        <f aca="false">ROUND((H45*$D$42),2)</f>
        <v>0</v>
      </c>
      <c r="I42" s="431" t="n">
        <f aca="false">ROUND((I45*$D$42),2)</f>
        <v>0</v>
      </c>
      <c r="J42" s="432" t="n">
        <f aca="false">ROUND((J45*$D$42),2)</f>
        <v>0</v>
      </c>
    </row>
    <row r="43" customFormat="false" ht="19.5" hidden="false" customHeight="true" outlineLevel="0" collapsed="false">
      <c r="A43" s="473" t="s">
        <v>560</v>
      </c>
      <c r="B43" s="473"/>
      <c r="C43" s="473"/>
      <c r="D43" s="474" t="n">
        <f aca="false">SUM(D39:D42)</f>
        <v>0.1225</v>
      </c>
      <c r="E43" s="475"/>
      <c r="F43" s="476" t="n">
        <f aca="false">SUM(F39:F42)</f>
        <v>381.8</v>
      </c>
      <c r="G43" s="476" t="n">
        <f aca="false">SUM(G39:G42)</f>
        <v>381.8</v>
      </c>
      <c r="H43" s="476" t="n">
        <f aca="false">SUM(H39:H42)</f>
        <v>0</v>
      </c>
      <c r="I43" s="476" t="n">
        <f aca="false">SUM(I39:I42)</f>
        <v>14.33</v>
      </c>
      <c r="J43" s="477" t="n">
        <f aca="false">SUM(J39:J41)</f>
        <v>0</v>
      </c>
    </row>
    <row r="44" customFormat="false" ht="19.5" hidden="false" customHeight="true" outlineLevel="0" collapsed="false">
      <c r="A44" s="478" t="str">
        <f aca="false">CONCATENATE("Custo Mensal - ",A7)</f>
        <v>Custo Mensal - Auxiliar Administrativo</v>
      </c>
      <c r="B44" s="478"/>
      <c r="C44" s="478"/>
      <c r="D44" s="478"/>
      <c r="E44" s="478"/>
      <c r="F44" s="479" t="n">
        <f aca="false">ROUND(F37/(1-D43),2)</f>
        <v>3116.73</v>
      </c>
      <c r="G44" s="479" t="n">
        <f aca="false">ROUND(G37/(1-D43),2)</f>
        <v>3116.73</v>
      </c>
      <c r="H44" s="479" t="n">
        <f aca="false">ROUND(H37/(1-D43),2)</f>
        <v>0</v>
      </c>
      <c r="I44" s="479" t="n">
        <f aca="false">ROUND(I37/(1-D43),2)</f>
        <v>116.96</v>
      </c>
      <c r="J44" s="480" t="n">
        <f aca="false">ROUND(J37/(1-D43),2)</f>
        <v>0</v>
      </c>
    </row>
    <row r="45" customFormat="false" ht="19.5" hidden="false" customHeight="true" outlineLevel="0" collapsed="false">
      <c r="A45" s="478" t="str">
        <f aca="false">CONCATENATE("Valor do Custo Mensal - ",A7)</f>
        <v>Valor do Custo Mensal - Auxiliar Administrativo</v>
      </c>
      <c r="B45" s="478"/>
      <c r="C45" s="478"/>
      <c r="D45" s="478"/>
      <c r="E45" s="478"/>
      <c r="F45" s="479" t="n">
        <f aca="false">F44</f>
        <v>3116.73</v>
      </c>
      <c r="G45" s="479" t="n">
        <f aca="false">G44</f>
        <v>3116.73</v>
      </c>
      <c r="H45" s="479" t="n">
        <f aca="false">H44</f>
        <v>0</v>
      </c>
      <c r="I45" s="479" t="n">
        <f aca="false">I44</f>
        <v>116.96</v>
      </c>
      <c r="J45" s="480" t="n">
        <f aca="false">J44</f>
        <v>0</v>
      </c>
      <c r="K45" s="481"/>
      <c r="L45" s="481"/>
    </row>
    <row r="46" customFormat="false" ht="27.75" hidden="false" customHeight="true" outlineLevel="0" collapsed="false">
      <c r="A46" s="482" t="s">
        <v>561</v>
      </c>
      <c r="B46" s="482"/>
      <c r="C46" s="482"/>
      <c r="D46" s="482"/>
      <c r="E46" s="482"/>
      <c r="F46" s="483" t="n">
        <f aca="false">(F45/F14)</f>
        <v>2.38829885057471</v>
      </c>
      <c r="G46" s="483" t="n">
        <f aca="false">(G45/G14)</f>
        <v>2.38829885057471</v>
      </c>
      <c r="H46" s="484" t="s">
        <v>562</v>
      </c>
      <c r="I46" s="484"/>
      <c r="J46" s="485" t="n">
        <v>0</v>
      </c>
    </row>
    <row r="47" customFormat="false" ht="19.5" hidden="false" customHeight="true" outlineLevel="0" collapsed="false"/>
  </sheetData>
  <sheetProtection algorithmName="SHA-512" hashValue="mkN4fiJmVdUFKVKRPVyZExsNdHMBdMmUzvxA2zMb4P+Gd2l0lKV9x4hnJF+QQ9zQFTe2aArreLK5RTW5hFcBfA==" saltValue="B+37URiFwTfgdvsCM3WLPw==" spinCount="100000" sheet="true" objects="true" scenarios="true"/>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A42:C42"/>
    <mergeCell ref="A43:C43"/>
    <mergeCell ref="A44:E44"/>
    <mergeCell ref="A45:E45"/>
    <mergeCell ref="A46:E46"/>
    <mergeCell ref="H46:I46"/>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9" activeCellId="0" sqref="A9"/>
    </sheetView>
  </sheetViews>
  <sheetFormatPr defaultColWidth="8.71484375" defaultRowHeight="15" zeroHeight="false" outlineLevelRow="0" outlineLevelCol="0"/>
  <cols>
    <col collapsed="false" customWidth="true" hidden="false" outlineLevel="0" max="1" min="1" style="81" width="10.57"/>
    <col collapsed="false" customWidth="true" hidden="false" outlineLevel="0" max="2" min="2" style="81" width="27.71"/>
    <col collapsed="false" customWidth="true" hidden="false" outlineLevel="0" max="3" min="3" style="81" width="14.42"/>
    <col collapsed="false" customWidth="true" hidden="false" outlineLevel="0" max="5" min="4" style="81" width="15"/>
    <col collapsed="false" customWidth="true" hidden="false" outlineLevel="0" max="6" min="6" style="406" width="16.71"/>
    <col collapsed="false" customWidth="true" hidden="false" outlineLevel="0" max="8" min="7" style="406" width="13.15"/>
    <col collapsed="false" customWidth="true" hidden="false" outlineLevel="0" max="9" min="9" style="406" width="12.57"/>
    <col collapsed="false" customWidth="true" hidden="false" outlineLevel="0" max="10" min="10" style="406" width="13.86"/>
    <col collapsed="false" customWidth="true" hidden="false" outlineLevel="0" max="257" min="11" style="81" width="9.14"/>
    <col collapsed="false" customWidth="true" hidden="false" outlineLevel="0" max="258" min="258" style="81" width="10.57"/>
    <col collapsed="false" customWidth="true" hidden="false" outlineLevel="0" max="259" min="259" style="81" width="27.71"/>
    <col collapsed="false" customWidth="true" hidden="false" outlineLevel="0" max="260" min="260" style="81" width="14.42"/>
    <col collapsed="false" customWidth="true" hidden="false" outlineLevel="0" max="262" min="261" style="81" width="15"/>
    <col collapsed="false" customWidth="true" hidden="false" outlineLevel="0" max="263" min="263" style="81" width="16.71"/>
    <col collapsed="false" customWidth="true" hidden="false" outlineLevel="0" max="264" min="264" style="81" width="13.15"/>
    <col collapsed="false" customWidth="true" hidden="false" outlineLevel="0" max="266" min="265" style="81" width="12.57"/>
    <col collapsed="false" customWidth="true" hidden="false" outlineLevel="0" max="513" min="267" style="81" width="9.14"/>
    <col collapsed="false" customWidth="true" hidden="false" outlineLevel="0" max="514" min="514" style="81" width="10.57"/>
    <col collapsed="false" customWidth="true" hidden="false" outlineLevel="0" max="515" min="515" style="81" width="27.71"/>
    <col collapsed="false" customWidth="true" hidden="false" outlineLevel="0" max="516" min="516" style="81" width="14.42"/>
    <col collapsed="false" customWidth="true" hidden="false" outlineLevel="0" max="518" min="517" style="81" width="15"/>
    <col collapsed="false" customWidth="true" hidden="false" outlineLevel="0" max="519" min="519" style="81" width="16.71"/>
    <col collapsed="false" customWidth="true" hidden="false" outlineLevel="0" max="520" min="520" style="81" width="13.15"/>
    <col collapsed="false" customWidth="true" hidden="false" outlineLevel="0" max="522" min="521" style="81" width="12.57"/>
    <col collapsed="false" customWidth="true" hidden="false" outlineLevel="0" max="769" min="523" style="81" width="9.14"/>
    <col collapsed="false" customWidth="true" hidden="false" outlineLevel="0" max="770" min="770" style="81" width="10.57"/>
    <col collapsed="false" customWidth="true" hidden="false" outlineLevel="0" max="771" min="771" style="81" width="27.71"/>
    <col collapsed="false" customWidth="true" hidden="false" outlineLevel="0" max="772" min="772" style="81" width="14.42"/>
    <col collapsed="false" customWidth="true" hidden="false" outlineLevel="0" max="774" min="773" style="81" width="15"/>
    <col collapsed="false" customWidth="true" hidden="false" outlineLevel="0" max="775" min="775" style="81" width="16.71"/>
    <col collapsed="false" customWidth="true" hidden="false" outlineLevel="0" max="776" min="776" style="81" width="13.15"/>
    <col collapsed="false" customWidth="true" hidden="false" outlineLevel="0" max="778" min="777" style="81" width="12.57"/>
    <col collapsed="false" customWidth="true" hidden="false" outlineLevel="0" max="1025" min="779" style="81" width="9.14"/>
  </cols>
  <sheetData>
    <row r="1" customFormat="false" ht="15" hidden="false" customHeight="false" outlineLevel="0" collapsed="false">
      <c r="A1" s="407"/>
      <c r="B1" s="118" t="str">
        <f aca="false">INSTRUÇÕES!B1</f>
        <v>Tribunal Regional Federal da 6ª Região</v>
      </c>
      <c r="C1" s="408"/>
      <c r="D1" s="408"/>
      <c r="E1" s="408"/>
      <c r="F1" s="409"/>
      <c r="G1" s="410"/>
      <c r="H1" s="410"/>
      <c r="I1" s="409"/>
      <c r="J1" s="411"/>
    </row>
    <row r="2" customFormat="false" ht="15" hidden="false" customHeight="false" outlineLevel="0" collapsed="false">
      <c r="A2" s="412"/>
      <c r="B2" s="120" t="str">
        <f aca="false">INSTRUÇÕES!B2</f>
        <v>Seção Judiciária de Minas Gerais</v>
      </c>
      <c r="C2" s="70"/>
      <c r="D2" s="70"/>
      <c r="E2" s="70"/>
      <c r="F2" s="413"/>
      <c r="I2" s="413"/>
      <c r="J2" s="414"/>
    </row>
    <row r="3" customFormat="false" ht="15" hidden="false" customHeight="false" outlineLevel="0" collapsed="false">
      <c r="A3" s="201"/>
      <c r="B3" s="415" t="str">
        <f aca="false">INSTRUÇÕES!B3</f>
        <v>Subseção Judiciária de Passos</v>
      </c>
      <c r="C3" s="70"/>
      <c r="D3" s="70"/>
      <c r="E3" s="70"/>
      <c r="F3" s="413"/>
      <c r="I3" s="413"/>
      <c r="J3" s="414"/>
    </row>
    <row r="4" customFormat="false" ht="19.5" hidden="false" customHeight="true" outlineLevel="0" collapsed="false">
      <c r="A4" s="416" t="s">
        <v>526</v>
      </c>
      <c r="B4" s="416"/>
      <c r="C4" s="416"/>
      <c r="D4" s="416"/>
      <c r="E4" s="416"/>
      <c r="F4" s="416"/>
      <c r="G4" s="416"/>
      <c r="H4" s="416"/>
      <c r="I4" s="416"/>
      <c r="J4" s="416"/>
    </row>
    <row r="5" customFormat="false" ht="19.5" hidden="false" customHeight="true" outlineLevel="0" collapsed="false">
      <c r="A5" s="417" t="s">
        <v>294</v>
      </c>
      <c r="B5" s="417"/>
      <c r="C5" s="417"/>
      <c r="D5" s="417"/>
      <c r="E5" s="417"/>
      <c r="F5" s="417"/>
      <c r="G5" s="417"/>
      <c r="H5" s="417"/>
      <c r="I5" s="417"/>
      <c r="J5" s="417"/>
    </row>
    <row r="6" s="1" customFormat="true" ht="36" hidden="false" customHeight="true" outlineLevel="0" collapsed="false">
      <c r="A6" s="418" t="str">
        <f aca="false">Dados!A4</f>
        <v>Sindicato utilizado - SINSERHT x SINTAPPI. Vigência: 2024/2025. Sendo a data base da categoria 01° de Abril. Com número de registro no MTE MG002103/2024.</v>
      </c>
      <c r="B6" s="418"/>
      <c r="C6" s="418"/>
      <c r="D6" s="418"/>
      <c r="E6" s="418"/>
      <c r="F6" s="418"/>
      <c r="G6" s="418"/>
      <c r="H6" s="418"/>
      <c r="I6" s="418"/>
      <c r="J6" s="418"/>
    </row>
    <row r="7" customFormat="false" ht="19.5" hidden="false" customHeight="true" outlineLevel="0" collapsed="false">
      <c r="A7" s="419" t="str">
        <f aca="false">Dados!C10</f>
        <v>Auxiliar Administrativo</v>
      </c>
      <c r="B7" s="419"/>
      <c r="C7" s="419"/>
      <c r="D7" s="419"/>
      <c r="E7" s="419"/>
      <c r="F7" s="420" t="s">
        <v>527</v>
      </c>
      <c r="G7" s="420" t="s">
        <v>528</v>
      </c>
      <c r="H7" s="420" t="s">
        <v>529</v>
      </c>
      <c r="I7" s="420" t="s">
        <v>530</v>
      </c>
      <c r="J7" s="420" t="s">
        <v>531</v>
      </c>
    </row>
    <row r="8" customFormat="false" ht="19.5" hidden="false" customHeight="true" outlineLevel="0" collapsed="false">
      <c r="A8" s="421" t="s">
        <v>564</v>
      </c>
      <c r="B8" s="421"/>
      <c r="C8" s="421"/>
      <c r="D8" s="421"/>
      <c r="E8" s="422" t="s">
        <v>470</v>
      </c>
      <c r="F8" s="420"/>
      <c r="G8" s="420"/>
      <c r="H8" s="420"/>
      <c r="I8" s="420"/>
      <c r="J8" s="420"/>
    </row>
    <row r="9" customFormat="false" ht="19.5" hidden="false" customHeight="true" outlineLevel="0" collapsed="false">
      <c r="A9" s="423" t="s">
        <v>533</v>
      </c>
      <c r="B9" s="423"/>
      <c r="C9" s="423"/>
      <c r="D9" s="423"/>
      <c r="E9" s="423"/>
      <c r="F9" s="423"/>
      <c r="G9" s="423"/>
      <c r="H9" s="423"/>
      <c r="I9" s="423"/>
      <c r="J9" s="423"/>
    </row>
    <row r="10" customFormat="false" ht="24" hidden="false" customHeight="true" outlineLevel="0" collapsed="false">
      <c r="A10" s="210" t="s">
        <v>471</v>
      </c>
      <c r="B10" s="424" t="s">
        <v>534</v>
      </c>
      <c r="C10" s="424"/>
      <c r="D10" s="425" t="s">
        <v>535</v>
      </c>
      <c r="E10" s="426" t="s">
        <v>536</v>
      </c>
      <c r="F10" s="427" t="s">
        <v>474</v>
      </c>
      <c r="G10" s="427"/>
      <c r="H10" s="427"/>
      <c r="I10" s="427"/>
      <c r="J10" s="427"/>
    </row>
    <row r="11" customFormat="false" ht="19.5" hidden="false" customHeight="true" outlineLevel="0" collapsed="false">
      <c r="A11" s="428" t="n">
        <v>1</v>
      </c>
      <c r="B11" s="326" t="str">
        <f aca="false">A7</f>
        <v>Auxiliar Administrativo</v>
      </c>
      <c r="C11" s="326"/>
      <c r="D11" s="38" t="n">
        <f aca="false">Dados!$D$10</f>
        <v>200</v>
      </c>
      <c r="E11" s="430" t="n">
        <f aca="false">Dados!$E$10</f>
        <v>1914</v>
      </c>
      <c r="F11" s="431" t="n">
        <f aca="false">ROUND(E11/220*D11,2)</f>
        <v>1740</v>
      </c>
      <c r="G11" s="431" t="n">
        <f aca="false">F11</f>
        <v>1740</v>
      </c>
      <c r="H11" s="431"/>
      <c r="I11" s="431"/>
      <c r="J11" s="432"/>
    </row>
    <row r="12" customFormat="false" ht="19.5" hidden="false" customHeight="true" outlineLevel="0" collapsed="false">
      <c r="A12" s="428"/>
      <c r="B12" s="326" t="s">
        <v>537</v>
      </c>
      <c r="C12" s="326"/>
      <c r="D12" s="486" t="n">
        <f aca="false">Dados!G8</f>
        <v>0</v>
      </c>
      <c r="E12" s="430" t="n">
        <f aca="false">Dados!$G$27</f>
        <v>1412</v>
      </c>
      <c r="F12" s="431" t="n">
        <f aca="false">D12*E12</f>
        <v>0</v>
      </c>
      <c r="G12" s="431" t="n">
        <f aca="false">F12</f>
        <v>0</v>
      </c>
      <c r="H12" s="431"/>
      <c r="I12" s="431"/>
      <c r="J12" s="432" t="n">
        <f aca="false">F12</f>
        <v>0</v>
      </c>
    </row>
    <row r="13" customFormat="false" ht="21.75" hidden="false" customHeight="true" outlineLevel="0" collapsed="false">
      <c r="A13" s="428"/>
      <c r="B13" s="434" t="s">
        <v>538</v>
      </c>
      <c r="C13" s="435" t="n">
        <f aca="false">Dados!$I$10</f>
        <v>0</v>
      </c>
      <c r="D13" s="435" t="n">
        <f aca="false">Dados!$J$10</f>
        <v>0</v>
      </c>
      <c r="E13" s="436" t="n">
        <f aca="false">Dados!$K$10</f>
        <v>0</v>
      </c>
      <c r="F13" s="437" t="n">
        <f aca="false">ROUND((E13*D13*C13),2)</f>
        <v>0</v>
      </c>
      <c r="G13" s="437" t="n">
        <f aca="false">F13</f>
        <v>0</v>
      </c>
      <c r="H13" s="437"/>
      <c r="I13" s="437"/>
      <c r="J13" s="438"/>
    </row>
    <row r="14" customFormat="false" ht="19.5" hidden="false" customHeight="true" outlineLevel="0" collapsed="false">
      <c r="A14" s="428"/>
      <c r="B14" s="327" t="s">
        <v>539</v>
      </c>
      <c r="C14" s="327"/>
      <c r="D14" s="327"/>
      <c r="E14" s="327"/>
      <c r="F14" s="439" t="n">
        <f aca="false">SUM(F11:F13)</f>
        <v>1740</v>
      </c>
      <c r="G14" s="439" t="n">
        <f aca="false">SUM(G11:G13)</f>
        <v>1740</v>
      </c>
      <c r="H14" s="439" t="n">
        <f aca="false">SUM(H11:H13)</f>
        <v>0</v>
      </c>
      <c r="I14" s="439" t="n">
        <f aca="false">SUM(I11:I13)</f>
        <v>0</v>
      </c>
      <c r="J14" s="440" t="n">
        <f aca="false">SUM(J11:J13)</f>
        <v>0</v>
      </c>
    </row>
    <row r="15" customFormat="false" ht="19.5" hidden="false" customHeight="true" outlineLevel="0" collapsed="false">
      <c r="A15" s="428"/>
      <c r="B15" s="441" t="s">
        <v>540</v>
      </c>
      <c r="C15" s="441"/>
      <c r="D15" s="441"/>
      <c r="E15" s="442" t="n">
        <f aca="false">Encargos!$C$57</f>
        <v>0.7905</v>
      </c>
      <c r="F15" s="431" t="n">
        <f aca="false">ROUND((E15*F14),2)</f>
        <v>1375.47</v>
      </c>
      <c r="G15" s="431" t="n">
        <f aca="false">F15</f>
        <v>1375.47</v>
      </c>
      <c r="H15" s="431"/>
      <c r="I15" s="431"/>
      <c r="J15" s="432" t="n">
        <f aca="false">ROUND((E15*J14),2)</f>
        <v>0</v>
      </c>
    </row>
    <row r="16" customFormat="false" ht="19.5" hidden="false" customHeight="true" outlineLevel="0" collapsed="false">
      <c r="A16" s="443" t="s">
        <v>541</v>
      </c>
      <c r="B16" s="443"/>
      <c r="C16" s="443"/>
      <c r="D16" s="443"/>
      <c r="E16" s="443"/>
      <c r="F16" s="444" t="n">
        <f aca="false">SUM(F14:F15)</f>
        <v>3115.47</v>
      </c>
      <c r="G16" s="444" t="n">
        <f aca="false">SUM(G14:G15)</f>
        <v>3115.47</v>
      </c>
      <c r="H16" s="444" t="n">
        <f aca="false">SUM(H14:H15)</f>
        <v>0</v>
      </c>
      <c r="I16" s="444" t="n">
        <f aca="false">SUM(I14:I15)</f>
        <v>0</v>
      </c>
      <c r="J16" s="445" t="n">
        <f aca="false">SUM(J14:J15)</f>
        <v>0</v>
      </c>
    </row>
    <row r="17" customFormat="false" ht="19.5" hidden="false" customHeight="true" outlineLevel="0" collapsed="false">
      <c r="A17" s="446" t="s">
        <v>542</v>
      </c>
      <c r="B17" s="446"/>
      <c r="C17" s="446"/>
      <c r="D17" s="446"/>
      <c r="E17" s="446"/>
      <c r="F17" s="446"/>
      <c r="G17" s="446"/>
      <c r="H17" s="446"/>
      <c r="I17" s="446"/>
      <c r="J17" s="446"/>
    </row>
    <row r="18" customFormat="false" ht="19.5" hidden="false" customHeight="true" outlineLevel="0" collapsed="false">
      <c r="A18" s="275" t="s">
        <v>543</v>
      </c>
      <c r="B18" s="275"/>
      <c r="C18" s="49" t="s">
        <v>473</v>
      </c>
      <c r="D18" s="447" t="s">
        <v>563</v>
      </c>
      <c r="E18" s="447"/>
      <c r="F18" s="432" t="s">
        <v>474</v>
      </c>
      <c r="G18" s="432"/>
      <c r="H18" s="432"/>
      <c r="I18" s="432"/>
      <c r="J18" s="432"/>
    </row>
    <row r="19" customFormat="false" ht="19.5" hidden="false" customHeight="true" outlineLevel="0" collapsed="false">
      <c r="A19" s="448" t="s">
        <v>545</v>
      </c>
      <c r="B19" s="448"/>
      <c r="C19" s="282"/>
      <c r="D19" s="282"/>
      <c r="E19" s="282"/>
      <c r="F19" s="431" t="n">
        <f aca="false">Dados!$N$10</f>
        <v>49.35</v>
      </c>
      <c r="G19" s="431" t="n">
        <f aca="false">F19</f>
        <v>49.35</v>
      </c>
      <c r="H19" s="431"/>
      <c r="I19" s="431"/>
      <c r="J19" s="432"/>
    </row>
    <row r="20" customFormat="false" ht="19.5" hidden="false" customHeight="true" outlineLevel="0" collapsed="false">
      <c r="A20" s="448" t="s">
        <v>546</v>
      </c>
      <c r="B20" s="448"/>
      <c r="C20" s="282"/>
      <c r="D20" s="282"/>
      <c r="E20" s="282"/>
      <c r="F20" s="431" t="n">
        <f aca="false">Dados!$G$30</f>
        <v>7.2</v>
      </c>
      <c r="G20" s="431" t="n">
        <f aca="false">F20</f>
        <v>7.2</v>
      </c>
      <c r="H20" s="431"/>
      <c r="I20" s="431"/>
      <c r="J20" s="432"/>
    </row>
    <row r="21" customFormat="false" ht="23.25" hidden="false" customHeight="true" outlineLevel="0" collapsed="false">
      <c r="A21" s="449" t="s">
        <v>224</v>
      </c>
      <c r="B21" s="449"/>
      <c r="C21" s="282"/>
      <c r="D21" s="282"/>
      <c r="E21" s="282"/>
      <c r="F21" s="431" t="n">
        <f aca="false">Dados!G31</f>
        <v>0</v>
      </c>
      <c r="G21" s="431" t="n">
        <f aca="false">F21</f>
        <v>0</v>
      </c>
      <c r="H21" s="431"/>
      <c r="I21" s="431"/>
      <c r="J21" s="432"/>
    </row>
    <row r="22" customFormat="false" ht="19.5" hidden="false" customHeight="true" outlineLevel="0" collapsed="false">
      <c r="A22" s="448" t="s">
        <v>225</v>
      </c>
      <c r="B22" s="448"/>
      <c r="C22" s="450" t="n">
        <f aca="false">Dados!$G$34</f>
        <v>22</v>
      </c>
      <c r="D22" s="450" t="n">
        <f aca="false">Dados!$G$33</f>
        <v>2</v>
      </c>
      <c r="E22" s="282" t="n">
        <f aca="false">Dados!$G$32</f>
        <v>3.9</v>
      </c>
      <c r="F22" s="431" t="n">
        <f aca="false">IF(ROUND((E22*D22*C22)-(F11*Dados!$G$35),2)&lt;0,0,ROUND((E22*D22*C22)-(F11*Dados!$G$35),2))</f>
        <v>67.2</v>
      </c>
      <c r="G22" s="431" t="n">
        <f aca="false">F22</f>
        <v>67.2</v>
      </c>
      <c r="H22" s="431"/>
      <c r="I22" s="431" t="n">
        <f aca="false">F22</f>
        <v>67.2</v>
      </c>
      <c r="J22" s="432"/>
    </row>
    <row r="23" customFormat="false" ht="19.5" hidden="false" customHeight="true" outlineLevel="0" collapsed="false">
      <c r="A23" s="448" t="s">
        <v>234</v>
      </c>
      <c r="B23" s="448"/>
      <c r="C23" s="450" t="n">
        <f aca="false">Dados!G37</f>
        <v>22</v>
      </c>
      <c r="D23" s="451" t="n">
        <f aca="false">Dados!G38</f>
        <v>0.2</v>
      </c>
      <c r="E23" s="282" t="n">
        <f aca="false">Dados!$G$36</f>
        <v>27</v>
      </c>
      <c r="F23" s="320" t="n">
        <f aca="false">ROUND((IF(D11&gt;150,((C23*E23)-(C23*(D23*E23))),0)),2)</f>
        <v>475.2</v>
      </c>
      <c r="G23" s="431" t="n">
        <f aca="false">F23</f>
        <v>475.2</v>
      </c>
      <c r="H23" s="431" t="n">
        <f aca="false">$F$23</f>
        <v>475.2</v>
      </c>
      <c r="I23" s="320"/>
      <c r="J23" s="432"/>
    </row>
    <row r="24" customFormat="false" ht="19.5" hidden="false" customHeight="true" outlineLevel="0" collapsed="false">
      <c r="A24" s="448" t="s">
        <v>237</v>
      </c>
      <c r="B24" s="448"/>
      <c r="C24" s="450"/>
      <c r="D24" s="450"/>
      <c r="E24" s="282"/>
      <c r="F24" s="320" t="n">
        <f aca="false">Dados!$G$39</f>
        <v>0</v>
      </c>
      <c r="G24" s="431"/>
      <c r="H24" s="431"/>
      <c r="I24" s="320"/>
      <c r="J24" s="432"/>
    </row>
    <row r="25" customFormat="false" ht="19.5" hidden="false" customHeight="true" outlineLevel="0" collapsed="false">
      <c r="A25" s="448" t="s">
        <v>237</v>
      </c>
      <c r="B25" s="448"/>
      <c r="C25" s="450"/>
      <c r="D25" s="450"/>
      <c r="E25" s="282"/>
      <c r="F25" s="320" t="n">
        <f aca="false">Dados!$G$40</f>
        <v>0</v>
      </c>
      <c r="G25" s="431"/>
      <c r="H25" s="431"/>
      <c r="I25" s="320"/>
      <c r="J25" s="432"/>
    </row>
    <row r="26" customFormat="false" ht="19.5" hidden="false" customHeight="true" outlineLevel="0" collapsed="false">
      <c r="A26" s="448" t="s">
        <v>547</v>
      </c>
      <c r="B26" s="448"/>
      <c r="C26" s="450"/>
      <c r="D26" s="282"/>
      <c r="E26" s="282"/>
      <c r="F26" s="431"/>
      <c r="G26" s="431"/>
      <c r="H26" s="431"/>
      <c r="I26" s="431"/>
      <c r="J26" s="432"/>
      <c r="L26" s="70"/>
    </row>
    <row r="27" customFormat="false" ht="19.5" hidden="false" customHeight="true" outlineLevel="0" collapsed="false">
      <c r="A27" s="448" t="s">
        <v>548</v>
      </c>
      <c r="B27" s="452"/>
      <c r="C27" s="450"/>
      <c r="D27" s="282"/>
      <c r="E27" s="282"/>
      <c r="F27" s="431"/>
      <c r="G27" s="431"/>
      <c r="H27" s="431"/>
      <c r="I27" s="431"/>
      <c r="J27" s="432"/>
    </row>
    <row r="28" customFormat="false" ht="19.5" hidden="false" customHeight="true" outlineLevel="0" collapsed="false">
      <c r="A28" s="453" t="s">
        <v>549</v>
      </c>
      <c r="B28" s="453"/>
      <c r="C28" s="454"/>
      <c r="D28" s="455"/>
      <c r="E28" s="455"/>
      <c r="F28" s="437"/>
      <c r="G28" s="437"/>
      <c r="H28" s="437"/>
      <c r="I28" s="437"/>
      <c r="J28" s="438"/>
    </row>
    <row r="29" customFormat="false" ht="19.5" hidden="false" customHeight="true" outlineLevel="0" collapsed="false">
      <c r="A29" s="456" t="s">
        <v>550</v>
      </c>
      <c r="B29" s="456"/>
      <c r="C29" s="456"/>
      <c r="D29" s="456"/>
      <c r="E29" s="456"/>
      <c r="F29" s="444" t="n">
        <f aca="false">SUM(F19:F28)</f>
        <v>598.95</v>
      </c>
      <c r="G29" s="444" t="n">
        <f aca="false">SUM(G19:G28)</f>
        <v>598.95</v>
      </c>
      <c r="H29" s="444" t="n">
        <f aca="false">SUM(H19:H28)</f>
        <v>475.2</v>
      </c>
      <c r="I29" s="444" t="n">
        <f aca="false">SUM(I19:I28)</f>
        <v>67.2</v>
      </c>
      <c r="J29" s="445" t="n">
        <f aca="false">SUM(J19:J28)</f>
        <v>0</v>
      </c>
    </row>
    <row r="30" customFormat="false" ht="19.5" hidden="false" customHeight="true" outlineLevel="0" collapsed="false">
      <c r="A30" s="456" t="s">
        <v>551</v>
      </c>
      <c r="B30" s="456"/>
      <c r="C30" s="456"/>
      <c r="D30" s="456"/>
      <c r="E30" s="456"/>
      <c r="F30" s="444" t="n">
        <f aca="false">F16+F29</f>
        <v>3714.42</v>
      </c>
      <c r="G30" s="444" t="n">
        <f aca="false">G16+G29</f>
        <v>3714.42</v>
      </c>
      <c r="H30" s="444" t="n">
        <f aca="false">H16+H29</f>
        <v>475.2</v>
      </c>
      <c r="I30" s="444" t="n">
        <f aca="false">I16+I29</f>
        <v>67.2</v>
      </c>
      <c r="J30" s="445" t="n">
        <f aca="false">J16+J29</f>
        <v>0</v>
      </c>
    </row>
    <row r="31" customFormat="false" ht="19.5" hidden="false" customHeight="true" outlineLevel="0" collapsed="false">
      <c r="A31" s="423" t="s">
        <v>552</v>
      </c>
      <c r="B31" s="423"/>
      <c r="C31" s="423"/>
      <c r="D31" s="423"/>
      <c r="E31" s="423"/>
      <c r="F31" s="423"/>
      <c r="G31" s="423"/>
      <c r="H31" s="423"/>
      <c r="I31" s="423"/>
      <c r="J31" s="423"/>
    </row>
    <row r="32" customFormat="false" ht="19.5" hidden="false" customHeight="true" outlineLevel="0" collapsed="false">
      <c r="A32" s="275" t="s">
        <v>553</v>
      </c>
      <c r="B32" s="275"/>
      <c r="C32" s="275"/>
      <c r="D32" s="285" t="s">
        <v>554</v>
      </c>
      <c r="E32" s="457" t="s">
        <v>474</v>
      </c>
      <c r="F32" s="457"/>
      <c r="G32" s="457"/>
      <c r="H32" s="457"/>
      <c r="I32" s="457"/>
      <c r="J32" s="457"/>
    </row>
    <row r="33" customFormat="false" ht="19.5" hidden="false" customHeight="true" outlineLevel="0" collapsed="false">
      <c r="A33" s="458" t="s">
        <v>555</v>
      </c>
      <c r="B33" s="459"/>
      <c r="C33" s="459"/>
      <c r="D33" s="433" t="n">
        <f aca="false">Dados!$G$43</f>
        <v>0.03</v>
      </c>
      <c r="E33" s="460"/>
      <c r="F33" s="431" t="n">
        <f aca="false">ROUND((F30*$D$33),2)</f>
        <v>111.43</v>
      </c>
      <c r="G33" s="431" t="n">
        <f aca="false">ROUND((G30*$D$33),2)</f>
        <v>111.43</v>
      </c>
      <c r="H33" s="431" t="n">
        <f aca="false">ROUND((H30*$D$33),2)</f>
        <v>14.26</v>
      </c>
      <c r="I33" s="431" t="n">
        <f aca="false">ROUND((I30*$D$33),2)</f>
        <v>2.02</v>
      </c>
      <c r="J33" s="432" t="n">
        <f aca="false">ROUND((J30*$D$33),2)</f>
        <v>0</v>
      </c>
    </row>
    <row r="34" customFormat="false" ht="19.5" hidden="false" customHeight="true" outlineLevel="0" collapsed="false">
      <c r="A34" s="461" t="s">
        <v>556</v>
      </c>
      <c r="B34" s="461"/>
      <c r="C34" s="461"/>
      <c r="D34" s="433"/>
      <c r="E34" s="460"/>
      <c r="F34" s="431" t="n">
        <f aca="false">F30+F33</f>
        <v>3825.85</v>
      </c>
      <c r="G34" s="431" t="n">
        <f aca="false">G30+G33</f>
        <v>3825.85</v>
      </c>
      <c r="H34" s="431" t="n">
        <f aca="false">H30+H33</f>
        <v>489.46</v>
      </c>
      <c r="I34" s="431" t="n">
        <f aca="false">I30+I33</f>
        <v>69.22</v>
      </c>
      <c r="J34" s="432" t="n">
        <f aca="false">J30+J33</f>
        <v>0</v>
      </c>
    </row>
    <row r="35" customFormat="false" ht="19.5" hidden="false" customHeight="true" outlineLevel="0" collapsed="false">
      <c r="A35" s="462" t="s">
        <v>242</v>
      </c>
      <c r="B35" s="463"/>
      <c r="C35" s="463"/>
      <c r="D35" s="435" t="n">
        <f aca="false">Dados!$G$44</f>
        <v>0.0679</v>
      </c>
      <c r="E35" s="464"/>
      <c r="F35" s="437" t="n">
        <f aca="false">ROUND((F34*$D$35),2)</f>
        <v>259.78</v>
      </c>
      <c r="G35" s="437" t="n">
        <f aca="false">ROUND((G34*$D$35),2)</f>
        <v>259.78</v>
      </c>
      <c r="H35" s="437" t="n">
        <f aca="false">ROUND((H34*$D$35),2)</f>
        <v>33.23</v>
      </c>
      <c r="I35" s="437" t="n">
        <f aca="false">ROUND((I34*$D$35),2)</f>
        <v>4.7</v>
      </c>
      <c r="J35" s="438" t="n">
        <f aca="false">ROUND((J34*$D$35),2)</f>
        <v>0</v>
      </c>
    </row>
    <row r="36" customFormat="false" ht="19.5" hidden="false" customHeight="true" outlineLevel="0" collapsed="false">
      <c r="A36" s="465" t="s">
        <v>557</v>
      </c>
      <c r="B36" s="466"/>
      <c r="C36" s="466"/>
      <c r="D36" s="467" t="n">
        <f aca="false">SUM(D33:D35)</f>
        <v>0.0979</v>
      </c>
      <c r="E36" s="468"/>
      <c r="F36" s="444" t="n">
        <f aca="false">F33+F35</f>
        <v>371.21</v>
      </c>
      <c r="G36" s="444" t="n">
        <f aca="false">G33+G35</f>
        <v>371.21</v>
      </c>
      <c r="H36" s="444" t="n">
        <f aca="false">H33+H35</f>
        <v>47.49</v>
      </c>
      <c r="I36" s="444" t="n">
        <f aca="false">I33+I35</f>
        <v>6.72</v>
      </c>
      <c r="J36" s="445" t="n">
        <f aca="false">J33+J35</f>
        <v>0</v>
      </c>
    </row>
    <row r="37" customFormat="false" ht="19.5" hidden="false" customHeight="true" outlineLevel="0" collapsed="false">
      <c r="A37" s="469" t="s">
        <v>558</v>
      </c>
      <c r="B37" s="469"/>
      <c r="C37" s="469"/>
      <c r="D37" s="469"/>
      <c r="E37" s="469"/>
      <c r="F37" s="470" t="n">
        <f aca="false">F30+F36</f>
        <v>4085.63</v>
      </c>
      <c r="G37" s="470" t="n">
        <f aca="false">G30+G36</f>
        <v>4085.63</v>
      </c>
      <c r="H37" s="470" t="n">
        <f aca="false">H30+H36</f>
        <v>522.69</v>
      </c>
      <c r="I37" s="470" t="n">
        <f aca="false">I30+I36</f>
        <v>73.92</v>
      </c>
      <c r="J37" s="471" t="n">
        <f aca="false">J30+J36</f>
        <v>0</v>
      </c>
    </row>
    <row r="38" customFormat="false" ht="19.5" hidden="false" customHeight="true" outlineLevel="0" collapsed="false">
      <c r="A38" s="472" t="s">
        <v>559</v>
      </c>
      <c r="B38" s="472"/>
      <c r="C38" s="472"/>
      <c r="D38" s="472"/>
      <c r="E38" s="472"/>
      <c r="F38" s="472"/>
      <c r="G38" s="472"/>
      <c r="H38" s="472"/>
      <c r="I38" s="472"/>
      <c r="J38" s="472"/>
    </row>
    <row r="39" customFormat="false" ht="19.5" hidden="false" customHeight="true" outlineLevel="0" collapsed="false">
      <c r="A39" s="448" t="s">
        <v>248</v>
      </c>
      <c r="B39" s="448"/>
      <c r="C39" s="448"/>
      <c r="D39" s="433" t="n">
        <f aca="false">Dados!G51</f>
        <v>0.076</v>
      </c>
      <c r="E39" s="431"/>
      <c r="F39" s="431" t="n">
        <f aca="false">ROUND(($F$45*D39),2)</f>
        <v>353.86</v>
      </c>
      <c r="G39" s="431" t="n">
        <f aca="false">ROUND((G45*$D$39),2)</f>
        <v>353.86</v>
      </c>
      <c r="H39" s="431" t="n">
        <f aca="false">ROUND((H45*$D$39),2)</f>
        <v>45.27</v>
      </c>
      <c r="I39" s="431" t="n">
        <f aca="false">ROUND((I45*$D$39),2)</f>
        <v>6.4</v>
      </c>
      <c r="J39" s="432" t="n">
        <f aca="false">ROUND((J45*$D$39),2)</f>
        <v>0</v>
      </c>
    </row>
    <row r="40" customFormat="false" ht="19.5" hidden="false" customHeight="true" outlineLevel="0" collapsed="false">
      <c r="A40" s="448" t="s">
        <v>250</v>
      </c>
      <c r="B40" s="448"/>
      <c r="C40" s="448"/>
      <c r="D40" s="433" t="n">
        <f aca="false">Dados!G52</f>
        <v>0.0165</v>
      </c>
      <c r="E40" s="431"/>
      <c r="F40" s="431" t="n">
        <f aca="false">ROUND((F45*$D$40),2)</f>
        <v>76.82</v>
      </c>
      <c r="G40" s="431" t="n">
        <f aca="false">ROUND((G45*$D$40),2)</f>
        <v>76.82</v>
      </c>
      <c r="H40" s="431" t="n">
        <f aca="false">ROUND((H45*$D$40),2)</f>
        <v>9.83</v>
      </c>
      <c r="I40" s="431" t="n">
        <f aca="false">ROUND((I45*$D$40),2)</f>
        <v>1.39</v>
      </c>
      <c r="J40" s="432" t="n">
        <f aca="false">ROUND((J45*$D$40),2)</f>
        <v>0</v>
      </c>
    </row>
    <row r="41" customFormat="false" ht="19.5" hidden="false" customHeight="true" outlineLevel="0" collapsed="false">
      <c r="A41" s="448" t="s">
        <v>251</v>
      </c>
      <c r="B41" s="448"/>
      <c r="C41" s="448"/>
      <c r="D41" s="433" t="n">
        <f aca="false">Dados!G53</f>
        <v>0.03</v>
      </c>
      <c r="E41" s="431"/>
      <c r="F41" s="431" t="n">
        <f aca="false">ROUND((F45*$D$41),2)</f>
        <v>139.68</v>
      </c>
      <c r="G41" s="431" t="n">
        <f aca="false">ROUND((G45*$D$41),2)</f>
        <v>139.68</v>
      </c>
      <c r="H41" s="431" t="n">
        <f aca="false">ROUND((H45*$D$41),2)</f>
        <v>17.87</v>
      </c>
      <c r="I41" s="431" t="n">
        <f aca="false">ROUND((I45*$D$41),2)</f>
        <v>2.53</v>
      </c>
      <c r="J41" s="432" t="n">
        <f aca="false">ROUND((J45*$D$41),2)</f>
        <v>0</v>
      </c>
    </row>
    <row r="42" customFormat="false" ht="19.5" hidden="false" customHeight="true" outlineLevel="0" collapsed="false">
      <c r="A42" s="448" t="s">
        <v>237</v>
      </c>
      <c r="B42" s="448"/>
      <c r="C42" s="448"/>
      <c r="D42" s="433" t="n">
        <f aca="false">Dados!G54</f>
        <v>0</v>
      </c>
      <c r="E42" s="431"/>
      <c r="F42" s="431" t="n">
        <f aca="false">ROUND((F45*$D$42),2)</f>
        <v>0</v>
      </c>
      <c r="G42" s="431" t="n">
        <f aca="false">ROUND((G45*$D$42),2)</f>
        <v>0</v>
      </c>
      <c r="H42" s="431" t="n">
        <f aca="false">ROUND((H45*$D$42),2)</f>
        <v>0</v>
      </c>
      <c r="I42" s="431" t="n">
        <f aca="false">ROUND((I45*$D$42),2)</f>
        <v>0</v>
      </c>
      <c r="J42" s="432" t="n">
        <f aca="false">ROUND((J45*$D$42),2)</f>
        <v>0</v>
      </c>
    </row>
    <row r="43" customFormat="false" ht="19.5" hidden="false" customHeight="true" outlineLevel="0" collapsed="false">
      <c r="A43" s="473" t="s">
        <v>560</v>
      </c>
      <c r="B43" s="473"/>
      <c r="C43" s="473"/>
      <c r="D43" s="474" t="n">
        <f aca="false">SUM(D39:D42)</f>
        <v>0.1225</v>
      </c>
      <c r="E43" s="475"/>
      <c r="F43" s="476" t="n">
        <f aca="false">SUM(F39:F42)</f>
        <v>570.36</v>
      </c>
      <c r="G43" s="476" t="n">
        <f aca="false">SUM(G39:G42)</f>
        <v>570.36</v>
      </c>
      <c r="H43" s="476" t="n">
        <f aca="false">SUM(H39:H42)</f>
        <v>72.97</v>
      </c>
      <c r="I43" s="476" t="n">
        <f aca="false">SUM(I39:I42)</f>
        <v>10.32</v>
      </c>
      <c r="J43" s="477" t="n">
        <f aca="false">SUM(J39:J41)</f>
        <v>0</v>
      </c>
    </row>
    <row r="44" customFormat="false" ht="19.5" hidden="false" customHeight="true" outlineLevel="0" collapsed="false">
      <c r="A44" s="478" t="str">
        <f aca="false">CONCATENATE("Custo Mensal - ",A7)</f>
        <v>Custo Mensal - Auxiliar Administrativo</v>
      </c>
      <c r="B44" s="478"/>
      <c r="C44" s="478"/>
      <c r="D44" s="478"/>
      <c r="E44" s="478"/>
      <c r="F44" s="479" t="n">
        <f aca="false">ROUND(F37/(1-D43),2)</f>
        <v>4655.99</v>
      </c>
      <c r="G44" s="479" t="n">
        <f aca="false">ROUND(G37/(1-D43),2)</f>
        <v>4655.99</v>
      </c>
      <c r="H44" s="479" t="n">
        <f aca="false">ROUND(H37/(1-D43),2)</f>
        <v>595.66</v>
      </c>
      <c r="I44" s="479" t="n">
        <f aca="false">ROUND(I37/(1-D43),2)</f>
        <v>84.24</v>
      </c>
      <c r="J44" s="480" t="n">
        <f aca="false">ROUND(J37/(1-D43),2)</f>
        <v>0</v>
      </c>
    </row>
    <row r="45" customFormat="false" ht="19.5" hidden="false" customHeight="true" outlineLevel="0" collapsed="false">
      <c r="A45" s="478" t="str">
        <f aca="false">CONCATENATE("Valor do Custo Mensal - ",A7)</f>
        <v>Valor do Custo Mensal - Auxiliar Administrativo</v>
      </c>
      <c r="B45" s="478"/>
      <c r="C45" s="478"/>
      <c r="D45" s="478"/>
      <c r="E45" s="478"/>
      <c r="F45" s="479" t="n">
        <f aca="false">F44</f>
        <v>4655.99</v>
      </c>
      <c r="G45" s="479" t="n">
        <f aca="false">G44</f>
        <v>4655.99</v>
      </c>
      <c r="H45" s="479" t="n">
        <f aca="false">H44</f>
        <v>595.66</v>
      </c>
      <c r="I45" s="479" t="n">
        <f aca="false">I44</f>
        <v>84.24</v>
      </c>
      <c r="J45" s="480" t="n">
        <f aca="false">J44</f>
        <v>0</v>
      </c>
      <c r="K45" s="481"/>
      <c r="L45" s="481"/>
    </row>
    <row r="46" customFormat="false" ht="27.75" hidden="false" customHeight="true" outlineLevel="0" collapsed="false">
      <c r="A46" s="482" t="s">
        <v>561</v>
      </c>
      <c r="B46" s="482"/>
      <c r="C46" s="482"/>
      <c r="D46" s="482"/>
      <c r="E46" s="482"/>
      <c r="F46" s="483" t="n">
        <f aca="false">(F45/F14)</f>
        <v>2.67585632183908</v>
      </c>
      <c r="G46" s="483" t="n">
        <f aca="false">(G45/G14)</f>
        <v>2.67585632183908</v>
      </c>
      <c r="H46" s="484" t="s">
        <v>562</v>
      </c>
      <c r="I46" s="484"/>
      <c r="J46" s="485" t="n">
        <v>0</v>
      </c>
    </row>
    <row r="47" customFormat="false" ht="19.5" hidden="false" customHeight="true" outlineLevel="0" collapsed="false"/>
  </sheetData>
  <sheetProtection algorithmName="SHA-512" hashValue="hDFpJI73thJchuYmU/qtmSU+MgI6Sw/1twcD9OfTTjRyBRgdCYXA/bHs+5BcaK9/shV6qlMukkUAV0pMH2W8FQ==" saltValue="PhPEeepvOq4kkeH0jZ2uhw==" spinCount="100000" sheet="true" objects="true" scenarios="true"/>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A42:C42"/>
    <mergeCell ref="A43:C43"/>
    <mergeCell ref="A44:E44"/>
    <mergeCell ref="A45:E45"/>
    <mergeCell ref="A46:E46"/>
    <mergeCell ref="H46:I46"/>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Y23"/>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M30" activeCellId="0" sqref="M30"/>
    </sheetView>
  </sheetViews>
  <sheetFormatPr defaultColWidth="8.71484375" defaultRowHeight="15" zeroHeight="false" outlineLevelRow="0" outlineLevelCol="0"/>
  <cols>
    <col collapsed="false" customWidth="true" hidden="false" outlineLevel="0" max="1" min="1" style="1" width="12"/>
    <col collapsed="false" customWidth="true" hidden="false" outlineLevel="0" max="2" min="2" style="1" width="44.42"/>
    <col collapsed="false" customWidth="true" hidden="false" outlineLevel="0" max="3" min="3" style="1" width="7.15"/>
    <col collapsed="false" customWidth="true" hidden="false" outlineLevel="0" max="4" min="4" style="1" width="6.71"/>
    <col collapsed="false" customWidth="true" hidden="false" outlineLevel="0" max="5" min="5" style="1" width="10.14"/>
    <col collapsed="false" customWidth="true" hidden="false" outlineLevel="0" max="6" min="6" style="1" width="12.57"/>
    <col collapsed="false" customWidth="true" hidden="false" outlineLevel="0" max="7" min="7" style="1" width="12.29"/>
    <col collapsed="false" customWidth="true" hidden="false" outlineLevel="0" max="8" min="8" style="1" width="13.42"/>
    <col collapsed="false" customWidth="true" hidden="false" outlineLevel="0" max="9" min="9" style="1" width="11.85"/>
    <col collapsed="false" customWidth="true" hidden="false" outlineLevel="0" max="10" min="10" style="1" width="13.71"/>
    <col collapsed="false" customWidth="true" hidden="false" outlineLevel="0" max="11" min="11" style="1" width="11.29"/>
    <col collapsed="false" customWidth="true" hidden="false" outlineLevel="0" max="12" min="12" style="1" width="15.57"/>
    <col collapsed="false" customWidth="true" hidden="false" outlineLevel="0" max="13" min="13" style="1" width="12.29"/>
    <col collapsed="false" customWidth="true" hidden="false" outlineLevel="0" max="14" min="14" style="1" width="7.42"/>
    <col collapsed="false" customWidth="true" hidden="false" outlineLevel="0" max="15" min="15" style="1" width="13.29"/>
    <col collapsed="false" customWidth="true" hidden="false" outlineLevel="0" max="16" min="16" style="1" width="12"/>
    <col collapsed="false" customWidth="true" hidden="false" outlineLevel="0" max="17" min="17" style="1" width="9.57"/>
    <col collapsed="false" customWidth="true" hidden="false" outlineLevel="0" max="18" min="18" style="1" width="11.29"/>
    <col collapsed="false" customWidth="true" hidden="false" outlineLevel="0" max="19" min="19" style="1" width="16.14"/>
    <col collapsed="false" customWidth="true" hidden="false" outlineLevel="0" max="20" min="20" style="1" width="12.15"/>
    <col collapsed="false" customWidth="true" hidden="false" outlineLevel="0" max="22" min="21" style="1" width="10.14"/>
    <col collapsed="false" customWidth="true" hidden="false" outlineLevel="0" max="23" min="23" style="1" width="16.43"/>
    <col collapsed="false" customWidth="true" hidden="false" outlineLevel="0" max="259" min="24" style="1" width="9.14"/>
    <col collapsed="false" customWidth="true" hidden="false" outlineLevel="0" max="260" min="260" style="1" width="13.15"/>
    <col collapsed="false" customWidth="true" hidden="false" outlineLevel="0" max="261" min="261" style="1" width="38.42"/>
    <col collapsed="false" customWidth="true" hidden="false" outlineLevel="0" max="262" min="262" style="1" width="7.15"/>
    <col collapsed="false" customWidth="true" hidden="false" outlineLevel="0" max="263" min="263" style="1" width="6.71"/>
    <col collapsed="false" customWidth="true" hidden="false" outlineLevel="0" max="264" min="264" style="1" width="10.14"/>
    <col collapsed="false" customWidth="true" hidden="false" outlineLevel="0" max="265" min="265" style="1" width="12.57"/>
    <col collapsed="false" customWidth="true" hidden="false" outlineLevel="0" max="266" min="266" style="1" width="12.29"/>
    <col collapsed="false" customWidth="true" hidden="false" outlineLevel="0" max="267" min="267" style="1" width="13.42"/>
    <col collapsed="false" customWidth="true" hidden="false" outlineLevel="0" max="268" min="268" style="1" width="12.15"/>
    <col collapsed="false" customWidth="true" hidden="false" outlineLevel="0" max="269" min="269" style="1" width="13.71"/>
    <col collapsed="false" customWidth="true" hidden="false" outlineLevel="0" max="270" min="270" style="1" width="11.29"/>
    <col collapsed="false" customWidth="true" hidden="false" outlineLevel="0" max="271" min="271" style="1" width="15.57"/>
    <col collapsed="false" customWidth="true" hidden="false" outlineLevel="0" max="272" min="272" style="1" width="12.29"/>
    <col collapsed="false" customWidth="true" hidden="false" outlineLevel="0" max="273" min="273" style="1" width="7.42"/>
    <col collapsed="false" customWidth="true" hidden="false" outlineLevel="0" max="274" min="274" style="1" width="13.29"/>
    <col collapsed="false" customWidth="true" hidden="false" outlineLevel="0" max="275" min="275" style="1" width="14"/>
    <col collapsed="false" customWidth="true" hidden="false" outlineLevel="0" max="276" min="276" style="1" width="12.15"/>
    <col collapsed="false" customWidth="true" hidden="false" outlineLevel="0" max="278" min="277" style="1" width="10.14"/>
    <col collapsed="false" customWidth="true" hidden="false" outlineLevel="0" max="279" min="279" style="1" width="16.43"/>
    <col collapsed="false" customWidth="true" hidden="false" outlineLevel="0" max="515" min="280" style="1" width="9.14"/>
    <col collapsed="false" customWidth="true" hidden="false" outlineLevel="0" max="516" min="516" style="1" width="13.15"/>
    <col collapsed="false" customWidth="true" hidden="false" outlineLevel="0" max="517" min="517" style="1" width="38.42"/>
    <col collapsed="false" customWidth="true" hidden="false" outlineLevel="0" max="518" min="518" style="1" width="7.15"/>
    <col collapsed="false" customWidth="true" hidden="false" outlineLevel="0" max="519" min="519" style="1" width="6.71"/>
    <col collapsed="false" customWidth="true" hidden="false" outlineLevel="0" max="520" min="520" style="1" width="10.14"/>
    <col collapsed="false" customWidth="true" hidden="false" outlineLevel="0" max="521" min="521" style="1" width="12.57"/>
    <col collapsed="false" customWidth="true" hidden="false" outlineLevel="0" max="522" min="522" style="1" width="12.29"/>
    <col collapsed="false" customWidth="true" hidden="false" outlineLevel="0" max="523" min="523" style="1" width="13.42"/>
    <col collapsed="false" customWidth="true" hidden="false" outlineLevel="0" max="524" min="524" style="1" width="12.15"/>
    <col collapsed="false" customWidth="true" hidden="false" outlineLevel="0" max="525" min="525" style="1" width="13.71"/>
    <col collapsed="false" customWidth="true" hidden="false" outlineLevel="0" max="526" min="526" style="1" width="11.29"/>
    <col collapsed="false" customWidth="true" hidden="false" outlineLevel="0" max="527" min="527" style="1" width="15.57"/>
    <col collapsed="false" customWidth="true" hidden="false" outlineLevel="0" max="528" min="528" style="1" width="12.29"/>
    <col collapsed="false" customWidth="true" hidden="false" outlineLevel="0" max="529" min="529" style="1" width="7.42"/>
    <col collapsed="false" customWidth="true" hidden="false" outlineLevel="0" max="530" min="530" style="1" width="13.29"/>
    <col collapsed="false" customWidth="true" hidden="false" outlineLevel="0" max="531" min="531" style="1" width="14"/>
    <col collapsed="false" customWidth="true" hidden="false" outlineLevel="0" max="532" min="532" style="1" width="12.15"/>
    <col collapsed="false" customWidth="true" hidden="false" outlineLevel="0" max="534" min="533" style="1" width="10.14"/>
    <col collapsed="false" customWidth="true" hidden="false" outlineLevel="0" max="535" min="535" style="1" width="16.43"/>
    <col collapsed="false" customWidth="true" hidden="false" outlineLevel="0" max="771" min="536" style="1" width="9.14"/>
    <col collapsed="false" customWidth="true" hidden="false" outlineLevel="0" max="772" min="772" style="1" width="13.15"/>
    <col collapsed="false" customWidth="true" hidden="false" outlineLevel="0" max="773" min="773" style="1" width="38.42"/>
    <col collapsed="false" customWidth="true" hidden="false" outlineLevel="0" max="774" min="774" style="1" width="7.15"/>
    <col collapsed="false" customWidth="true" hidden="false" outlineLevel="0" max="775" min="775" style="1" width="6.71"/>
    <col collapsed="false" customWidth="true" hidden="false" outlineLevel="0" max="776" min="776" style="1" width="10.14"/>
    <col collapsed="false" customWidth="true" hidden="false" outlineLevel="0" max="777" min="777" style="1" width="12.57"/>
    <col collapsed="false" customWidth="true" hidden="false" outlineLevel="0" max="778" min="778" style="1" width="12.29"/>
    <col collapsed="false" customWidth="true" hidden="false" outlineLevel="0" max="779" min="779" style="1" width="13.42"/>
    <col collapsed="false" customWidth="true" hidden="false" outlineLevel="0" max="780" min="780" style="1" width="12.15"/>
    <col collapsed="false" customWidth="true" hidden="false" outlineLevel="0" max="781" min="781" style="1" width="13.71"/>
    <col collapsed="false" customWidth="true" hidden="false" outlineLevel="0" max="782" min="782" style="1" width="11.29"/>
    <col collapsed="false" customWidth="true" hidden="false" outlineLevel="0" max="783" min="783" style="1" width="15.57"/>
    <col collapsed="false" customWidth="true" hidden="false" outlineLevel="0" max="784" min="784" style="1" width="12.29"/>
    <col collapsed="false" customWidth="true" hidden="false" outlineLevel="0" max="785" min="785" style="1" width="7.42"/>
    <col collapsed="false" customWidth="true" hidden="false" outlineLevel="0" max="786" min="786" style="1" width="13.29"/>
    <col collapsed="false" customWidth="true" hidden="false" outlineLevel="0" max="787" min="787" style="1" width="14"/>
    <col collapsed="false" customWidth="true" hidden="false" outlineLevel="0" max="788" min="788" style="1" width="12.15"/>
    <col collapsed="false" customWidth="true" hidden="false" outlineLevel="0" max="790" min="789" style="1" width="10.14"/>
    <col collapsed="false" customWidth="true" hidden="false" outlineLevel="0" max="791" min="791" style="1" width="16.43"/>
    <col collapsed="false" customWidth="true" hidden="false" outlineLevel="0" max="1025" min="792" style="1" width="9.14"/>
  </cols>
  <sheetData>
    <row r="1" customFormat="false" ht="15" hidden="false" customHeight="false" outlineLevel="0" collapsed="false">
      <c r="A1" s="4"/>
      <c r="B1" s="487" t="str">
        <f aca="false">INSTRUÇÕES!B1</f>
        <v>Tribunal Regional Federal da 6ª Região</v>
      </c>
      <c r="C1" s="258"/>
      <c r="D1" s="258"/>
      <c r="E1" s="258"/>
      <c r="F1" s="258"/>
      <c r="G1" s="258"/>
      <c r="H1" s="258"/>
      <c r="I1" s="258"/>
      <c r="J1" s="488"/>
      <c r="K1" s="488"/>
      <c r="L1" s="488"/>
      <c r="M1" s="488"/>
      <c r="N1" s="488"/>
      <c r="O1" s="488"/>
      <c r="P1" s="488"/>
      <c r="Q1" s="488"/>
      <c r="R1" s="488"/>
      <c r="S1" s="488"/>
      <c r="T1" s="488"/>
      <c r="U1" s="488"/>
      <c r="V1" s="488"/>
      <c r="W1" s="489"/>
    </row>
    <row r="2" customFormat="false" ht="15" hidden="false" customHeight="false" outlineLevel="0" collapsed="false">
      <c r="A2" s="490"/>
      <c r="B2" s="133" t="str">
        <f aca="false">INSTRUÇÕES!B2</f>
        <v>Seção Judiciária de Minas Gerais</v>
      </c>
      <c r="C2" s="81"/>
      <c r="D2" s="81"/>
      <c r="E2" s="81"/>
      <c r="F2" s="81"/>
      <c r="G2" s="81"/>
      <c r="H2" s="81"/>
      <c r="I2" s="81"/>
      <c r="W2" s="491"/>
    </row>
    <row r="3" customFormat="false" ht="15" hidden="false" customHeight="false" outlineLevel="0" collapsed="false">
      <c r="A3" s="490"/>
      <c r="B3" s="133" t="str">
        <f aca="false">INSTRUÇÕES!B3</f>
        <v>Subseção Judiciária de Passos</v>
      </c>
      <c r="C3" s="81"/>
      <c r="D3" s="81"/>
      <c r="E3" s="81"/>
      <c r="F3" s="81"/>
      <c r="G3" s="81"/>
      <c r="H3" s="81"/>
      <c r="I3" s="81"/>
      <c r="W3" s="491"/>
    </row>
    <row r="4" s="493" customFormat="true" ht="18.75" hidden="false" customHeight="true" outlineLevel="0" collapsed="false">
      <c r="A4" s="492" t="s">
        <v>565</v>
      </c>
      <c r="B4" s="492"/>
      <c r="C4" s="492"/>
      <c r="D4" s="492"/>
      <c r="E4" s="492"/>
      <c r="F4" s="492"/>
      <c r="G4" s="492"/>
      <c r="H4" s="492"/>
      <c r="I4" s="492"/>
      <c r="J4" s="492"/>
      <c r="K4" s="492"/>
      <c r="L4" s="492"/>
      <c r="M4" s="492"/>
      <c r="N4" s="492"/>
      <c r="O4" s="492"/>
      <c r="P4" s="492"/>
      <c r="Q4" s="492"/>
      <c r="R4" s="492"/>
      <c r="S4" s="492"/>
      <c r="T4" s="492"/>
      <c r="U4" s="492"/>
      <c r="V4" s="492"/>
      <c r="W4" s="492"/>
    </row>
    <row r="5" s="136" customFormat="true" ht="21" hidden="false" customHeight="true" outlineLevel="0" collapsed="false">
      <c r="A5" s="494" t="str">
        <f aca="false">"PREÇO MENSAL GLOBAL - "&amp;B3</f>
        <v>PREÇO MENSAL GLOBAL - Subseção Judiciária de Passos</v>
      </c>
      <c r="B5" s="494"/>
      <c r="C5" s="494"/>
      <c r="D5" s="494"/>
      <c r="E5" s="494"/>
      <c r="F5" s="494"/>
      <c r="G5" s="494"/>
      <c r="H5" s="494"/>
      <c r="I5" s="494"/>
      <c r="J5" s="494"/>
      <c r="K5" s="494"/>
      <c r="L5" s="494"/>
      <c r="M5" s="494"/>
      <c r="N5" s="494"/>
      <c r="O5" s="494"/>
      <c r="P5" s="494"/>
      <c r="Q5" s="494"/>
      <c r="R5" s="494"/>
      <c r="S5" s="494"/>
      <c r="T5" s="494"/>
      <c r="U5" s="494"/>
      <c r="V5" s="494"/>
      <c r="W5" s="494"/>
    </row>
    <row r="6" s="3" customFormat="true" ht="23.25" hidden="false" customHeight="true" outlineLevel="0" collapsed="false">
      <c r="A6" s="495" t="str">
        <f aca="false">Dados!A4</f>
        <v>Sindicato utilizado - SINSERHT x SINTAPPI. Vigência: 2024/2025. Sendo a data base da categoria 01° de Abril. Com número de registro no MTE MG002103/2024.</v>
      </c>
      <c r="B6" s="495"/>
      <c r="C6" s="495"/>
      <c r="D6" s="495"/>
      <c r="E6" s="495"/>
      <c r="F6" s="495"/>
      <c r="G6" s="495"/>
      <c r="H6" s="495"/>
      <c r="I6" s="495"/>
      <c r="J6" s="495"/>
      <c r="K6" s="495"/>
      <c r="L6" s="495"/>
      <c r="M6" s="495"/>
      <c r="N6" s="495"/>
      <c r="O6" s="495"/>
      <c r="P6" s="495"/>
      <c r="Q6" s="495"/>
      <c r="R6" s="495"/>
      <c r="S6" s="495"/>
      <c r="T6" s="495"/>
      <c r="U6" s="495"/>
      <c r="V6" s="495"/>
      <c r="W6" s="495"/>
    </row>
    <row r="7" s="18" customFormat="true" ht="18.75" hidden="false" customHeight="true" outlineLevel="0" collapsed="false">
      <c r="A7" s="496"/>
      <c r="B7" s="497"/>
      <c r="C7" s="497"/>
      <c r="D7" s="497"/>
      <c r="E7" s="498"/>
      <c r="F7" s="498"/>
      <c r="G7" s="498"/>
      <c r="H7" s="499" t="s">
        <v>566</v>
      </c>
      <c r="I7" s="500"/>
      <c r="J7" s="500"/>
      <c r="K7" s="498"/>
      <c r="L7" s="498"/>
      <c r="M7" s="498"/>
      <c r="N7" s="498"/>
      <c r="O7" s="498"/>
      <c r="P7" s="498"/>
      <c r="Q7" s="498"/>
      <c r="R7" s="498"/>
      <c r="S7" s="501" t="s">
        <v>567</v>
      </c>
      <c r="T7" s="501"/>
      <c r="U7" s="501"/>
      <c r="V7" s="501"/>
      <c r="W7" s="501"/>
    </row>
    <row r="8" s="18" customFormat="true" ht="22.5" hidden="false" customHeight="true" outlineLevel="0" collapsed="false">
      <c r="A8" s="502" t="s">
        <v>568</v>
      </c>
      <c r="B8" s="503" t="s">
        <v>569</v>
      </c>
      <c r="C8" s="503"/>
      <c r="D8" s="504" t="s">
        <v>44</v>
      </c>
      <c r="E8" s="504"/>
      <c r="F8" s="504"/>
      <c r="G8" s="504"/>
      <c r="H8" s="504"/>
      <c r="I8" s="504"/>
      <c r="J8" s="504"/>
      <c r="K8" s="504"/>
      <c r="L8" s="504"/>
      <c r="M8" s="504"/>
      <c r="N8" s="504"/>
      <c r="O8" s="504"/>
      <c r="P8" s="504"/>
      <c r="Q8" s="504"/>
      <c r="R8" s="504"/>
      <c r="S8" s="504"/>
      <c r="T8" s="504"/>
      <c r="U8" s="504"/>
      <c r="V8" s="504"/>
      <c r="W8" s="505" t="s">
        <v>570</v>
      </c>
    </row>
    <row r="9" s="18" customFormat="true" ht="20.25" hidden="false" customHeight="true" outlineLevel="0" collapsed="false">
      <c r="A9" s="502"/>
      <c r="B9" s="503"/>
      <c r="C9" s="503"/>
      <c r="D9" s="506" t="s">
        <v>571</v>
      </c>
      <c r="E9" s="506"/>
      <c r="F9" s="506"/>
      <c r="G9" s="506" t="s">
        <v>572</v>
      </c>
      <c r="H9" s="506"/>
      <c r="I9" s="506"/>
      <c r="J9" s="507" t="s">
        <v>573</v>
      </c>
      <c r="K9" s="507"/>
      <c r="L9" s="507"/>
      <c r="M9" s="507"/>
      <c r="N9" s="507"/>
      <c r="O9" s="507"/>
      <c r="P9" s="508" t="s">
        <v>574</v>
      </c>
      <c r="Q9" s="508"/>
      <c r="R9" s="508"/>
      <c r="S9" s="509" t="s">
        <v>575</v>
      </c>
      <c r="T9" s="510" t="s">
        <v>576</v>
      </c>
      <c r="U9" s="510"/>
      <c r="V9" s="510"/>
      <c r="W9" s="505"/>
    </row>
    <row r="10" s="18" customFormat="true" ht="27.75" hidden="false" customHeight="true" outlineLevel="0" collapsed="false">
      <c r="A10" s="502"/>
      <c r="B10" s="503"/>
      <c r="C10" s="503"/>
      <c r="D10" s="511" t="s">
        <v>577</v>
      </c>
      <c r="E10" s="511"/>
      <c r="F10" s="511"/>
      <c r="G10" s="512" t="s">
        <v>578</v>
      </c>
      <c r="H10" s="513" t="s">
        <v>579</v>
      </c>
      <c r="I10" s="513"/>
      <c r="J10" s="514" t="s">
        <v>580</v>
      </c>
      <c r="K10" s="514"/>
      <c r="L10" s="514"/>
      <c r="M10" s="515" t="s">
        <v>581</v>
      </c>
      <c r="N10" s="515"/>
      <c r="O10" s="515"/>
      <c r="P10" s="516" t="s">
        <v>582</v>
      </c>
      <c r="Q10" s="516"/>
      <c r="R10" s="516"/>
      <c r="S10" s="517" t="s">
        <v>583</v>
      </c>
      <c r="T10" s="516" t="s">
        <v>584</v>
      </c>
      <c r="U10" s="516"/>
      <c r="V10" s="516"/>
      <c r="W10" s="505"/>
    </row>
    <row r="11" s="18" customFormat="true" ht="49.95" hidden="false" customHeight="false" outlineLevel="0" collapsed="false">
      <c r="A11" s="502"/>
      <c r="B11" s="518" t="s">
        <v>25</v>
      </c>
      <c r="C11" s="519" t="s">
        <v>26</v>
      </c>
      <c r="D11" s="520" t="s">
        <v>24</v>
      </c>
      <c r="E11" s="521" t="s">
        <v>585</v>
      </c>
      <c r="F11" s="522" t="s">
        <v>586</v>
      </c>
      <c r="G11" s="512"/>
      <c r="H11" s="523" t="s">
        <v>587</v>
      </c>
      <c r="I11" s="524" t="s">
        <v>588</v>
      </c>
      <c r="J11" s="525" t="s">
        <v>589</v>
      </c>
      <c r="K11" s="523" t="s">
        <v>33</v>
      </c>
      <c r="L11" s="526" t="s">
        <v>590</v>
      </c>
      <c r="M11" s="518" t="s">
        <v>591</v>
      </c>
      <c r="N11" s="521" t="s">
        <v>34</v>
      </c>
      <c r="O11" s="527" t="s">
        <v>592</v>
      </c>
      <c r="P11" s="518" t="s">
        <v>593</v>
      </c>
      <c r="Q11" s="521" t="s">
        <v>594</v>
      </c>
      <c r="R11" s="519" t="s">
        <v>595</v>
      </c>
      <c r="S11" s="517"/>
      <c r="T11" s="518" t="s">
        <v>596</v>
      </c>
      <c r="U11" s="521" t="s">
        <v>597</v>
      </c>
      <c r="V11" s="528" t="s">
        <v>598</v>
      </c>
      <c r="W11" s="505"/>
    </row>
    <row r="12" s="18" customFormat="true" ht="15.75" hidden="false" customHeight="true" outlineLevel="0" collapsed="false">
      <c r="A12" s="529" t="n">
        <f aca="false">Dados!A7</f>
        <v>333903702</v>
      </c>
      <c r="B12" s="530" t="str">
        <f aca="false">Dados!C7</f>
        <v>Servente de Limpeza 40% Insalubridade</v>
      </c>
      <c r="C12" s="531" t="n">
        <f aca="false">Dados!D7</f>
        <v>200</v>
      </c>
      <c r="D12" s="532" t="n">
        <f aca="false">Dados!B7</f>
        <v>1</v>
      </c>
      <c r="E12" s="533" t="n">
        <f aca="false">'Serv Ins'!$F$45</f>
        <v>5625.61</v>
      </c>
      <c r="F12" s="534" t="n">
        <f aca="false">ROUND((D12*E12),2)</f>
        <v>5625.61</v>
      </c>
      <c r="G12" s="535" t="n">
        <f aca="false">'Serv Ins'!$I$45</f>
        <v>110.71</v>
      </c>
      <c r="H12" s="536" t="n">
        <f aca="false">'Ocorrências Mensais - FAT'!F11+'Ocorrências Mensais - FAT'!H11</f>
        <v>0</v>
      </c>
      <c r="I12" s="537" t="n">
        <f aca="false">(ROUND((G12/Dados!$G$34*H12)-(G12/'Ocorrências Mensais - FAT'!$E$5*'Ocorrências Mensais - FAT'!G11),2))</f>
        <v>0</v>
      </c>
      <c r="J12" s="538" t="n">
        <f aca="false">'Serv Ins'!$G$45</f>
        <v>5159.49</v>
      </c>
      <c r="K12" s="536" t="n">
        <f aca="false">'Ocorrências Mensais - FAT'!K11</f>
        <v>0</v>
      </c>
      <c r="L12" s="537" t="n">
        <f aca="false">J12/'Ocorrências Mensais - FAT'!$E$5*K12</f>
        <v>0</v>
      </c>
      <c r="M12" s="539" t="n">
        <f aca="false">'Custo Estimado Substituto'!$F$33</f>
        <v>4439.16</v>
      </c>
      <c r="N12" s="540" t="n">
        <f aca="false">'Ocorrências Mensais - FAT'!L11</f>
        <v>0</v>
      </c>
      <c r="O12" s="541" t="n">
        <f aca="false">M12/'Ocorrências Mensais - FAT'!$E$5*N12</f>
        <v>0</v>
      </c>
      <c r="P12" s="542" t="n">
        <f aca="false">'Serv Ins'!$H$45</f>
        <v>595.66</v>
      </c>
      <c r="Q12" s="543" t="n">
        <f aca="false">'Ocorrências Mensais - FAT'!M11</f>
        <v>0</v>
      </c>
      <c r="R12" s="541" t="n">
        <f aca="false">ROUND((P12/Dados!$G$37*Q12),2)</f>
        <v>0</v>
      </c>
      <c r="S12" s="544" t="n">
        <f aca="false">I12+L12+O12+R12</f>
        <v>0</v>
      </c>
      <c r="T12" s="545"/>
      <c r="U12" s="546"/>
      <c r="V12" s="547"/>
      <c r="W12" s="548" t="n">
        <f aca="false">ROUND((F12-S12+V12),2)</f>
        <v>5625.61</v>
      </c>
    </row>
    <row r="13" s="18" customFormat="true" ht="15" hidden="false" customHeight="false" outlineLevel="0" collapsed="false">
      <c r="A13" s="529"/>
      <c r="B13" s="530" t="str">
        <f aca="false">Dados!C8</f>
        <v>Servente de Limpeza  ac. Copeira</v>
      </c>
      <c r="C13" s="531" t="n">
        <f aca="false">Dados!D8</f>
        <v>200</v>
      </c>
      <c r="D13" s="532" t="n">
        <f aca="false">Dados!B8</f>
        <v>1</v>
      </c>
      <c r="E13" s="533" t="n">
        <f aca="false">'Serv Copeira'!$F$45</f>
        <v>4568.58</v>
      </c>
      <c r="F13" s="534" t="n">
        <f aca="false">ROUND((D13*E13),2)</f>
        <v>4568.58</v>
      </c>
      <c r="G13" s="549" t="n">
        <f aca="false">'Serv Copeira'!$I$45</f>
        <v>110.71</v>
      </c>
      <c r="H13" s="550" t="n">
        <f aca="false">'Ocorrências Mensais - FAT'!F12+'Ocorrências Mensais - FAT'!H12</f>
        <v>0</v>
      </c>
      <c r="I13" s="551" t="n">
        <f aca="false">(ROUND((G13/Dados!$G$34*H13)-(G13/'Ocorrências Mensais - FAT'!$E$5*'Ocorrências Mensais - FAT'!G12),2))</f>
        <v>0</v>
      </c>
      <c r="J13" s="552" t="n">
        <f aca="false">'Serv Copeira'!$G$45</f>
        <v>3994.51</v>
      </c>
      <c r="K13" s="550" t="n">
        <f aca="false">'Ocorrências Mensais - FAT'!K12</f>
        <v>0</v>
      </c>
      <c r="L13" s="551" t="n">
        <f aca="false">J13/'Ocorrências Mensais - FAT'!$E$5*K13</f>
        <v>0</v>
      </c>
      <c r="M13" s="552" t="n">
        <f aca="false">'Custo Estimado Substituto'!G33</f>
        <v>3439.03</v>
      </c>
      <c r="N13" s="550" t="n">
        <f aca="false">'Ocorrências Mensais - FAT'!L12</f>
        <v>0</v>
      </c>
      <c r="O13" s="553" t="n">
        <f aca="false">M13/'Ocorrências Mensais - FAT'!$E$5*N13</f>
        <v>0</v>
      </c>
      <c r="P13" s="554" t="n">
        <f aca="false">'Serv Copeira'!$H$45</f>
        <v>595.66</v>
      </c>
      <c r="Q13" s="555" t="n">
        <f aca="false">'Ocorrências Mensais - FAT'!M12</f>
        <v>0</v>
      </c>
      <c r="R13" s="553" t="n">
        <f aca="false">ROUND((P13/Dados!$G$37*Q13),2)</f>
        <v>0</v>
      </c>
      <c r="S13" s="556" t="n">
        <f aca="false">I13+L13+O13+R13</f>
        <v>0</v>
      </c>
      <c r="T13" s="549" t="n">
        <f aca="false">'Serv Ins'!$J$46</f>
        <v>42.25</v>
      </c>
      <c r="U13" s="555" t="n">
        <f aca="false">'Ocorrências Mensais - FAT'!N12</f>
        <v>0</v>
      </c>
      <c r="V13" s="557" t="n">
        <f aca="false">T13*U13</f>
        <v>0</v>
      </c>
      <c r="W13" s="548" t="n">
        <f aca="false">ROUND((F13-S13+V13),2)</f>
        <v>4568.58</v>
      </c>
    </row>
    <row r="14" s="18" customFormat="true" ht="15" hidden="false" customHeight="false" outlineLevel="0" collapsed="false">
      <c r="A14" s="558" t="n">
        <f aca="false">Dados!A9</f>
        <v>333903701</v>
      </c>
      <c r="B14" s="530" t="str">
        <f aca="false">Dados!C9</f>
        <v>Auxiliar Administrativo</v>
      </c>
      <c r="C14" s="531" t="n">
        <f aca="false">Dados!D9</f>
        <v>150</v>
      </c>
      <c r="D14" s="532" t="n">
        <f aca="false">Dados!B9</f>
        <v>3</v>
      </c>
      <c r="E14" s="533" t="n">
        <f aca="false">'Aux Adm 150'!$F$45</f>
        <v>3116.73</v>
      </c>
      <c r="F14" s="534" t="n">
        <f aca="false">ROUND((D14*E14),2)</f>
        <v>9350.19</v>
      </c>
      <c r="G14" s="549" t="n">
        <f aca="false">'Aux Adm 150'!$I$45</f>
        <v>116.96</v>
      </c>
      <c r="H14" s="550" t="n">
        <f aca="false">'Ocorrências Mensais - FAT'!F13+'Ocorrências Mensais - FAT'!H13</f>
        <v>0</v>
      </c>
      <c r="I14" s="551" t="n">
        <f aca="false">(ROUND((G14/Dados!$G$34*H14)-(G14/'Ocorrências Mensais - FAT'!$E$5*'Ocorrências Mensais - FAT'!G13),2))</f>
        <v>0</v>
      </c>
      <c r="J14" s="552" t="n">
        <f aca="false">'Aux Adm 150'!$G$45</f>
        <v>3116.73</v>
      </c>
      <c r="K14" s="550" t="n">
        <f aca="false">'Ocorrências Mensais - FAT'!K13</f>
        <v>0</v>
      </c>
      <c r="L14" s="551" t="n">
        <f aca="false">J14/'Ocorrências Mensais - FAT'!$E$5*K14</f>
        <v>0</v>
      </c>
      <c r="M14" s="552" t="n">
        <f aca="false">'Custo Estimado Substituto'!H33</f>
        <v>2611.35</v>
      </c>
      <c r="N14" s="550" t="n">
        <f aca="false">'Ocorrências Mensais - FAT'!L13</f>
        <v>0</v>
      </c>
      <c r="O14" s="553" t="n">
        <f aca="false">M14/'Ocorrências Mensais - FAT'!$E$5*N14</f>
        <v>0</v>
      </c>
      <c r="P14" s="554" t="n">
        <f aca="false">'Aux Adm 150'!$H$45</f>
        <v>0</v>
      </c>
      <c r="Q14" s="555" t="n">
        <f aca="false">'Ocorrências Mensais - FAT'!M13</f>
        <v>0</v>
      </c>
      <c r="R14" s="553" t="n">
        <f aca="false">ROUND((P14/Dados!$G$37*Q14),2)</f>
        <v>0</v>
      </c>
      <c r="S14" s="556" t="n">
        <f aca="false">I14+L14+O14+R14</f>
        <v>0</v>
      </c>
      <c r="T14" s="559"/>
      <c r="U14" s="560"/>
      <c r="V14" s="561"/>
      <c r="W14" s="548" t="n">
        <f aca="false">ROUND((F14-S14+V14),2)</f>
        <v>9350.19</v>
      </c>
    </row>
    <row r="15" s="18" customFormat="true" ht="15" hidden="false" customHeight="false" outlineLevel="0" collapsed="false">
      <c r="A15" s="558"/>
      <c r="B15" s="562" t="str">
        <f aca="false">Dados!C10</f>
        <v>Auxiliar Administrativo</v>
      </c>
      <c r="C15" s="563" t="n">
        <f aca="false">Dados!D10</f>
        <v>200</v>
      </c>
      <c r="D15" s="564" t="n">
        <f aca="false">Dados!B10</f>
        <v>1</v>
      </c>
      <c r="E15" s="565" t="n">
        <f aca="false">'Aux Adm 200'!$F$45</f>
        <v>4655.99</v>
      </c>
      <c r="F15" s="566" t="n">
        <f aca="false">ROUND((D15*E15),2)</f>
        <v>4655.99</v>
      </c>
      <c r="G15" s="567" t="n">
        <f aca="false">'Aux Adm 200'!$I$45</f>
        <v>84.24</v>
      </c>
      <c r="H15" s="568" t="n">
        <f aca="false">'Ocorrências Mensais - FAT'!F14+'Ocorrências Mensais - FAT'!H14</f>
        <v>0</v>
      </c>
      <c r="I15" s="569" t="n">
        <f aca="false">(ROUND((G15/Dados!$G$34*H15)-(G15/'Ocorrências Mensais - FAT'!$E$5*'Ocorrências Mensais - FAT'!G14),2))</f>
        <v>0</v>
      </c>
      <c r="J15" s="570" t="n">
        <f aca="false">'Aux Adm 200'!$G$45</f>
        <v>4655.99</v>
      </c>
      <c r="K15" s="568" t="n">
        <f aca="false">'Ocorrências Mensais - FAT'!K14</f>
        <v>0</v>
      </c>
      <c r="L15" s="569" t="n">
        <f aca="false">J15/'Ocorrências Mensais - FAT'!$E$5*K15</f>
        <v>0</v>
      </c>
      <c r="M15" s="570" t="n">
        <f aca="false">'Custo Estimado Substituto'!I33</f>
        <v>4005.96</v>
      </c>
      <c r="N15" s="568" t="n">
        <f aca="false">'Ocorrências Mensais - FAT'!L14</f>
        <v>0</v>
      </c>
      <c r="O15" s="571" t="n">
        <f aca="false">M15/'Ocorrências Mensais - FAT'!$E$5*N15</f>
        <v>0</v>
      </c>
      <c r="P15" s="572" t="n">
        <f aca="false">'Aux Adm 200'!$H$45</f>
        <v>595.66</v>
      </c>
      <c r="Q15" s="573" t="n">
        <f aca="false">'Ocorrências Mensais - FAT'!M14</f>
        <v>0</v>
      </c>
      <c r="R15" s="571" t="n">
        <f aca="false">ROUND((P15/Dados!$G$37*Q15),2)</f>
        <v>0</v>
      </c>
      <c r="S15" s="574" t="n">
        <f aca="false">I15+L15+O15+R15</f>
        <v>0</v>
      </c>
      <c r="T15" s="575"/>
      <c r="U15" s="576"/>
      <c r="V15" s="577"/>
      <c r="W15" s="578" t="n">
        <f aca="false">ROUND((F15-S15+V15),2)</f>
        <v>4655.99</v>
      </c>
    </row>
    <row r="16" s="75" customFormat="true" ht="21.75" hidden="false" customHeight="true" outlineLevel="0" collapsed="false">
      <c r="A16" s="416" t="s">
        <v>599</v>
      </c>
      <c r="B16" s="416"/>
      <c r="C16" s="416"/>
      <c r="D16" s="579" t="n">
        <f aca="false">SUM(D12:D15)</f>
        <v>6</v>
      </c>
      <c r="E16" s="580"/>
      <c r="F16" s="581" t="n">
        <f aca="false">SUM(F12:F15)</f>
        <v>24200.37</v>
      </c>
      <c r="G16" s="582"/>
      <c r="H16" s="580" t="n">
        <f aca="false">SUM(H12:H15)</f>
        <v>0</v>
      </c>
      <c r="I16" s="583" t="n">
        <f aca="false">SUM(I12:I15)</f>
        <v>0</v>
      </c>
      <c r="J16" s="584" t="n">
        <f aca="false">SUM(J12:J15)</f>
        <v>16926.72</v>
      </c>
      <c r="K16" s="580" t="n">
        <f aca="false">SUM(K12:K15)</f>
        <v>0</v>
      </c>
      <c r="L16" s="583" t="n">
        <f aca="false">SUM(L12:L15)</f>
        <v>0</v>
      </c>
      <c r="M16" s="585" t="n">
        <f aca="false">SUM(M12:M15)</f>
        <v>14495.5</v>
      </c>
      <c r="N16" s="580" t="n">
        <f aca="false">SUM(N12:N15)</f>
        <v>0</v>
      </c>
      <c r="O16" s="581" t="n">
        <f aca="false">SUM(O12:O15)</f>
        <v>0</v>
      </c>
      <c r="P16" s="582"/>
      <c r="Q16" s="580" t="n">
        <f aca="false">SUM(Q12:Q15)</f>
        <v>0</v>
      </c>
      <c r="R16" s="581" t="n">
        <f aca="false">SUM(R12:R15)</f>
        <v>0</v>
      </c>
      <c r="S16" s="586" t="n">
        <f aca="false">SUM(S12:S15)</f>
        <v>0</v>
      </c>
      <c r="T16" s="587"/>
      <c r="U16" s="580" t="n">
        <f aca="false">SUM(U12:U15)</f>
        <v>0</v>
      </c>
      <c r="V16" s="583" t="n">
        <f aca="false">SUM(V12:V15)</f>
        <v>0</v>
      </c>
      <c r="W16" s="588" t="n">
        <f aca="false">SUM(W12:W15)</f>
        <v>24200.37</v>
      </c>
      <c r="X16" s="589" t="s">
        <v>600</v>
      </c>
      <c r="Y16" s="125"/>
    </row>
    <row r="17" s="70" customFormat="true" ht="18" hidden="false" customHeight="true" outlineLevel="0" collapsed="false">
      <c r="A17" s="590" t="s">
        <v>601</v>
      </c>
      <c r="B17" s="590"/>
      <c r="C17" s="590"/>
      <c r="D17" s="590"/>
      <c r="E17" s="590"/>
      <c r="F17" s="590"/>
      <c r="G17" s="590"/>
      <c r="H17" s="590"/>
      <c r="I17" s="590"/>
      <c r="J17" s="590"/>
      <c r="K17" s="590"/>
      <c r="L17" s="590"/>
      <c r="M17" s="590"/>
      <c r="N17" s="590"/>
      <c r="O17" s="590"/>
      <c r="P17" s="590"/>
      <c r="Q17" s="590"/>
      <c r="R17" s="590"/>
      <c r="S17" s="590"/>
      <c r="T17" s="590"/>
      <c r="U17" s="590"/>
      <c r="V17" s="590"/>
      <c r="W17" s="591" t="n">
        <f aca="false">Materiais!K44+Materiais!K57</f>
        <v>829.840833333333</v>
      </c>
    </row>
    <row r="18" s="70" customFormat="true" ht="20.25" hidden="false" customHeight="true" outlineLevel="0" collapsed="false">
      <c r="A18" s="590" t="s">
        <v>602</v>
      </c>
      <c r="B18" s="590"/>
      <c r="C18" s="590"/>
      <c r="D18" s="590"/>
      <c r="E18" s="590"/>
      <c r="F18" s="590"/>
      <c r="G18" s="590"/>
      <c r="H18" s="590"/>
      <c r="I18" s="590"/>
      <c r="J18" s="590"/>
      <c r="K18" s="590"/>
      <c r="L18" s="590"/>
      <c r="M18" s="590"/>
      <c r="N18" s="590"/>
      <c r="O18" s="590"/>
      <c r="P18" s="590"/>
      <c r="Q18" s="590"/>
      <c r="R18" s="590"/>
      <c r="S18" s="590"/>
      <c r="T18" s="590"/>
      <c r="U18" s="590"/>
      <c r="V18" s="590"/>
      <c r="W18" s="592" t="n">
        <f aca="false">W16*12</f>
        <v>290404.44</v>
      </c>
    </row>
    <row r="19" s="81" customFormat="true" ht="24" hidden="false" customHeight="true" outlineLevel="0" collapsed="false">
      <c r="A19" s="593" t="s">
        <v>50</v>
      </c>
      <c r="B19" s="593"/>
      <c r="C19" s="593"/>
      <c r="D19" s="593"/>
      <c r="E19" s="593"/>
      <c r="F19" s="593"/>
      <c r="G19" s="593"/>
      <c r="H19" s="593"/>
      <c r="I19" s="593"/>
      <c r="J19" s="593"/>
      <c r="K19" s="593"/>
      <c r="L19" s="593"/>
      <c r="M19" s="593"/>
      <c r="N19" s="593"/>
      <c r="O19" s="593"/>
      <c r="P19" s="593"/>
      <c r="Q19" s="593"/>
      <c r="R19" s="593"/>
      <c r="S19" s="593"/>
      <c r="T19" s="593"/>
      <c r="U19" s="593"/>
      <c r="V19" s="593"/>
      <c r="W19" s="593"/>
    </row>
    <row r="20" s="70" customFormat="true" ht="15" hidden="false" customHeight="false" outlineLevel="0" collapsed="false">
      <c r="A20" s="594" t="str">
        <f aca="false">CONCATENATE("1. Nas FÉRIAS SEM SUBSTITUIÇÃO DA SERVENTE INSALUBRE, quando o trabalho de limpeza de banheiros públicos ou de grande circulação for efetuado por outra servente do quadro, deverá ser acrescentado o valor de R$",T13," por dia em que este fato ocorrer.")</f>
        <v>1. Nas FÉRIAS SEM SUBSTITUIÇÃO DA SERVENTE INSALUBRE, quando o trabalho de limpeza de banheiros públicos ou de grande circulação for efetuado por outra servente do quadro, deverá ser acrescentado o valor de R$42,25 por dia em que este fato ocorrer.</v>
      </c>
      <c r="B20" s="594"/>
      <c r="C20" s="594"/>
      <c r="D20" s="594"/>
      <c r="E20" s="594"/>
      <c r="F20" s="594"/>
      <c r="G20" s="594"/>
      <c r="H20" s="594"/>
      <c r="I20" s="594"/>
      <c r="J20" s="594"/>
      <c r="K20" s="594"/>
      <c r="L20" s="594"/>
      <c r="M20" s="594"/>
      <c r="N20" s="594"/>
      <c r="O20" s="594"/>
      <c r="P20" s="594"/>
      <c r="Q20" s="594"/>
      <c r="R20" s="594"/>
      <c r="S20" s="594"/>
      <c r="T20" s="594"/>
      <c r="U20" s="594"/>
      <c r="V20" s="594"/>
      <c r="W20" s="594"/>
    </row>
    <row r="21" s="596" customFormat="true" ht="18.75" hidden="false" customHeight="true" outlineLevel="0" collapsed="false">
      <c r="A21" s="595" t="s">
        <v>603</v>
      </c>
      <c r="B21" s="595"/>
      <c r="C21" s="595"/>
      <c r="D21" s="595"/>
      <c r="E21" s="595"/>
      <c r="F21" s="595"/>
      <c r="G21" s="595"/>
      <c r="H21" s="595"/>
      <c r="I21" s="595"/>
      <c r="J21" s="595"/>
      <c r="K21" s="595"/>
      <c r="L21" s="595"/>
      <c r="M21" s="595"/>
      <c r="N21" s="595"/>
      <c r="O21" s="595"/>
      <c r="P21" s="595"/>
      <c r="Q21" s="595"/>
      <c r="R21" s="595"/>
      <c r="S21" s="595"/>
      <c r="T21" s="595"/>
      <c r="U21" s="595"/>
      <c r="V21" s="595"/>
      <c r="W21" s="595"/>
    </row>
    <row r="22" customFormat="false" ht="15" hidden="false" customHeight="false" outlineLevel="0" collapsed="false">
      <c r="A22" s="597"/>
      <c r="B22" s="597"/>
      <c r="C22" s="597"/>
      <c r="D22" s="597"/>
      <c r="E22" s="597"/>
      <c r="F22" s="597"/>
      <c r="G22" s="597"/>
      <c r="H22" s="597"/>
      <c r="I22" s="597"/>
      <c r="J22" s="597"/>
      <c r="K22" s="597"/>
      <c r="L22" s="597"/>
      <c r="M22" s="597"/>
      <c r="N22" s="597"/>
      <c r="O22" s="597"/>
      <c r="P22" s="597"/>
      <c r="Q22" s="597"/>
      <c r="R22" s="597"/>
      <c r="S22" s="597"/>
      <c r="T22" s="597"/>
      <c r="U22" s="597"/>
      <c r="V22" s="597"/>
      <c r="W22" s="597"/>
    </row>
    <row r="23" customFormat="false" ht="15" hidden="false" customHeight="false" outlineLevel="0" collapsed="false">
      <c r="A23" s="597"/>
      <c r="B23" s="597"/>
      <c r="C23" s="597"/>
      <c r="D23" s="597"/>
      <c r="E23" s="597"/>
      <c r="F23" s="597"/>
      <c r="G23" s="597"/>
      <c r="H23" s="597"/>
      <c r="I23" s="597"/>
      <c r="J23" s="597"/>
      <c r="K23" s="597"/>
      <c r="L23" s="597"/>
      <c r="M23" s="597"/>
      <c r="N23" s="597"/>
      <c r="O23" s="597"/>
      <c r="P23" s="597"/>
      <c r="Q23" s="597"/>
      <c r="R23" s="597"/>
      <c r="S23" s="597"/>
      <c r="T23" s="597"/>
      <c r="U23" s="597"/>
      <c r="V23" s="597"/>
      <c r="W23" s="597"/>
    </row>
  </sheetData>
  <sheetProtection algorithmName="SHA-512" hashValue="mzpN2THgvGWVbhG5tPBFGEieXfPF8ub2HwLpGxPjXqKnfbk8MnU/w/lkhWJwhnLL1U6UEIuD51RLS6plVoJhIQ==" saltValue="XO6TbgovRJbGV5iJ4YkJ6A==" spinCount="100000" sheet="true" objects="true" scenarios="true"/>
  <mergeCells count="31">
    <mergeCell ref="A4:W4"/>
    <mergeCell ref="A5:W5"/>
    <mergeCell ref="A6:W6"/>
    <mergeCell ref="S7:W7"/>
    <mergeCell ref="A8:A11"/>
    <mergeCell ref="B8:C10"/>
    <mergeCell ref="D8:V8"/>
    <mergeCell ref="W8:W11"/>
    <mergeCell ref="D9:F9"/>
    <mergeCell ref="G9:I9"/>
    <mergeCell ref="J9:O9"/>
    <mergeCell ref="P9:R9"/>
    <mergeCell ref="T9:V9"/>
    <mergeCell ref="D10:F10"/>
    <mergeCell ref="G10:G11"/>
    <mergeCell ref="H10:I10"/>
    <mergeCell ref="J10:L10"/>
    <mergeCell ref="M10:O10"/>
    <mergeCell ref="P10:R10"/>
    <mergeCell ref="S10:S11"/>
    <mergeCell ref="T10:V10"/>
    <mergeCell ref="A12:A13"/>
    <mergeCell ref="A14:A15"/>
    <mergeCell ref="A16:C16"/>
    <mergeCell ref="A17:V17"/>
    <mergeCell ref="A18:V18"/>
    <mergeCell ref="A19:W19"/>
    <mergeCell ref="A20:W20"/>
    <mergeCell ref="A21:W21"/>
    <mergeCell ref="A22:W22"/>
    <mergeCell ref="A23:W23"/>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colBreaks count="1" manualBreakCount="1">
    <brk id="23" man="true" max="65535" min="0"/>
  </colBreaks>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33"/>
  <sheetViews>
    <sheetView showFormulas="false" showGridLines="false" showRowColHeaders="true" showZeros="true" rightToLeft="false" tabSelected="false" showOutlineSymbols="true" defaultGridColor="true" view="normal" topLeftCell="A1" colorId="64" zoomScale="100" zoomScaleNormal="100" zoomScalePageLayoutView="120" workbookViewId="0">
      <selection pane="topLeft" activeCell="K16" activeCellId="0" sqref="K16"/>
    </sheetView>
  </sheetViews>
  <sheetFormatPr defaultColWidth="8.71484375" defaultRowHeight="15" zeroHeight="false" outlineLevelRow="0" outlineLevelCol="0"/>
  <cols>
    <col collapsed="false" customWidth="true" hidden="false" outlineLevel="0" max="1" min="1" style="81" width="7.29"/>
    <col collapsed="false" customWidth="true" hidden="false" outlineLevel="0" max="3" min="2" style="81" width="9.14"/>
    <col collapsed="false" customWidth="true" hidden="false" outlineLevel="0" max="4" min="4" style="81" width="33"/>
    <col collapsed="false" customWidth="true" hidden="false" outlineLevel="0" max="5" min="5" style="81" width="9.42"/>
    <col collapsed="false" customWidth="true" hidden="false" outlineLevel="0" max="6" min="6" style="81" width="12.42"/>
    <col collapsed="false" customWidth="true" hidden="false" outlineLevel="0" max="7" min="7" style="81" width="8.86"/>
    <col collapsed="false" customWidth="true" hidden="false" outlineLevel="0" max="8" min="8" style="81" width="12.15"/>
    <col collapsed="false" customWidth="true" hidden="false" outlineLevel="0" max="9" min="9" style="81" width="11.57"/>
    <col collapsed="false" customWidth="true" hidden="false" outlineLevel="0" max="1024" min="10" style="81" width="9.14"/>
  </cols>
  <sheetData>
    <row r="1" customFormat="false" ht="15" hidden="false" customHeight="false" outlineLevel="0" collapsed="false">
      <c r="A1" s="117"/>
      <c r="B1" s="118" t="str">
        <f aca="false">INSTRUÇÕES!B1</f>
        <v>Tribunal Regional Federal da 6ª Região</v>
      </c>
      <c r="C1" s="118"/>
      <c r="D1" s="118"/>
      <c r="E1" s="118"/>
      <c r="F1" s="118"/>
      <c r="G1" s="118"/>
      <c r="H1" s="118"/>
      <c r="I1" s="198"/>
    </row>
    <row r="2" customFormat="false" ht="15" hidden="false" customHeight="false" outlineLevel="0" collapsed="false">
      <c r="A2" s="119"/>
      <c r="B2" s="120" t="str">
        <f aca="false">INSTRUÇÕES!B2</f>
        <v>Seção Judiciária de Minas Gerais</v>
      </c>
      <c r="C2" s="120"/>
      <c r="D2" s="120"/>
      <c r="E2" s="120"/>
      <c r="F2" s="120"/>
      <c r="G2" s="120"/>
      <c r="H2" s="120"/>
      <c r="I2" s="200"/>
    </row>
    <row r="3" customFormat="false" ht="15" hidden="false" customHeight="false" outlineLevel="0" collapsed="false">
      <c r="A3" s="119"/>
      <c r="B3" s="81" t="str">
        <f aca="false">INSTRUÇÕES!B3</f>
        <v>Subseção Judiciária de Passos</v>
      </c>
      <c r="C3" s="415"/>
      <c r="D3" s="415"/>
      <c r="E3" s="415"/>
      <c r="F3" s="415"/>
      <c r="G3" s="415"/>
      <c r="H3" s="415"/>
      <c r="I3" s="598"/>
    </row>
    <row r="4" s="306" customFormat="true" ht="31.5" hidden="false" customHeight="true" outlineLevel="0" collapsed="false">
      <c r="A4" s="599" t="s">
        <v>604</v>
      </c>
      <c r="B4" s="599"/>
      <c r="C4" s="599"/>
      <c r="D4" s="599"/>
      <c r="E4" s="599"/>
      <c r="F4" s="599"/>
      <c r="G4" s="599"/>
      <c r="H4" s="599"/>
      <c r="I4" s="599"/>
      <c r="J4" s="600"/>
      <c r="K4" s="600"/>
      <c r="L4" s="600"/>
      <c r="M4" s="600"/>
    </row>
    <row r="5" s="606" customFormat="true" ht="41.25" hidden="false" customHeight="true" outlineLevel="0" collapsed="false">
      <c r="A5" s="601" t="s">
        <v>605</v>
      </c>
      <c r="B5" s="601"/>
      <c r="C5" s="601"/>
      <c r="D5" s="601"/>
      <c r="E5" s="602" t="s">
        <v>554</v>
      </c>
      <c r="F5" s="603" t="str">
        <f aca="false">Dados!C7</f>
        <v>Servente de Limpeza 40% Insalubridade</v>
      </c>
      <c r="G5" s="604" t="str">
        <f aca="false">Dados!C8</f>
        <v>Servente de Limpeza  ac. Copeira</v>
      </c>
      <c r="H5" s="604" t="str">
        <f aca="false">Dados!C9</f>
        <v>Auxiliar Administrativo</v>
      </c>
      <c r="I5" s="605" t="str">
        <f aca="false">Dados!C10</f>
        <v>Auxiliar Administrativo</v>
      </c>
    </row>
    <row r="6" s="128" customFormat="true" ht="22.5" hidden="false" customHeight="true" outlineLevel="0" collapsed="false">
      <c r="A6" s="607" t="s">
        <v>606</v>
      </c>
      <c r="B6" s="608" t="s">
        <v>333</v>
      </c>
      <c r="C6" s="608"/>
      <c r="D6" s="608"/>
      <c r="E6" s="602"/>
      <c r="F6" s="609" t="s">
        <v>607</v>
      </c>
      <c r="G6" s="609"/>
      <c r="H6" s="609"/>
      <c r="I6" s="609"/>
    </row>
    <row r="7" customFormat="false" ht="14.25" hidden="false" customHeight="true" outlineLevel="0" collapsed="false">
      <c r="A7" s="610" t="n">
        <v>1</v>
      </c>
      <c r="B7" s="611" t="s">
        <v>608</v>
      </c>
      <c r="C7" s="611"/>
      <c r="D7" s="611"/>
      <c r="E7" s="611"/>
      <c r="F7" s="612" t="n">
        <f aca="false">Dados!M7</f>
        <v>1952.8</v>
      </c>
      <c r="G7" s="612" t="n">
        <f aca="false">Dados!M8</f>
        <v>1429.64</v>
      </c>
      <c r="H7" s="612" t="n">
        <f aca="false">Dados!M9</f>
        <v>1305</v>
      </c>
      <c r="I7" s="613" t="n">
        <f aca="false">Dados!M10</f>
        <v>1740</v>
      </c>
    </row>
    <row r="8" customFormat="false" ht="15" hidden="false" customHeight="false" outlineLevel="0" collapsed="false">
      <c r="A8" s="389" t="s">
        <v>609</v>
      </c>
      <c r="B8" s="614" t="s">
        <v>334</v>
      </c>
      <c r="C8" s="614"/>
      <c r="D8" s="614"/>
      <c r="E8" s="442" t="n">
        <f aca="false">Encargos!C39</f>
        <v>0.0909</v>
      </c>
      <c r="F8" s="615" t="n">
        <f aca="false">ROUND(F7*$E$8,2)</f>
        <v>177.51</v>
      </c>
      <c r="G8" s="615" t="n">
        <f aca="false">ROUND(G7*$E$8,2)</f>
        <v>129.95</v>
      </c>
      <c r="H8" s="615" t="n">
        <f aca="false">ROUND(H7*$E$8,2)</f>
        <v>118.62</v>
      </c>
      <c r="I8" s="616" t="n">
        <f aca="false">ROUND(I7*$E$8,2)</f>
        <v>158.17</v>
      </c>
    </row>
    <row r="9" customFormat="false" ht="15" hidden="false" customHeight="false" outlineLevel="0" collapsed="false">
      <c r="A9" s="275" t="s">
        <v>610</v>
      </c>
      <c r="B9" s="452" t="s">
        <v>340</v>
      </c>
      <c r="C9" s="452"/>
      <c r="D9" s="452"/>
      <c r="E9" s="617" t="n">
        <f aca="false">E8*Encargos!C18</f>
        <v>0.0361782</v>
      </c>
      <c r="F9" s="618" t="n">
        <f aca="false">ROUND(F7*$E$9,2)</f>
        <v>70.65</v>
      </c>
      <c r="G9" s="618" t="n">
        <f aca="false">ROUND(G7*$E$9,2)</f>
        <v>51.72</v>
      </c>
      <c r="H9" s="618" t="n">
        <f aca="false">ROUND(H7*$E$9,2)</f>
        <v>47.21</v>
      </c>
      <c r="I9" s="619" t="n">
        <f aca="false">ROUND(I7*$E$9,2)</f>
        <v>62.95</v>
      </c>
    </row>
    <row r="10" customFormat="false" ht="12.75" hidden="false" customHeight="true" outlineLevel="0" collapsed="false">
      <c r="A10" s="620" t="s">
        <v>611</v>
      </c>
      <c r="B10" s="620"/>
      <c r="C10" s="620"/>
      <c r="D10" s="620"/>
      <c r="E10" s="621" t="n">
        <f aca="false">SUM(E8:E9)</f>
        <v>0.1270782</v>
      </c>
      <c r="F10" s="622" t="n">
        <f aca="false">SUM(F8:F9)</f>
        <v>248.16</v>
      </c>
      <c r="G10" s="622" t="n">
        <f aca="false">SUM(G8:G9)</f>
        <v>181.67</v>
      </c>
      <c r="H10" s="622" t="n">
        <f aca="false">SUM(H8:H9)</f>
        <v>165.83</v>
      </c>
      <c r="I10" s="623" t="n">
        <f aca="false">SUM(I8:I9)</f>
        <v>221.12</v>
      </c>
    </row>
    <row r="11" customFormat="false" ht="12.75" hidden="false" customHeight="true" outlineLevel="0" collapsed="false">
      <c r="A11" s="620" t="s">
        <v>612</v>
      </c>
      <c r="B11" s="620"/>
      <c r="C11" s="620"/>
      <c r="D11" s="620"/>
      <c r="E11" s="620"/>
      <c r="F11" s="622" t="n">
        <f aca="false">F10*12</f>
        <v>2977.92</v>
      </c>
      <c r="G11" s="622" t="n">
        <f aca="false">G10*12</f>
        <v>2180.04</v>
      </c>
      <c r="H11" s="622" t="n">
        <f aca="false">H10*12</f>
        <v>1989.96</v>
      </c>
      <c r="I11" s="623" t="n">
        <f aca="false">I10*12</f>
        <v>2653.44</v>
      </c>
    </row>
    <row r="12" customFormat="false" ht="15" hidden="false" customHeight="false" outlineLevel="0" collapsed="false">
      <c r="A12" s="624" t="n">
        <v>2</v>
      </c>
      <c r="B12" s="625" t="s">
        <v>613</v>
      </c>
      <c r="C12" s="625"/>
      <c r="D12" s="625"/>
      <c r="E12" s="625"/>
      <c r="F12" s="626" t="s">
        <v>470</v>
      </c>
      <c r="G12" s="626"/>
      <c r="H12" s="626"/>
      <c r="I12" s="626"/>
    </row>
    <row r="13" customFormat="false" ht="15" hidden="false" customHeight="false" outlineLevel="0" collapsed="false">
      <c r="A13" s="275" t="s">
        <v>609</v>
      </c>
      <c r="B13" s="452" t="s">
        <v>614</v>
      </c>
      <c r="C13" s="452"/>
      <c r="D13" s="452"/>
      <c r="E13" s="627"/>
      <c r="F13" s="628" t="n">
        <f aca="false">'Serv Ins'!$F$23</f>
        <v>475.2</v>
      </c>
      <c r="G13" s="628" t="n">
        <f aca="false">'Serv Copeira'!$F$23</f>
        <v>475.2</v>
      </c>
      <c r="H13" s="628" t="n">
        <f aca="false">'Aux Adm 150'!$F$23</f>
        <v>0</v>
      </c>
      <c r="I13" s="48" t="n">
        <f aca="false">'Aux Adm 200'!$F$23</f>
        <v>475.2</v>
      </c>
    </row>
    <row r="14" customFormat="false" ht="15" hidden="false" customHeight="false" outlineLevel="0" collapsed="false">
      <c r="A14" s="275" t="s">
        <v>615</v>
      </c>
      <c r="B14" s="452" t="s">
        <v>616</v>
      </c>
      <c r="C14" s="452"/>
      <c r="D14" s="452"/>
      <c r="E14" s="627"/>
      <c r="F14" s="628" t="n">
        <f aca="false">'Serv Ins'!$F$22</f>
        <v>88.32</v>
      </c>
      <c r="G14" s="628" t="n">
        <f aca="false">'Serv Copeira'!$F$22</f>
        <v>88.32</v>
      </c>
      <c r="H14" s="628" t="n">
        <f aca="false">'Aux Adm 150'!$F$22</f>
        <v>93.3</v>
      </c>
      <c r="I14" s="48" t="n">
        <f aca="false">'Aux Adm 200'!$F$22</f>
        <v>67.2</v>
      </c>
    </row>
    <row r="15" customFormat="false" ht="15" hidden="false" customHeight="false" outlineLevel="0" collapsed="false">
      <c r="A15" s="275" t="s">
        <v>617</v>
      </c>
      <c r="B15" s="627" t="s">
        <v>618</v>
      </c>
      <c r="C15" s="627"/>
      <c r="D15" s="627"/>
      <c r="E15" s="627"/>
      <c r="F15" s="628" t="n">
        <v>0</v>
      </c>
      <c r="G15" s="628" t="n">
        <v>0</v>
      </c>
      <c r="H15" s="628" t="n">
        <v>0</v>
      </c>
      <c r="I15" s="48" t="n">
        <v>0</v>
      </c>
    </row>
    <row r="16" customFormat="false" ht="15" hidden="false" customHeight="false" outlineLevel="0" collapsed="false">
      <c r="A16" s="629" t="s">
        <v>619</v>
      </c>
      <c r="B16" s="629"/>
      <c r="C16" s="629"/>
      <c r="D16" s="629"/>
      <c r="E16" s="629"/>
      <c r="F16" s="630" t="n">
        <f aca="false">SUM(F13:F15)</f>
        <v>563.52</v>
      </c>
      <c r="G16" s="630" t="n">
        <f aca="false">SUM(G13:G15)</f>
        <v>563.52</v>
      </c>
      <c r="H16" s="630" t="n">
        <f aca="false">SUM(H13:H15)</f>
        <v>93.3</v>
      </c>
      <c r="I16" s="631" t="n">
        <f aca="false">SUM(I13:I15)</f>
        <v>542.4</v>
      </c>
    </row>
    <row r="17" customFormat="false" ht="12.75" hidden="false" customHeight="true" outlineLevel="0" collapsed="false">
      <c r="A17" s="624" t="n">
        <v>5</v>
      </c>
      <c r="B17" s="632" t="s">
        <v>620</v>
      </c>
      <c r="C17" s="632"/>
      <c r="D17" s="632"/>
      <c r="E17" s="633" t="s">
        <v>554</v>
      </c>
      <c r="F17" s="626" t="s">
        <v>470</v>
      </c>
      <c r="G17" s="626"/>
      <c r="H17" s="626"/>
      <c r="I17" s="626"/>
    </row>
    <row r="18" customFormat="false" ht="12.75" hidden="false" customHeight="true" outlineLevel="0" collapsed="false">
      <c r="A18" s="275" t="s">
        <v>609</v>
      </c>
      <c r="B18" s="326" t="s">
        <v>621</v>
      </c>
      <c r="C18" s="326"/>
      <c r="D18" s="326"/>
      <c r="E18" s="634" t="n">
        <f aca="false">Dados!$G$43</f>
        <v>0.03</v>
      </c>
      <c r="F18" s="635" t="n">
        <f aca="false">ROUND(($E$18*F31),2)</f>
        <v>106.24</v>
      </c>
      <c r="G18" s="635" t="n">
        <f aca="false">ROUND(($E$18*G31),2)</f>
        <v>82.31</v>
      </c>
      <c r="H18" s="635" t="n">
        <f aca="false">ROUND(($E$18*H31),2)</f>
        <v>62.5</v>
      </c>
      <c r="I18" s="636" t="n">
        <f aca="false">ROUND(($E$18*I31),2)</f>
        <v>95.88</v>
      </c>
    </row>
    <row r="19" customFormat="false" ht="12.75" hidden="false" customHeight="true" outlineLevel="0" collapsed="false">
      <c r="A19" s="275" t="s">
        <v>615</v>
      </c>
      <c r="B19" s="326" t="s">
        <v>242</v>
      </c>
      <c r="C19" s="326"/>
      <c r="D19" s="326"/>
      <c r="E19" s="634" t="n">
        <f aca="false">Dados!$G$44</f>
        <v>0.0679</v>
      </c>
      <c r="F19" s="635" t="n">
        <f aca="false">ROUND(($E$19*(F18+F31)),2)</f>
        <v>247.68</v>
      </c>
      <c r="G19" s="635" t="n">
        <f aca="false">ROUND(($E$19*(G18+G31)),2)</f>
        <v>191.88</v>
      </c>
      <c r="H19" s="635" t="n">
        <f aca="false">ROUND(($E$19*(H18+H31)),2)</f>
        <v>145.7</v>
      </c>
      <c r="I19" s="636" t="n">
        <f aca="false">ROUND(($E$19*(I18+I31)),2)</f>
        <v>223.51</v>
      </c>
    </row>
    <row r="20" customFormat="false" ht="12.75" hidden="false" customHeight="true" outlineLevel="0" collapsed="false">
      <c r="A20" s="637" t="s">
        <v>617</v>
      </c>
      <c r="B20" s="638" t="s">
        <v>622</v>
      </c>
      <c r="C20" s="638"/>
      <c r="D20" s="638"/>
      <c r="E20" s="639" t="n">
        <f aca="false">SUM(E21:E24)</f>
        <v>0.1225</v>
      </c>
      <c r="F20" s="640" t="n">
        <f aca="false">ROUND((((F31+F18+F19)/(1-$E$20))-(F31+F18+F19)),2)</f>
        <v>543.8</v>
      </c>
      <c r="G20" s="640" t="n">
        <f aca="false">ROUND((((G31+G18+G19)/(1-$E$20))-(G31+G18+G19)),2)</f>
        <v>421.28</v>
      </c>
      <c r="H20" s="640" t="n">
        <f aca="false">ROUND((((H31+H18+H19)/(1-$E$20))-(H31+H18+H19)),2)</f>
        <v>319.89</v>
      </c>
      <c r="I20" s="641" t="n">
        <f aca="false">ROUND((((I31+I18+I19)/(1-$E$20))-(I31+I18+I19)),2)</f>
        <v>490.73</v>
      </c>
    </row>
    <row r="21" customFormat="false" ht="12.75" hidden="false" customHeight="true" outlineLevel="0" collapsed="false">
      <c r="A21" s="88" t="s">
        <v>623</v>
      </c>
      <c r="B21" s="326" t="s">
        <v>624</v>
      </c>
      <c r="C21" s="326"/>
      <c r="D21" s="326"/>
      <c r="E21" s="634" t="n">
        <f aca="false">Dados!G51+Dados!G52</f>
        <v>0.0925</v>
      </c>
      <c r="F21" s="635" t="n">
        <f aca="false">ROUND($E$21*F33,2)</f>
        <v>410.62</v>
      </c>
      <c r="G21" s="635" t="n">
        <f aca="false">ROUND($E$21*G33,2)</f>
        <v>318.11</v>
      </c>
      <c r="H21" s="635" t="n">
        <f aca="false">ROUND($E$21*H33,2)</f>
        <v>241.55</v>
      </c>
      <c r="I21" s="636" t="n">
        <f aca="false">ROUND($E$21*I33,2)</f>
        <v>370.55</v>
      </c>
    </row>
    <row r="22" customFormat="false" ht="12.75" hidden="false" customHeight="true" outlineLevel="0" collapsed="false">
      <c r="A22" s="275" t="s">
        <v>625</v>
      </c>
      <c r="B22" s="326" t="s">
        <v>626</v>
      </c>
      <c r="C22" s="326"/>
      <c r="D22" s="326"/>
      <c r="E22" s="634" t="n">
        <v>0</v>
      </c>
      <c r="F22" s="635" t="n">
        <f aca="false">ROUND($E$22*F33,2)</f>
        <v>0</v>
      </c>
      <c r="G22" s="635" t="n">
        <f aca="false">ROUND($E$22*G33,2)</f>
        <v>0</v>
      </c>
      <c r="H22" s="635" t="n">
        <f aca="false">ROUND($E$22*H33,2)</f>
        <v>0</v>
      </c>
      <c r="I22" s="636" t="n">
        <f aca="false">ROUND($E$22*I33,2)</f>
        <v>0</v>
      </c>
    </row>
    <row r="23" customFormat="false" ht="12.75" hidden="false" customHeight="true" outlineLevel="0" collapsed="false">
      <c r="A23" s="275" t="s">
        <v>627</v>
      </c>
      <c r="B23" s="326" t="s">
        <v>628</v>
      </c>
      <c r="C23" s="326"/>
      <c r="D23" s="326"/>
      <c r="E23" s="634" t="n">
        <f aca="false">Dados!G53</f>
        <v>0.03</v>
      </c>
      <c r="F23" s="635" t="n">
        <f aca="false">ROUND($E$23*F33,2)</f>
        <v>133.17</v>
      </c>
      <c r="G23" s="635" t="n">
        <f aca="false">ROUND($E$23*G33,2)</f>
        <v>103.17</v>
      </c>
      <c r="H23" s="635" t="n">
        <f aca="false">ROUND($E$23*H33,2)</f>
        <v>78.34</v>
      </c>
      <c r="I23" s="636" t="n">
        <f aca="false">ROUND($E$23*I33,2)</f>
        <v>120.18</v>
      </c>
    </row>
    <row r="24" customFormat="false" ht="15" hidden="false" customHeight="false" outlineLevel="0" collapsed="false">
      <c r="A24" s="275" t="s">
        <v>629</v>
      </c>
      <c r="B24" s="326" t="str">
        <f aca="false">Dados!B54</f>
        <v>Outros (inserir somente com a justificativa legal)</v>
      </c>
      <c r="C24" s="326"/>
      <c r="D24" s="326"/>
      <c r="E24" s="634" t="n">
        <f aca="false">Dados!G54</f>
        <v>0</v>
      </c>
      <c r="F24" s="635" t="n">
        <f aca="false">ROUND($E$24*F33,2)</f>
        <v>0</v>
      </c>
      <c r="G24" s="635" t="n">
        <f aca="false">ROUND($E$24*G33,2)</f>
        <v>0</v>
      </c>
      <c r="H24" s="635" t="n">
        <f aca="false">ROUND($E$24*H33,2)</f>
        <v>0</v>
      </c>
      <c r="I24" s="636" t="n">
        <f aca="false">ROUND($E$24*I33,2)</f>
        <v>0</v>
      </c>
    </row>
    <row r="25" customFormat="false" ht="15" hidden="false" customHeight="false" outlineLevel="0" collapsed="false">
      <c r="A25" s="642" t="s">
        <v>630</v>
      </c>
      <c r="B25" s="434"/>
      <c r="C25" s="434"/>
      <c r="D25" s="434"/>
      <c r="E25" s="434"/>
      <c r="F25" s="643" t="n">
        <f aca="false">SUM(F18:F20)</f>
        <v>897.72</v>
      </c>
      <c r="G25" s="643" t="n">
        <f aca="false">SUM(G18:G20)</f>
        <v>695.47</v>
      </c>
      <c r="H25" s="643" t="n">
        <f aca="false">SUM(H18:H20)</f>
        <v>528.09</v>
      </c>
      <c r="I25" s="644" t="n">
        <f aca="false">SUM(I18:I20)</f>
        <v>810.12</v>
      </c>
    </row>
    <row r="26" customFormat="false" ht="19.5" hidden="false" customHeight="true" outlineLevel="0" collapsed="false">
      <c r="A26" s="645" t="s">
        <v>631</v>
      </c>
      <c r="B26" s="645"/>
      <c r="C26" s="645"/>
      <c r="D26" s="645"/>
      <c r="E26" s="645"/>
      <c r="F26" s="645"/>
      <c r="G26" s="645"/>
      <c r="H26" s="645"/>
      <c r="I26" s="645"/>
    </row>
    <row r="27" customFormat="false" ht="18" hidden="false" customHeight="true" outlineLevel="0" collapsed="false">
      <c r="A27" s="646" t="s">
        <v>632</v>
      </c>
      <c r="B27" s="646"/>
      <c r="C27" s="646"/>
      <c r="D27" s="646"/>
      <c r="E27" s="646"/>
      <c r="F27" s="646"/>
      <c r="G27" s="646"/>
      <c r="H27" s="646"/>
      <c r="I27" s="646"/>
    </row>
    <row r="28" customFormat="false" ht="14.25" hidden="false" customHeight="true" outlineLevel="0" collapsed="false">
      <c r="A28" s="647" t="s">
        <v>633</v>
      </c>
      <c r="B28" s="648"/>
      <c r="C28" s="648"/>
      <c r="D28" s="648"/>
      <c r="E28" s="648"/>
      <c r="F28" s="649" t="s">
        <v>470</v>
      </c>
      <c r="G28" s="649"/>
      <c r="H28" s="649"/>
      <c r="I28" s="649"/>
    </row>
    <row r="29" customFormat="false" ht="15" hidden="false" customHeight="false" outlineLevel="0" collapsed="false">
      <c r="A29" s="275" t="s">
        <v>609</v>
      </c>
      <c r="B29" s="627" t="s">
        <v>634</v>
      </c>
      <c r="C29" s="627"/>
      <c r="D29" s="627"/>
      <c r="E29" s="627"/>
      <c r="F29" s="650" t="n">
        <f aca="false">F11</f>
        <v>2977.92</v>
      </c>
      <c r="G29" s="650" t="n">
        <f aca="false">G11</f>
        <v>2180.04</v>
      </c>
      <c r="H29" s="650" t="n">
        <f aca="false">H11</f>
        <v>1989.96</v>
      </c>
      <c r="I29" s="651" t="n">
        <f aca="false">I11</f>
        <v>2653.44</v>
      </c>
    </row>
    <row r="30" customFormat="false" ht="15" hidden="false" customHeight="false" outlineLevel="0" collapsed="false">
      <c r="A30" s="275" t="s">
        <v>615</v>
      </c>
      <c r="B30" s="627" t="s">
        <v>613</v>
      </c>
      <c r="C30" s="627"/>
      <c r="D30" s="627"/>
      <c r="E30" s="627"/>
      <c r="F30" s="650" t="n">
        <f aca="false">F16</f>
        <v>563.52</v>
      </c>
      <c r="G30" s="650" t="n">
        <f aca="false">G16</f>
        <v>563.52</v>
      </c>
      <c r="H30" s="650" t="n">
        <f aca="false">H16</f>
        <v>93.3</v>
      </c>
      <c r="I30" s="651" t="n">
        <f aca="false">I16</f>
        <v>542.4</v>
      </c>
    </row>
    <row r="31" customFormat="false" ht="15" hidden="false" customHeight="false" outlineLevel="0" collapsed="false">
      <c r="A31" s="629" t="s">
        <v>635</v>
      </c>
      <c r="B31" s="629"/>
      <c r="C31" s="629"/>
      <c r="D31" s="629"/>
      <c r="E31" s="652"/>
      <c r="F31" s="653" t="n">
        <f aca="false">SUM(F29:F30)</f>
        <v>3541.44</v>
      </c>
      <c r="G31" s="653" t="n">
        <f aca="false">SUM(G29:G30)</f>
        <v>2743.56</v>
      </c>
      <c r="H31" s="653" t="n">
        <f aca="false">SUM(H29:H30)</f>
        <v>2083.26</v>
      </c>
      <c r="I31" s="654" t="n">
        <f aca="false">SUM(I29:I30)</f>
        <v>3195.84</v>
      </c>
    </row>
    <row r="32" customFormat="false" ht="15" hidden="false" customHeight="false" outlineLevel="0" collapsed="false">
      <c r="A32" s="428" t="s">
        <v>636</v>
      </c>
      <c r="B32" s="655" t="s">
        <v>637</v>
      </c>
      <c r="C32" s="655"/>
      <c r="D32" s="655"/>
      <c r="E32" s="655"/>
      <c r="F32" s="656" t="n">
        <f aca="false">F25</f>
        <v>897.72</v>
      </c>
      <c r="G32" s="656" t="n">
        <f aca="false">G25</f>
        <v>695.47</v>
      </c>
      <c r="H32" s="656" t="n">
        <f aca="false">H25</f>
        <v>528.09</v>
      </c>
      <c r="I32" s="657" t="n">
        <f aca="false">I25</f>
        <v>810.12</v>
      </c>
    </row>
    <row r="33" customFormat="false" ht="19.5" hidden="false" customHeight="true" outlineLevel="0" collapsed="false">
      <c r="A33" s="658" t="s">
        <v>638</v>
      </c>
      <c r="B33" s="659"/>
      <c r="C33" s="659"/>
      <c r="D33" s="659"/>
      <c r="E33" s="659"/>
      <c r="F33" s="660" t="n">
        <f aca="false">SUM(F31:F32)</f>
        <v>4439.16</v>
      </c>
      <c r="G33" s="660" t="n">
        <f aca="false">SUM(G31:G32)</f>
        <v>3439.03</v>
      </c>
      <c r="H33" s="660" t="n">
        <f aca="false">SUM(H31:H32)</f>
        <v>2611.35</v>
      </c>
      <c r="I33" s="661" t="n">
        <f aca="false">SUM(I31:I32)</f>
        <v>4005.96</v>
      </c>
    </row>
  </sheetData>
  <sheetProtection algorithmName="SHA-512" hashValue="CivPDQRGX+CRGcAbCOB4rz9j6svvjXYZ7tLsrJCNpHItfdG7KLBR1fHXq8vqVWOX7l5b+97m015JI/QA1Fz3Ag==" saltValue="DU4c+lYltme/4qsGi1EirA==" spinCount="100000" sheet="true" objects="true" scenarios="true"/>
  <mergeCells count="27">
    <mergeCell ref="A4:I4"/>
    <mergeCell ref="A5:D5"/>
    <mergeCell ref="E5:E6"/>
    <mergeCell ref="B6:D6"/>
    <mergeCell ref="F6:I6"/>
    <mergeCell ref="B7:E7"/>
    <mergeCell ref="B8:D8"/>
    <mergeCell ref="B9:D9"/>
    <mergeCell ref="A10:D10"/>
    <mergeCell ref="A11:E11"/>
    <mergeCell ref="F12:I12"/>
    <mergeCell ref="B13:D13"/>
    <mergeCell ref="B14:D14"/>
    <mergeCell ref="A16:E16"/>
    <mergeCell ref="B17:D17"/>
    <mergeCell ref="F17:I17"/>
    <mergeCell ref="B18:D18"/>
    <mergeCell ref="B19:D19"/>
    <mergeCell ref="B20:D20"/>
    <mergeCell ref="B21:D21"/>
    <mergeCell ref="B22:D22"/>
    <mergeCell ref="B23:D23"/>
    <mergeCell ref="B24:D24"/>
    <mergeCell ref="A26:I26"/>
    <mergeCell ref="A27:I27"/>
    <mergeCell ref="F28:I28"/>
    <mergeCell ref="A31:D31"/>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I23"/>
  <sheetViews>
    <sheetView showFormulas="false" showGridLines="false" showRowColHeaders="true" showZeros="true" rightToLeft="false" tabSelected="false" showOutlineSymbols="true" defaultGridColor="true" view="normal" topLeftCell="A1" colorId="64" zoomScale="100" zoomScaleNormal="100" zoomScalePageLayoutView="140" workbookViewId="0">
      <selection pane="topLeft" activeCell="A1" activeCellId="0" sqref="A1"/>
    </sheetView>
  </sheetViews>
  <sheetFormatPr defaultColWidth="8.71484375" defaultRowHeight="15" zeroHeight="false" outlineLevelRow="0" outlineLevelCol="0"/>
  <cols>
    <col collapsed="false" customWidth="true" hidden="false" outlineLevel="0" max="1" min="1" style="0" width="7.86"/>
    <col collapsed="false" customWidth="true" hidden="false" outlineLevel="0" max="2" min="2" style="0" width="7.29"/>
    <col collapsed="false" customWidth="true" hidden="false" outlineLevel="0" max="3" min="3" style="0" width="4.42"/>
    <col collapsed="false" customWidth="true" hidden="false" outlineLevel="0" max="4" min="4" style="0" width="7.57"/>
    <col collapsed="false" customWidth="true" hidden="false" outlineLevel="0" max="5" min="5" style="0" width="5.42"/>
    <col collapsed="false" customWidth="true" hidden="false" outlineLevel="0" max="6" min="6" style="0" width="8.29"/>
    <col collapsed="false" customWidth="true" hidden="false" outlineLevel="0" max="7" min="7" style="0" width="7.42"/>
    <col collapsed="false" customWidth="true" hidden="false" outlineLevel="0" max="8" min="8" style="0" width="3.29"/>
    <col collapsed="false" customWidth="true" hidden="false" outlineLevel="0" max="9" min="9" style="0" width="7.29"/>
    <col collapsed="false" customWidth="true" hidden="false" outlineLevel="0" max="10" min="10" style="0" width="4.42"/>
    <col collapsed="false" customWidth="true" hidden="false" outlineLevel="0" max="11" min="11" style="0" width="7.57"/>
    <col collapsed="false" customWidth="true" hidden="false" outlineLevel="0" max="12" min="12" style="0" width="5.42"/>
    <col collapsed="false" customWidth="true" hidden="false" outlineLevel="0" max="13" min="13" style="0" width="8.29"/>
    <col collapsed="false" customWidth="true" hidden="false" outlineLevel="0" max="14" min="14" style="0" width="7.42"/>
    <col collapsed="false" customWidth="true" hidden="false" outlineLevel="0" max="15" min="15" style="0" width="3"/>
    <col collapsed="false" customWidth="true" hidden="false" outlineLevel="0" max="16" min="16" style="0" width="7.29"/>
    <col collapsed="false" customWidth="true" hidden="false" outlineLevel="0" max="17" min="17" style="0" width="4.42"/>
    <col collapsed="false" customWidth="true" hidden="false" outlineLevel="0" max="18" min="18" style="0" width="7.57"/>
    <col collapsed="false" customWidth="true" hidden="false" outlineLevel="0" max="19" min="19" style="0" width="5.42"/>
    <col collapsed="false" customWidth="true" hidden="false" outlineLevel="0" max="20" min="20" style="0" width="8.29"/>
    <col collapsed="false" customWidth="true" hidden="false" outlineLevel="0" max="21" min="21" style="0" width="7.42"/>
    <col collapsed="false" customWidth="true" hidden="false" outlineLevel="0" max="22" min="22" style="0" width="3"/>
    <col collapsed="false" customWidth="true" hidden="false" outlineLevel="0" max="23" min="23" style="0" width="7.29"/>
    <col collapsed="false" customWidth="true" hidden="false" outlineLevel="0" max="24" min="24" style="0" width="4.42"/>
    <col collapsed="false" customWidth="true" hidden="false" outlineLevel="0" max="25" min="25" style="0" width="7.57"/>
    <col collapsed="false" customWidth="true" hidden="false" outlineLevel="0" max="26" min="26" style="0" width="5.42"/>
    <col collapsed="false" customWidth="true" hidden="false" outlineLevel="0" max="27" min="27" style="0" width="8.29"/>
    <col collapsed="false" customWidth="true" hidden="false" outlineLevel="0" max="28" min="28" style="0" width="7.42"/>
    <col collapsed="false" customWidth="true" hidden="false" outlineLevel="0" max="29" min="29" style="0" width="3"/>
    <col collapsed="false" customWidth="true" hidden="false" outlineLevel="0" max="30" min="30" style="0" width="7.29"/>
    <col collapsed="false" customWidth="true" hidden="false" outlineLevel="0" max="31" min="31" style="0" width="4.42"/>
    <col collapsed="false" customWidth="true" hidden="false" outlineLevel="0" max="257" min="257" style="0" width="1.42"/>
    <col collapsed="false" customWidth="true" hidden="false" outlineLevel="0" max="258" min="258" style="0" width="7.29"/>
    <col collapsed="false" customWidth="true" hidden="false" outlineLevel="0" max="259" min="259" style="0" width="4.42"/>
    <col collapsed="false" customWidth="true" hidden="false" outlineLevel="0" max="260" min="260" style="0" width="7.57"/>
    <col collapsed="false" customWidth="true" hidden="false" outlineLevel="0" max="261" min="261" style="0" width="5.42"/>
    <col collapsed="false" customWidth="true" hidden="false" outlineLevel="0" max="262" min="262" style="0" width="8.29"/>
    <col collapsed="false" customWidth="true" hidden="false" outlineLevel="0" max="263" min="263" style="0" width="7.42"/>
    <col collapsed="false" customWidth="true" hidden="false" outlineLevel="0" max="264" min="264" style="0" width="3.29"/>
    <col collapsed="false" customWidth="true" hidden="false" outlineLevel="0" max="265" min="265" style="0" width="7.29"/>
    <col collapsed="false" customWidth="true" hidden="false" outlineLevel="0" max="266" min="266" style="0" width="4.42"/>
    <col collapsed="false" customWidth="true" hidden="false" outlineLevel="0" max="267" min="267" style="0" width="7.57"/>
    <col collapsed="false" customWidth="true" hidden="false" outlineLevel="0" max="268" min="268" style="0" width="5.42"/>
    <col collapsed="false" customWidth="true" hidden="false" outlineLevel="0" max="269" min="269" style="0" width="8.29"/>
    <col collapsed="false" customWidth="true" hidden="false" outlineLevel="0" max="270" min="270" style="0" width="7.42"/>
    <col collapsed="false" customWidth="true" hidden="false" outlineLevel="0" max="271" min="271" style="0" width="3"/>
    <col collapsed="false" customWidth="true" hidden="false" outlineLevel="0" max="272" min="272" style="0" width="7.29"/>
    <col collapsed="false" customWidth="true" hidden="false" outlineLevel="0" max="273" min="273" style="0" width="4.42"/>
    <col collapsed="false" customWidth="true" hidden="false" outlineLevel="0" max="274" min="274" style="0" width="7.57"/>
    <col collapsed="false" customWidth="true" hidden="false" outlineLevel="0" max="275" min="275" style="0" width="5.42"/>
    <col collapsed="false" customWidth="true" hidden="false" outlineLevel="0" max="276" min="276" style="0" width="8.29"/>
    <col collapsed="false" customWidth="true" hidden="false" outlineLevel="0" max="277" min="277" style="0" width="7.42"/>
    <col collapsed="false" customWidth="true" hidden="false" outlineLevel="0" max="278" min="278" style="0" width="3"/>
    <col collapsed="false" customWidth="true" hidden="false" outlineLevel="0" max="279" min="279" style="0" width="7.29"/>
    <col collapsed="false" customWidth="true" hidden="false" outlineLevel="0" max="280" min="280" style="0" width="4.42"/>
    <col collapsed="false" customWidth="true" hidden="false" outlineLevel="0" max="281" min="281" style="0" width="7.57"/>
    <col collapsed="false" customWidth="true" hidden="false" outlineLevel="0" max="282" min="282" style="0" width="5.42"/>
    <col collapsed="false" customWidth="true" hidden="false" outlineLevel="0" max="283" min="283" style="0" width="8.29"/>
    <col collapsed="false" customWidth="true" hidden="false" outlineLevel="0" max="284" min="284" style="0" width="7.42"/>
    <col collapsed="false" customWidth="true" hidden="false" outlineLevel="0" max="285" min="285" style="0" width="3"/>
    <col collapsed="false" customWidth="true" hidden="false" outlineLevel="0" max="286" min="286" style="0" width="7.29"/>
    <col collapsed="false" customWidth="true" hidden="false" outlineLevel="0" max="287" min="287" style="0" width="4.42"/>
    <col collapsed="false" customWidth="true" hidden="false" outlineLevel="0" max="513" min="513" style="0" width="1.42"/>
    <col collapsed="false" customWidth="true" hidden="false" outlineLevel="0" max="514" min="514" style="0" width="7.29"/>
    <col collapsed="false" customWidth="true" hidden="false" outlineLevel="0" max="515" min="515" style="0" width="4.42"/>
    <col collapsed="false" customWidth="true" hidden="false" outlineLevel="0" max="516" min="516" style="0" width="7.57"/>
    <col collapsed="false" customWidth="true" hidden="false" outlineLevel="0" max="517" min="517" style="0" width="5.42"/>
    <col collapsed="false" customWidth="true" hidden="false" outlineLevel="0" max="518" min="518" style="0" width="8.29"/>
    <col collapsed="false" customWidth="true" hidden="false" outlineLevel="0" max="519" min="519" style="0" width="7.42"/>
    <col collapsed="false" customWidth="true" hidden="false" outlineLevel="0" max="520" min="520" style="0" width="3.29"/>
    <col collapsed="false" customWidth="true" hidden="false" outlineLevel="0" max="521" min="521" style="0" width="7.29"/>
    <col collapsed="false" customWidth="true" hidden="false" outlineLevel="0" max="522" min="522" style="0" width="4.42"/>
    <col collapsed="false" customWidth="true" hidden="false" outlineLevel="0" max="523" min="523" style="0" width="7.57"/>
    <col collapsed="false" customWidth="true" hidden="false" outlineLevel="0" max="524" min="524" style="0" width="5.42"/>
    <col collapsed="false" customWidth="true" hidden="false" outlineLevel="0" max="525" min="525" style="0" width="8.29"/>
    <col collapsed="false" customWidth="true" hidden="false" outlineLevel="0" max="526" min="526" style="0" width="7.42"/>
    <col collapsed="false" customWidth="true" hidden="false" outlineLevel="0" max="527" min="527" style="0" width="3"/>
    <col collapsed="false" customWidth="true" hidden="false" outlineLevel="0" max="528" min="528" style="0" width="7.29"/>
    <col collapsed="false" customWidth="true" hidden="false" outlineLevel="0" max="529" min="529" style="0" width="4.42"/>
    <col collapsed="false" customWidth="true" hidden="false" outlineLevel="0" max="530" min="530" style="0" width="7.57"/>
    <col collapsed="false" customWidth="true" hidden="false" outlineLevel="0" max="531" min="531" style="0" width="5.42"/>
    <col collapsed="false" customWidth="true" hidden="false" outlineLevel="0" max="532" min="532" style="0" width="8.29"/>
    <col collapsed="false" customWidth="true" hidden="false" outlineLevel="0" max="533" min="533" style="0" width="7.42"/>
    <col collapsed="false" customWidth="true" hidden="false" outlineLevel="0" max="534" min="534" style="0" width="3"/>
    <col collapsed="false" customWidth="true" hidden="false" outlineLevel="0" max="535" min="535" style="0" width="7.29"/>
    <col collapsed="false" customWidth="true" hidden="false" outlineLevel="0" max="536" min="536" style="0" width="4.42"/>
    <col collapsed="false" customWidth="true" hidden="false" outlineLevel="0" max="537" min="537" style="0" width="7.57"/>
    <col collapsed="false" customWidth="true" hidden="false" outlineLevel="0" max="538" min="538" style="0" width="5.42"/>
    <col collapsed="false" customWidth="true" hidden="false" outlineLevel="0" max="539" min="539" style="0" width="8.29"/>
    <col collapsed="false" customWidth="true" hidden="false" outlineLevel="0" max="540" min="540" style="0" width="7.42"/>
    <col collapsed="false" customWidth="true" hidden="false" outlineLevel="0" max="541" min="541" style="0" width="3"/>
    <col collapsed="false" customWidth="true" hidden="false" outlineLevel="0" max="542" min="542" style="0" width="7.29"/>
    <col collapsed="false" customWidth="true" hidden="false" outlineLevel="0" max="543" min="543" style="0" width="4.42"/>
    <col collapsed="false" customWidth="true" hidden="false" outlineLevel="0" max="769" min="769" style="0" width="1.42"/>
    <col collapsed="false" customWidth="true" hidden="false" outlineLevel="0" max="770" min="770" style="0" width="7.29"/>
    <col collapsed="false" customWidth="true" hidden="false" outlineLevel="0" max="771" min="771" style="0" width="4.42"/>
    <col collapsed="false" customWidth="true" hidden="false" outlineLevel="0" max="772" min="772" style="0" width="7.57"/>
    <col collapsed="false" customWidth="true" hidden="false" outlineLevel="0" max="773" min="773" style="0" width="5.42"/>
    <col collapsed="false" customWidth="true" hidden="false" outlineLevel="0" max="774" min="774" style="0" width="8.29"/>
    <col collapsed="false" customWidth="true" hidden="false" outlineLevel="0" max="775" min="775" style="0" width="7.42"/>
    <col collapsed="false" customWidth="true" hidden="false" outlineLevel="0" max="776" min="776" style="0" width="3.29"/>
    <col collapsed="false" customWidth="true" hidden="false" outlineLevel="0" max="777" min="777" style="0" width="7.29"/>
    <col collapsed="false" customWidth="true" hidden="false" outlineLevel="0" max="778" min="778" style="0" width="4.42"/>
    <col collapsed="false" customWidth="true" hidden="false" outlineLevel="0" max="779" min="779" style="0" width="7.57"/>
    <col collapsed="false" customWidth="true" hidden="false" outlineLevel="0" max="780" min="780" style="0" width="5.42"/>
    <col collapsed="false" customWidth="true" hidden="false" outlineLevel="0" max="781" min="781" style="0" width="8.29"/>
    <col collapsed="false" customWidth="true" hidden="false" outlineLevel="0" max="782" min="782" style="0" width="7.42"/>
    <col collapsed="false" customWidth="true" hidden="false" outlineLevel="0" max="783" min="783" style="0" width="3"/>
    <col collapsed="false" customWidth="true" hidden="false" outlineLevel="0" max="784" min="784" style="0" width="7.29"/>
    <col collapsed="false" customWidth="true" hidden="false" outlineLevel="0" max="785" min="785" style="0" width="4.42"/>
    <col collapsed="false" customWidth="true" hidden="false" outlineLevel="0" max="786" min="786" style="0" width="7.57"/>
    <col collapsed="false" customWidth="true" hidden="false" outlineLevel="0" max="787" min="787" style="0" width="5.42"/>
    <col collapsed="false" customWidth="true" hidden="false" outlineLevel="0" max="788" min="788" style="0" width="8.29"/>
    <col collapsed="false" customWidth="true" hidden="false" outlineLevel="0" max="789" min="789" style="0" width="7.42"/>
    <col collapsed="false" customWidth="true" hidden="false" outlineLevel="0" max="790" min="790" style="0" width="3"/>
    <col collapsed="false" customWidth="true" hidden="false" outlineLevel="0" max="791" min="791" style="0" width="7.29"/>
    <col collapsed="false" customWidth="true" hidden="false" outlineLevel="0" max="792" min="792" style="0" width="4.42"/>
    <col collapsed="false" customWidth="true" hidden="false" outlineLevel="0" max="793" min="793" style="0" width="7.57"/>
    <col collapsed="false" customWidth="true" hidden="false" outlineLevel="0" max="794" min="794" style="0" width="5.42"/>
    <col collapsed="false" customWidth="true" hidden="false" outlineLevel="0" max="795" min="795" style="0" width="8.29"/>
    <col collapsed="false" customWidth="true" hidden="false" outlineLevel="0" max="796" min="796" style="0" width="7.42"/>
    <col collapsed="false" customWidth="true" hidden="false" outlineLevel="0" max="797" min="797" style="0" width="3"/>
    <col collapsed="false" customWidth="true" hidden="false" outlineLevel="0" max="798" min="798" style="0" width="7.29"/>
    <col collapsed="false" customWidth="true" hidden="false" outlineLevel="0" max="799" min="799" style="0" width="4.42"/>
  </cols>
  <sheetData>
    <row r="1" customFormat="false" ht="15" hidden="false" customHeight="false" outlineLevel="0" collapsed="false">
      <c r="A1" s="120"/>
      <c r="B1" s="120" t="s">
        <v>90</v>
      </c>
    </row>
    <row r="2" customFormat="false" ht="15" hidden="false" customHeight="false" outlineLevel="0" collapsed="false">
      <c r="A2" s="120"/>
      <c r="B2" s="120" t="s">
        <v>91</v>
      </c>
    </row>
    <row r="3" customFormat="false" ht="15" hidden="false" customHeight="false" outlineLevel="0" collapsed="false">
      <c r="A3" s="415"/>
      <c r="B3" s="81" t="s">
        <v>639</v>
      </c>
    </row>
    <row r="4" customFormat="false" ht="6" hidden="false" customHeight="true" outlineLevel="0" collapsed="false"/>
    <row r="5" customFormat="false" ht="6" hidden="false" customHeight="true" outlineLevel="0" collapsed="false"/>
    <row r="6" customFormat="false" ht="15.75" hidden="false" customHeight="true" outlineLevel="0" collapsed="false">
      <c r="B6" s="662" t="s">
        <v>263</v>
      </c>
      <c r="C6" s="662"/>
      <c r="D6" s="662"/>
      <c r="E6" s="662"/>
      <c r="F6" s="662"/>
      <c r="G6" s="662"/>
      <c r="I6" s="662" t="s">
        <v>267</v>
      </c>
      <c r="J6" s="662"/>
      <c r="K6" s="662"/>
      <c r="L6" s="662"/>
      <c r="M6" s="662"/>
      <c r="N6" s="662"/>
      <c r="P6" s="662" t="s">
        <v>268</v>
      </c>
      <c r="Q6" s="662"/>
      <c r="R6" s="662"/>
      <c r="S6" s="662"/>
      <c r="T6" s="662"/>
      <c r="U6" s="662"/>
      <c r="W6" s="662" t="s">
        <v>269</v>
      </c>
      <c r="X6" s="662"/>
      <c r="Y6" s="662"/>
      <c r="Z6" s="662"/>
      <c r="AA6" s="662"/>
      <c r="AB6" s="662"/>
      <c r="AD6" s="662" t="s">
        <v>270</v>
      </c>
      <c r="AE6" s="662"/>
      <c r="AF6" s="662"/>
      <c r="AG6" s="662"/>
      <c r="AH6" s="662"/>
      <c r="AI6" s="662"/>
    </row>
    <row r="7" customFormat="false" ht="15" hidden="false" customHeight="false" outlineLevel="0" collapsed="false">
      <c r="B7" s="663" t="s">
        <v>640</v>
      </c>
      <c r="C7" s="664"/>
      <c r="D7" s="664"/>
      <c r="E7" s="664"/>
      <c r="F7" s="664"/>
      <c r="G7" s="664"/>
      <c r="I7" s="663" t="s">
        <v>640</v>
      </c>
      <c r="J7" s="664"/>
      <c r="K7" s="664"/>
      <c r="L7" s="664"/>
      <c r="M7" s="664"/>
      <c r="N7" s="664"/>
      <c r="P7" s="663" t="s">
        <v>640</v>
      </c>
      <c r="Q7" s="664"/>
      <c r="R7" s="664"/>
      <c r="S7" s="664"/>
      <c r="T7" s="664"/>
      <c r="U7" s="664"/>
      <c r="W7" s="663" t="s">
        <v>640</v>
      </c>
      <c r="X7" s="664"/>
      <c r="Y7" s="664"/>
      <c r="Z7" s="664"/>
      <c r="AA7" s="664"/>
      <c r="AB7" s="664"/>
      <c r="AD7" s="663" t="s">
        <v>640</v>
      </c>
      <c r="AE7" s="664"/>
      <c r="AF7" s="664"/>
      <c r="AG7" s="664"/>
      <c r="AH7" s="664"/>
      <c r="AI7" s="664"/>
    </row>
    <row r="8" customFormat="false" ht="25.5" hidden="false" customHeight="true" outlineLevel="0" collapsed="false">
      <c r="B8" s="270" t="s">
        <v>641</v>
      </c>
      <c r="C8" s="270"/>
      <c r="D8" s="270" t="s">
        <v>642</v>
      </c>
      <c r="E8" s="270" t="s">
        <v>643</v>
      </c>
      <c r="F8" s="270" t="s">
        <v>644</v>
      </c>
      <c r="G8" s="270" t="s">
        <v>645</v>
      </c>
      <c r="I8" s="270" t="s">
        <v>641</v>
      </c>
      <c r="J8" s="270"/>
      <c r="K8" s="270" t="s">
        <v>642</v>
      </c>
      <c r="L8" s="270" t="s">
        <v>643</v>
      </c>
      <c r="M8" s="270" t="s">
        <v>644</v>
      </c>
      <c r="N8" s="270" t="s">
        <v>645</v>
      </c>
      <c r="P8" s="270" t="s">
        <v>641</v>
      </c>
      <c r="Q8" s="270"/>
      <c r="R8" s="270" t="s">
        <v>642</v>
      </c>
      <c r="S8" s="270" t="s">
        <v>643</v>
      </c>
      <c r="T8" s="270" t="s">
        <v>644</v>
      </c>
      <c r="U8" s="270" t="s">
        <v>645</v>
      </c>
      <c r="W8" s="270" t="s">
        <v>641</v>
      </c>
      <c r="X8" s="270"/>
      <c r="Y8" s="270" t="s">
        <v>642</v>
      </c>
      <c r="Z8" s="270" t="s">
        <v>643</v>
      </c>
      <c r="AA8" s="270" t="s">
        <v>644</v>
      </c>
      <c r="AB8" s="270" t="s">
        <v>645</v>
      </c>
      <c r="AD8" s="270" t="s">
        <v>641</v>
      </c>
      <c r="AE8" s="270"/>
      <c r="AF8" s="270" t="s">
        <v>642</v>
      </c>
      <c r="AG8" s="270" t="s">
        <v>643</v>
      </c>
      <c r="AH8" s="270" t="s">
        <v>644</v>
      </c>
      <c r="AI8" s="270" t="s">
        <v>645</v>
      </c>
    </row>
    <row r="9" customFormat="false" ht="15" hidden="false" customHeight="false" outlineLevel="0" collapsed="false">
      <c r="B9" s="665" t="s">
        <v>646</v>
      </c>
      <c r="C9" s="665" t="s">
        <v>647</v>
      </c>
      <c r="D9" s="665" t="s">
        <v>648</v>
      </c>
      <c r="E9" s="665"/>
      <c r="F9" s="665" t="s">
        <v>649</v>
      </c>
      <c r="G9" s="666" t="n">
        <v>100</v>
      </c>
      <c r="I9" s="665" t="s">
        <v>646</v>
      </c>
      <c r="J9" s="665" t="s">
        <v>647</v>
      </c>
      <c r="K9" s="665" t="s">
        <v>648</v>
      </c>
      <c r="L9" s="665"/>
      <c r="M9" s="665" t="s">
        <v>649</v>
      </c>
      <c r="N9" s="666" t="n">
        <v>100</v>
      </c>
      <c r="P9" s="665" t="s">
        <v>646</v>
      </c>
      <c r="Q9" s="665" t="s">
        <v>647</v>
      </c>
      <c r="R9" s="665" t="s">
        <v>648</v>
      </c>
      <c r="S9" s="665"/>
      <c r="T9" s="665" t="s">
        <v>649</v>
      </c>
      <c r="U9" s="666" t="n">
        <v>100</v>
      </c>
      <c r="W9" s="665" t="s">
        <v>646</v>
      </c>
      <c r="X9" s="665" t="s">
        <v>647</v>
      </c>
      <c r="Y9" s="665" t="s">
        <v>648</v>
      </c>
      <c r="Z9" s="665"/>
      <c r="AA9" s="665" t="s">
        <v>649</v>
      </c>
      <c r="AB9" s="666" t="n">
        <v>100</v>
      </c>
      <c r="AD9" s="665" t="s">
        <v>646</v>
      </c>
      <c r="AE9" s="665" t="s">
        <v>647</v>
      </c>
      <c r="AF9" s="665" t="s">
        <v>648</v>
      </c>
      <c r="AG9" s="665"/>
      <c r="AH9" s="665" t="s">
        <v>649</v>
      </c>
      <c r="AI9" s="666" t="n">
        <v>100</v>
      </c>
    </row>
    <row r="10" customFormat="false" ht="15" hidden="false" customHeight="false" outlineLevel="0" collapsed="false">
      <c r="B10" s="665" t="n">
        <v>2023</v>
      </c>
      <c r="C10" s="667" t="s">
        <v>650</v>
      </c>
      <c r="D10" s="668"/>
      <c r="E10" s="669" t="n">
        <v>25</v>
      </c>
      <c r="F10" s="668" t="n">
        <f aca="false">D10/30*E10</f>
        <v>0</v>
      </c>
      <c r="G10" s="670" t="n">
        <f aca="false">(G9*F10)+G9</f>
        <v>100</v>
      </c>
      <c r="I10" s="665" t="n">
        <f aca="false">B10+1</f>
        <v>2024</v>
      </c>
      <c r="J10" s="667" t="str">
        <f aca="false">$C$10</f>
        <v>AGO</v>
      </c>
      <c r="K10" s="668"/>
      <c r="L10" s="669" t="n">
        <f aca="false">$E$10</f>
        <v>25</v>
      </c>
      <c r="M10" s="668" t="n">
        <f aca="false">K10/30*L10</f>
        <v>0</v>
      </c>
      <c r="N10" s="670" t="n">
        <f aca="false">(N9*M10)+N9</f>
        <v>100</v>
      </c>
      <c r="P10" s="665" t="n">
        <f aca="false">I10+1</f>
        <v>2025</v>
      </c>
      <c r="Q10" s="667" t="str">
        <f aca="false">$C$10</f>
        <v>AGO</v>
      </c>
      <c r="R10" s="668"/>
      <c r="S10" s="669" t="n">
        <f aca="false">$E$10</f>
        <v>25</v>
      </c>
      <c r="T10" s="668" t="n">
        <f aca="false">R10/30*S10</f>
        <v>0</v>
      </c>
      <c r="U10" s="670" t="n">
        <f aca="false">(U9*T10)+U9</f>
        <v>100</v>
      </c>
      <c r="W10" s="665" t="n">
        <f aca="false">P10+1</f>
        <v>2026</v>
      </c>
      <c r="X10" s="667" t="str">
        <f aca="false">$C$10</f>
        <v>AGO</v>
      </c>
      <c r="Y10" s="668"/>
      <c r="Z10" s="669" t="n">
        <f aca="false">$E$10</f>
        <v>25</v>
      </c>
      <c r="AA10" s="668" t="n">
        <f aca="false">Y10/30*Z10</f>
        <v>0</v>
      </c>
      <c r="AB10" s="670" t="n">
        <f aca="false">(AB9*AA10)+AB9</f>
        <v>100</v>
      </c>
      <c r="AD10" s="665" t="n">
        <f aca="false">W10+1</f>
        <v>2027</v>
      </c>
      <c r="AE10" s="667" t="str">
        <f aca="false">$C$10</f>
        <v>AGO</v>
      </c>
      <c r="AF10" s="668"/>
      <c r="AG10" s="669" t="n">
        <f aca="false">$E$10</f>
        <v>25</v>
      </c>
      <c r="AH10" s="668" t="n">
        <f aca="false">AF10/30*AG10</f>
        <v>0</v>
      </c>
      <c r="AI10" s="670" t="n">
        <f aca="false">(AI9*AH10)+AI9</f>
        <v>100</v>
      </c>
    </row>
    <row r="11" customFormat="false" ht="15" hidden="false" customHeight="false" outlineLevel="0" collapsed="false">
      <c r="B11" s="665" t="n">
        <v>2023</v>
      </c>
      <c r="C11" s="667" t="s">
        <v>651</v>
      </c>
      <c r="D11" s="668"/>
      <c r="E11" s="669"/>
      <c r="F11" s="668" t="n">
        <f aca="false">D11/30*E11</f>
        <v>0</v>
      </c>
      <c r="G11" s="670" t="n">
        <f aca="false">(G10*F11)+G10</f>
        <v>100</v>
      </c>
      <c r="I11" s="665" t="n">
        <f aca="false">B11+1</f>
        <v>2024</v>
      </c>
      <c r="J11" s="667" t="str">
        <f aca="false">$C$11</f>
        <v>SET</v>
      </c>
      <c r="K11" s="668"/>
      <c r="L11" s="669"/>
      <c r="M11" s="668" t="n">
        <f aca="false">K11/30*L11</f>
        <v>0</v>
      </c>
      <c r="N11" s="670" t="n">
        <f aca="false">(N10*M11)+N10</f>
        <v>100</v>
      </c>
      <c r="P11" s="665" t="n">
        <f aca="false">I11+1</f>
        <v>2025</v>
      </c>
      <c r="Q11" s="667" t="str">
        <f aca="false">$C$11</f>
        <v>SET</v>
      </c>
      <c r="R11" s="668"/>
      <c r="S11" s="669"/>
      <c r="T11" s="668" t="n">
        <f aca="false">R11/30*S11</f>
        <v>0</v>
      </c>
      <c r="U11" s="670" t="n">
        <f aca="false">(U10*T11)+U10</f>
        <v>100</v>
      </c>
      <c r="W11" s="665" t="n">
        <f aca="false">P11+1</f>
        <v>2026</v>
      </c>
      <c r="X11" s="667" t="str">
        <f aca="false">$C$11</f>
        <v>SET</v>
      </c>
      <c r="Y11" s="668"/>
      <c r="Z11" s="669"/>
      <c r="AA11" s="668" t="n">
        <f aca="false">Y11/30*Z11</f>
        <v>0</v>
      </c>
      <c r="AB11" s="670" t="n">
        <f aca="false">(AB10*AA11)+AB10</f>
        <v>100</v>
      </c>
      <c r="AD11" s="665" t="n">
        <f aca="false">W11+1</f>
        <v>2027</v>
      </c>
      <c r="AE11" s="667" t="str">
        <f aca="false">$C$11</f>
        <v>SET</v>
      </c>
      <c r="AF11" s="668"/>
      <c r="AG11" s="669"/>
      <c r="AH11" s="668" t="n">
        <f aca="false">AF11/30*AG11</f>
        <v>0</v>
      </c>
      <c r="AI11" s="670" t="n">
        <f aca="false">(AI10*AH11)+AI10</f>
        <v>100</v>
      </c>
    </row>
    <row r="12" customFormat="false" ht="15" hidden="false" customHeight="false" outlineLevel="0" collapsed="false">
      <c r="B12" s="665" t="n">
        <v>2023</v>
      </c>
      <c r="C12" s="667" t="s">
        <v>652</v>
      </c>
      <c r="D12" s="668"/>
      <c r="E12" s="669"/>
      <c r="F12" s="668" t="n">
        <f aca="false">D12/30*E12</f>
        <v>0</v>
      </c>
      <c r="G12" s="670" t="n">
        <f aca="false">(G11*F12)+G11</f>
        <v>100</v>
      </c>
      <c r="I12" s="665" t="n">
        <f aca="false">B12+1</f>
        <v>2024</v>
      </c>
      <c r="J12" s="667" t="str">
        <f aca="false">$C$12</f>
        <v>OUT</v>
      </c>
      <c r="K12" s="668"/>
      <c r="L12" s="669"/>
      <c r="M12" s="668" t="n">
        <f aca="false">K12/30*L12</f>
        <v>0</v>
      </c>
      <c r="N12" s="670" t="n">
        <f aca="false">(N11*M12)+N11</f>
        <v>100</v>
      </c>
      <c r="P12" s="665" t="n">
        <f aca="false">I12+1</f>
        <v>2025</v>
      </c>
      <c r="Q12" s="667" t="str">
        <f aca="false">$C$12</f>
        <v>OUT</v>
      </c>
      <c r="R12" s="668"/>
      <c r="S12" s="669"/>
      <c r="T12" s="668" t="n">
        <f aca="false">R12/30*S12</f>
        <v>0</v>
      </c>
      <c r="U12" s="670" t="n">
        <f aca="false">(U11*T12)+U11</f>
        <v>100</v>
      </c>
      <c r="W12" s="665" t="n">
        <f aca="false">P12+1</f>
        <v>2026</v>
      </c>
      <c r="X12" s="667" t="str">
        <f aca="false">$C$12</f>
        <v>OUT</v>
      </c>
      <c r="Y12" s="668"/>
      <c r="Z12" s="669"/>
      <c r="AA12" s="668" t="n">
        <f aca="false">Y12/30*Z12</f>
        <v>0</v>
      </c>
      <c r="AB12" s="670" t="n">
        <f aca="false">(AB11*AA12)+AB11</f>
        <v>100</v>
      </c>
      <c r="AD12" s="665" t="n">
        <f aca="false">W12+1</f>
        <v>2027</v>
      </c>
      <c r="AE12" s="667" t="str">
        <f aca="false">$C$12</f>
        <v>OUT</v>
      </c>
      <c r="AF12" s="668"/>
      <c r="AG12" s="669"/>
      <c r="AH12" s="668" t="n">
        <f aca="false">AF12/30*AG12</f>
        <v>0</v>
      </c>
      <c r="AI12" s="670" t="n">
        <f aca="false">(AI11*AH12)+AI11</f>
        <v>100</v>
      </c>
    </row>
    <row r="13" customFormat="false" ht="15" hidden="false" customHeight="false" outlineLevel="0" collapsed="false">
      <c r="B13" s="665" t="n">
        <v>2023</v>
      </c>
      <c r="C13" s="667" t="s">
        <v>653</v>
      </c>
      <c r="D13" s="668"/>
      <c r="E13" s="669"/>
      <c r="F13" s="668" t="n">
        <f aca="false">D13/30*E13</f>
        <v>0</v>
      </c>
      <c r="G13" s="670" t="n">
        <f aca="false">(G12*F13)+G12</f>
        <v>100</v>
      </c>
      <c r="I13" s="665" t="n">
        <f aca="false">B13+1</f>
        <v>2024</v>
      </c>
      <c r="J13" s="667" t="str">
        <f aca="false">$C$13</f>
        <v>NOV</v>
      </c>
      <c r="K13" s="668"/>
      <c r="L13" s="669"/>
      <c r="M13" s="668" t="n">
        <f aca="false">K13/30*L13</f>
        <v>0</v>
      </c>
      <c r="N13" s="670" t="n">
        <f aca="false">(N12*M13)+N12</f>
        <v>100</v>
      </c>
      <c r="P13" s="665" t="n">
        <f aca="false">I13+1</f>
        <v>2025</v>
      </c>
      <c r="Q13" s="667" t="str">
        <f aca="false">$C$13</f>
        <v>NOV</v>
      </c>
      <c r="R13" s="668"/>
      <c r="S13" s="669"/>
      <c r="T13" s="668" t="n">
        <f aca="false">R13/30*S13</f>
        <v>0</v>
      </c>
      <c r="U13" s="670" t="n">
        <f aca="false">(U12*T13)+U12</f>
        <v>100</v>
      </c>
      <c r="W13" s="665" t="n">
        <f aca="false">P13+1</f>
        <v>2026</v>
      </c>
      <c r="X13" s="667" t="str">
        <f aca="false">$C$13</f>
        <v>NOV</v>
      </c>
      <c r="Y13" s="668"/>
      <c r="Z13" s="669"/>
      <c r="AA13" s="668" t="n">
        <f aca="false">Y13/30*Z13</f>
        <v>0</v>
      </c>
      <c r="AB13" s="670" t="n">
        <f aca="false">(AB12*AA13)+AB12</f>
        <v>100</v>
      </c>
      <c r="AD13" s="665" t="n">
        <f aca="false">W13+1</f>
        <v>2027</v>
      </c>
      <c r="AE13" s="667" t="str">
        <f aca="false">$C$13</f>
        <v>NOV</v>
      </c>
      <c r="AF13" s="668"/>
      <c r="AG13" s="669"/>
      <c r="AH13" s="668" t="n">
        <f aca="false">AF13/30*AG13</f>
        <v>0</v>
      </c>
      <c r="AI13" s="670" t="n">
        <f aca="false">(AI12*AH13)+AI12</f>
        <v>100</v>
      </c>
    </row>
    <row r="14" customFormat="false" ht="15" hidden="false" customHeight="false" outlineLevel="0" collapsed="false">
      <c r="B14" s="665" t="n">
        <v>2023</v>
      </c>
      <c r="C14" s="667" t="s">
        <v>654</v>
      </c>
      <c r="D14" s="668"/>
      <c r="E14" s="669"/>
      <c r="F14" s="668" t="n">
        <f aca="false">D14/30*E14</f>
        <v>0</v>
      </c>
      <c r="G14" s="670" t="n">
        <f aca="false">(G13*F14)+G13</f>
        <v>100</v>
      </c>
      <c r="I14" s="665" t="n">
        <f aca="false">B14+1</f>
        <v>2024</v>
      </c>
      <c r="J14" s="667" t="str">
        <f aca="false">$C$14</f>
        <v>DEZ</v>
      </c>
      <c r="K14" s="668"/>
      <c r="L14" s="669"/>
      <c r="M14" s="668" t="n">
        <f aca="false">K14/30*L14</f>
        <v>0</v>
      </c>
      <c r="N14" s="670" t="n">
        <f aca="false">(N13*M14)+N13</f>
        <v>100</v>
      </c>
      <c r="P14" s="665" t="n">
        <f aca="false">I14+1</f>
        <v>2025</v>
      </c>
      <c r="Q14" s="667" t="str">
        <f aca="false">$C$14</f>
        <v>DEZ</v>
      </c>
      <c r="R14" s="668"/>
      <c r="S14" s="669"/>
      <c r="T14" s="668" t="n">
        <f aca="false">R14/30*S14</f>
        <v>0</v>
      </c>
      <c r="U14" s="670" t="n">
        <f aca="false">(U13*T14)+U13</f>
        <v>100</v>
      </c>
      <c r="W14" s="665" t="n">
        <f aca="false">P14+1</f>
        <v>2026</v>
      </c>
      <c r="X14" s="667" t="str">
        <f aca="false">$C$14</f>
        <v>DEZ</v>
      </c>
      <c r="Y14" s="668"/>
      <c r="Z14" s="669"/>
      <c r="AA14" s="668" t="n">
        <f aca="false">Y14/30*Z14</f>
        <v>0</v>
      </c>
      <c r="AB14" s="670" t="n">
        <f aca="false">(AB13*AA14)+AB13</f>
        <v>100</v>
      </c>
      <c r="AD14" s="665" t="n">
        <f aca="false">W14+1</f>
        <v>2027</v>
      </c>
      <c r="AE14" s="667" t="str">
        <f aca="false">$C$14</f>
        <v>DEZ</v>
      </c>
      <c r="AF14" s="668"/>
      <c r="AG14" s="669"/>
      <c r="AH14" s="668" t="n">
        <f aca="false">AF14/30*AG14</f>
        <v>0</v>
      </c>
      <c r="AI14" s="670" t="n">
        <f aca="false">(AI13*AH14)+AI13</f>
        <v>100</v>
      </c>
    </row>
    <row r="15" customFormat="false" ht="15" hidden="false" customHeight="false" outlineLevel="0" collapsed="false">
      <c r="B15" s="665" t="n">
        <v>2023</v>
      </c>
      <c r="C15" s="667" t="s">
        <v>654</v>
      </c>
      <c r="D15" s="668"/>
      <c r="E15" s="669"/>
      <c r="F15" s="668" t="n">
        <f aca="false">D15/30*E15</f>
        <v>0</v>
      </c>
      <c r="G15" s="670" t="n">
        <f aca="false">(G14*F15)+G14</f>
        <v>100</v>
      </c>
      <c r="I15" s="665" t="n">
        <f aca="false">B15+1</f>
        <v>2024</v>
      </c>
      <c r="J15" s="667" t="str">
        <f aca="false">$C$15</f>
        <v>DEZ</v>
      </c>
      <c r="K15" s="668"/>
      <c r="L15" s="669"/>
      <c r="M15" s="668" t="n">
        <f aca="false">K15/30*L15</f>
        <v>0</v>
      </c>
      <c r="N15" s="670" t="n">
        <f aca="false">(N14*M15)+N14</f>
        <v>100</v>
      </c>
      <c r="P15" s="665" t="n">
        <f aca="false">I15+1</f>
        <v>2025</v>
      </c>
      <c r="Q15" s="667" t="str">
        <f aca="false">$C$15</f>
        <v>DEZ</v>
      </c>
      <c r="R15" s="668"/>
      <c r="S15" s="669"/>
      <c r="T15" s="668" t="n">
        <f aca="false">R15/30*S15</f>
        <v>0</v>
      </c>
      <c r="U15" s="670" t="n">
        <f aca="false">(U14*T15)+U14</f>
        <v>100</v>
      </c>
      <c r="W15" s="665" t="n">
        <f aca="false">P15+1</f>
        <v>2026</v>
      </c>
      <c r="X15" s="667" t="str">
        <f aca="false">$C$15</f>
        <v>DEZ</v>
      </c>
      <c r="Y15" s="668"/>
      <c r="Z15" s="669"/>
      <c r="AA15" s="668" t="n">
        <f aca="false">Y15/30*Z15</f>
        <v>0</v>
      </c>
      <c r="AB15" s="670" t="n">
        <f aca="false">(AB14*AA15)+AB14</f>
        <v>100</v>
      </c>
      <c r="AD15" s="665" t="n">
        <f aca="false">W15+1</f>
        <v>2027</v>
      </c>
      <c r="AE15" s="667" t="str">
        <f aca="false">$C$15</f>
        <v>DEZ</v>
      </c>
      <c r="AF15" s="668"/>
      <c r="AG15" s="669"/>
      <c r="AH15" s="668" t="n">
        <f aca="false">AF15/30*AG15</f>
        <v>0</v>
      </c>
      <c r="AI15" s="670" t="n">
        <f aca="false">(AI14*AH15)+AI14</f>
        <v>100</v>
      </c>
    </row>
    <row r="16" customFormat="false" ht="15" hidden="false" customHeight="false" outlineLevel="0" collapsed="false">
      <c r="B16" s="665" t="n">
        <v>2024</v>
      </c>
      <c r="C16" s="671" t="s">
        <v>655</v>
      </c>
      <c r="D16" s="672"/>
      <c r="E16" s="673"/>
      <c r="F16" s="668" t="n">
        <f aca="false">D16/30*E16</f>
        <v>0</v>
      </c>
      <c r="G16" s="670" t="n">
        <f aca="false">(G15*F16)+G15</f>
        <v>100</v>
      </c>
      <c r="I16" s="665" t="n">
        <f aca="false">B16+1</f>
        <v>2025</v>
      </c>
      <c r="J16" s="667" t="str">
        <f aca="false">$C$16</f>
        <v>JAN</v>
      </c>
      <c r="K16" s="672"/>
      <c r="L16" s="669"/>
      <c r="M16" s="668" t="n">
        <f aca="false">K16/30*L16</f>
        <v>0</v>
      </c>
      <c r="N16" s="670" t="n">
        <f aca="false">(N15*M16)+N15</f>
        <v>100</v>
      </c>
      <c r="P16" s="665" t="n">
        <f aca="false">I16+1</f>
        <v>2026</v>
      </c>
      <c r="Q16" s="667" t="str">
        <f aca="false">$C$16</f>
        <v>JAN</v>
      </c>
      <c r="R16" s="672"/>
      <c r="S16" s="669"/>
      <c r="T16" s="668" t="n">
        <f aca="false">R16/30*S16</f>
        <v>0</v>
      </c>
      <c r="U16" s="670" t="n">
        <f aca="false">(U15*T16)+U15</f>
        <v>100</v>
      </c>
      <c r="W16" s="665" t="n">
        <f aca="false">P16+1</f>
        <v>2027</v>
      </c>
      <c r="X16" s="667" t="str">
        <f aca="false">$C$16</f>
        <v>JAN</v>
      </c>
      <c r="Y16" s="672"/>
      <c r="Z16" s="669"/>
      <c r="AA16" s="668" t="n">
        <f aca="false">Y16/30*Z16</f>
        <v>0</v>
      </c>
      <c r="AB16" s="670" t="n">
        <f aca="false">(AB15*AA16)+AB15</f>
        <v>100</v>
      </c>
      <c r="AD16" s="665" t="n">
        <f aca="false">W16+1</f>
        <v>2028</v>
      </c>
      <c r="AE16" s="667" t="str">
        <f aca="false">$C$16</f>
        <v>JAN</v>
      </c>
      <c r="AF16" s="672"/>
      <c r="AG16" s="669"/>
      <c r="AH16" s="668" t="n">
        <f aca="false">AF16/30*AG16</f>
        <v>0</v>
      </c>
      <c r="AI16" s="670" t="n">
        <f aca="false">(AI15*AH16)+AI15</f>
        <v>100</v>
      </c>
    </row>
    <row r="17" customFormat="false" ht="15" hidden="false" customHeight="false" outlineLevel="0" collapsed="false">
      <c r="B17" s="665" t="n">
        <v>2024</v>
      </c>
      <c r="C17" s="667" t="s">
        <v>656</v>
      </c>
      <c r="D17" s="668"/>
      <c r="E17" s="669"/>
      <c r="F17" s="668" t="n">
        <f aca="false">D17/30*E17</f>
        <v>0</v>
      </c>
      <c r="G17" s="670" t="n">
        <f aca="false">(G16*F17)+G16</f>
        <v>100</v>
      </c>
      <c r="I17" s="665" t="n">
        <f aca="false">B17+1</f>
        <v>2025</v>
      </c>
      <c r="J17" s="667" t="str">
        <f aca="false">$C$17</f>
        <v>FEV</v>
      </c>
      <c r="K17" s="668"/>
      <c r="L17" s="669"/>
      <c r="M17" s="668" t="n">
        <f aca="false">K17/30*L17</f>
        <v>0</v>
      </c>
      <c r="N17" s="670" t="n">
        <f aca="false">(N16*M17)+N16</f>
        <v>100</v>
      </c>
      <c r="P17" s="665" t="n">
        <f aca="false">I17+1</f>
        <v>2026</v>
      </c>
      <c r="Q17" s="667" t="str">
        <f aca="false">$C$17</f>
        <v>FEV</v>
      </c>
      <c r="R17" s="668"/>
      <c r="S17" s="669"/>
      <c r="T17" s="668" t="n">
        <f aca="false">R17/30*S17</f>
        <v>0</v>
      </c>
      <c r="U17" s="670" t="n">
        <f aca="false">(U16*T17)+U16</f>
        <v>100</v>
      </c>
      <c r="W17" s="665" t="n">
        <f aca="false">P17+1</f>
        <v>2027</v>
      </c>
      <c r="X17" s="667" t="str">
        <f aca="false">$C$17</f>
        <v>FEV</v>
      </c>
      <c r="Y17" s="668"/>
      <c r="Z17" s="669"/>
      <c r="AA17" s="668" t="n">
        <f aca="false">Y17/30*Z17</f>
        <v>0</v>
      </c>
      <c r="AB17" s="670" t="n">
        <f aca="false">(AB16*AA17)+AB16</f>
        <v>100</v>
      </c>
      <c r="AD17" s="665" t="n">
        <f aca="false">W17+1</f>
        <v>2028</v>
      </c>
      <c r="AE17" s="667" t="str">
        <f aca="false">$C$17</f>
        <v>FEV</v>
      </c>
      <c r="AF17" s="668"/>
      <c r="AG17" s="669"/>
      <c r="AH17" s="668" t="n">
        <f aca="false">AF17/30*AG17</f>
        <v>0</v>
      </c>
      <c r="AI17" s="670" t="n">
        <f aca="false">(AI16*AH17)+AI16</f>
        <v>100</v>
      </c>
    </row>
    <row r="18" customFormat="false" ht="15" hidden="false" customHeight="false" outlineLevel="0" collapsed="false">
      <c r="B18" s="665" t="n">
        <v>2024</v>
      </c>
      <c r="C18" s="671" t="s">
        <v>657</v>
      </c>
      <c r="D18" s="668"/>
      <c r="E18" s="669"/>
      <c r="F18" s="668" t="n">
        <f aca="false">D18/30*E18</f>
        <v>0</v>
      </c>
      <c r="G18" s="670" t="n">
        <f aca="false">(G17*F18)+G17</f>
        <v>100</v>
      </c>
      <c r="I18" s="665" t="n">
        <f aca="false">B18+1</f>
        <v>2025</v>
      </c>
      <c r="J18" s="667" t="str">
        <f aca="false">$C$18</f>
        <v>MAR</v>
      </c>
      <c r="K18" s="668"/>
      <c r="L18" s="669"/>
      <c r="M18" s="668" t="n">
        <f aca="false">K18/30*L18</f>
        <v>0</v>
      </c>
      <c r="N18" s="670" t="n">
        <f aca="false">(N17*M18)+N17</f>
        <v>100</v>
      </c>
      <c r="P18" s="665" t="n">
        <f aca="false">I18+1</f>
        <v>2026</v>
      </c>
      <c r="Q18" s="667" t="str">
        <f aca="false">$C$18</f>
        <v>MAR</v>
      </c>
      <c r="R18" s="668"/>
      <c r="S18" s="669"/>
      <c r="T18" s="668" t="n">
        <f aca="false">R18/30*S18</f>
        <v>0</v>
      </c>
      <c r="U18" s="670" t="n">
        <f aca="false">(U17*T18)+U17</f>
        <v>100</v>
      </c>
      <c r="W18" s="665" t="n">
        <f aca="false">P18+1</f>
        <v>2027</v>
      </c>
      <c r="X18" s="667" t="str">
        <f aca="false">$C$18</f>
        <v>MAR</v>
      </c>
      <c r="Y18" s="668"/>
      <c r="Z18" s="669"/>
      <c r="AA18" s="668" t="n">
        <f aca="false">Y18/30*Z18</f>
        <v>0</v>
      </c>
      <c r="AB18" s="670" t="n">
        <f aca="false">(AB17*AA18)+AB17</f>
        <v>100</v>
      </c>
      <c r="AD18" s="665" t="n">
        <f aca="false">W18+1</f>
        <v>2028</v>
      </c>
      <c r="AE18" s="667" t="str">
        <f aca="false">$C$18</f>
        <v>MAR</v>
      </c>
      <c r="AF18" s="668"/>
      <c r="AG18" s="669"/>
      <c r="AH18" s="668" t="n">
        <f aca="false">AF18/30*AG18</f>
        <v>0</v>
      </c>
      <c r="AI18" s="670" t="n">
        <f aca="false">(AI17*AH18)+AI17</f>
        <v>100</v>
      </c>
    </row>
    <row r="19" customFormat="false" ht="15" hidden="false" customHeight="false" outlineLevel="0" collapsed="false">
      <c r="B19" s="665" t="n">
        <v>2024</v>
      </c>
      <c r="C19" s="667" t="s">
        <v>658</v>
      </c>
      <c r="D19" s="668"/>
      <c r="E19" s="669"/>
      <c r="F19" s="668" t="n">
        <f aca="false">D19/30*E19</f>
        <v>0</v>
      </c>
      <c r="G19" s="670" t="n">
        <f aca="false">(G18*F19)+G18</f>
        <v>100</v>
      </c>
      <c r="I19" s="665" t="n">
        <f aca="false">B19+1</f>
        <v>2025</v>
      </c>
      <c r="J19" s="667" t="str">
        <f aca="false">$C$19</f>
        <v>ABR</v>
      </c>
      <c r="K19" s="668"/>
      <c r="L19" s="669"/>
      <c r="M19" s="668" t="n">
        <f aca="false">K19/30*L19</f>
        <v>0</v>
      </c>
      <c r="N19" s="670" t="n">
        <f aca="false">(N18*M19)+N18</f>
        <v>100</v>
      </c>
      <c r="P19" s="665" t="n">
        <f aca="false">I19+1</f>
        <v>2026</v>
      </c>
      <c r="Q19" s="667" t="str">
        <f aca="false">$C$19</f>
        <v>ABR</v>
      </c>
      <c r="R19" s="668"/>
      <c r="S19" s="669"/>
      <c r="T19" s="668" t="n">
        <f aca="false">R19/30*S19</f>
        <v>0</v>
      </c>
      <c r="U19" s="670" t="n">
        <f aca="false">(U18*T19)+U18</f>
        <v>100</v>
      </c>
      <c r="W19" s="665" t="n">
        <f aca="false">P19+1</f>
        <v>2027</v>
      </c>
      <c r="X19" s="667" t="str">
        <f aca="false">$C$19</f>
        <v>ABR</v>
      </c>
      <c r="Y19" s="668"/>
      <c r="Z19" s="669"/>
      <c r="AA19" s="668" t="n">
        <f aca="false">Y19/30*Z19</f>
        <v>0</v>
      </c>
      <c r="AB19" s="670" t="n">
        <f aca="false">(AB18*AA19)+AB18</f>
        <v>100</v>
      </c>
      <c r="AD19" s="665" t="n">
        <f aca="false">W19+1</f>
        <v>2028</v>
      </c>
      <c r="AE19" s="667" t="str">
        <f aca="false">$C$19</f>
        <v>ABR</v>
      </c>
      <c r="AF19" s="668"/>
      <c r="AG19" s="669"/>
      <c r="AH19" s="668" t="n">
        <f aca="false">AF19/30*AG19</f>
        <v>0</v>
      </c>
      <c r="AI19" s="670" t="n">
        <f aca="false">(AI18*AH19)+AI18</f>
        <v>100</v>
      </c>
    </row>
    <row r="20" customFormat="false" ht="15" hidden="false" customHeight="false" outlineLevel="0" collapsed="false">
      <c r="B20" s="665" t="n">
        <v>2024</v>
      </c>
      <c r="C20" s="671" t="s">
        <v>659</v>
      </c>
      <c r="D20" s="668"/>
      <c r="E20" s="669"/>
      <c r="F20" s="668" t="n">
        <f aca="false">D20/30*E20</f>
        <v>0</v>
      </c>
      <c r="G20" s="670" t="n">
        <f aca="false">(G19*F20)+G19</f>
        <v>100</v>
      </c>
      <c r="I20" s="665" t="n">
        <f aca="false">B20+1</f>
        <v>2025</v>
      </c>
      <c r="J20" s="667" t="str">
        <f aca="false">$C$20</f>
        <v>MAI</v>
      </c>
      <c r="K20" s="668"/>
      <c r="L20" s="669"/>
      <c r="M20" s="668" t="n">
        <f aca="false">K20/30*L20</f>
        <v>0</v>
      </c>
      <c r="N20" s="670" t="n">
        <f aca="false">(N19*M20)+N19</f>
        <v>100</v>
      </c>
      <c r="P20" s="665" t="n">
        <f aca="false">I20+1</f>
        <v>2026</v>
      </c>
      <c r="Q20" s="667" t="str">
        <f aca="false">$C$20</f>
        <v>MAI</v>
      </c>
      <c r="R20" s="668"/>
      <c r="S20" s="669"/>
      <c r="T20" s="668" t="n">
        <f aca="false">R20/30*S20</f>
        <v>0</v>
      </c>
      <c r="U20" s="670" t="n">
        <f aca="false">(U19*T20)+U19</f>
        <v>100</v>
      </c>
      <c r="W20" s="665" t="n">
        <f aca="false">P20+1</f>
        <v>2027</v>
      </c>
      <c r="X20" s="667" t="str">
        <f aca="false">$C$20</f>
        <v>MAI</v>
      </c>
      <c r="Y20" s="668"/>
      <c r="Z20" s="669"/>
      <c r="AA20" s="668" t="n">
        <f aca="false">Y20/30*Z20</f>
        <v>0</v>
      </c>
      <c r="AB20" s="670" t="n">
        <f aca="false">(AB19*AA20)+AB19</f>
        <v>100</v>
      </c>
      <c r="AD20" s="665" t="n">
        <f aca="false">W20+1</f>
        <v>2028</v>
      </c>
      <c r="AE20" s="667" t="str">
        <f aca="false">$C$20</f>
        <v>MAI</v>
      </c>
      <c r="AF20" s="668"/>
      <c r="AG20" s="669"/>
      <c r="AH20" s="668" t="n">
        <f aca="false">AF20/30*AG20</f>
        <v>0</v>
      </c>
      <c r="AI20" s="670" t="n">
        <f aca="false">(AI19*AH20)+AI19</f>
        <v>100</v>
      </c>
    </row>
    <row r="21" customFormat="false" ht="15" hidden="false" customHeight="false" outlineLevel="0" collapsed="false">
      <c r="B21" s="665" t="n">
        <v>2024</v>
      </c>
      <c r="C21" s="667" t="s">
        <v>660</v>
      </c>
      <c r="D21" s="668"/>
      <c r="E21" s="669"/>
      <c r="F21" s="668" t="n">
        <f aca="false">D21/30*E21</f>
        <v>0</v>
      </c>
      <c r="G21" s="670" t="n">
        <f aca="false">(G20*F21)+G20</f>
        <v>100</v>
      </c>
      <c r="I21" s="665" t="n">
        <f aca="false">B21+1</f>
        <v>2025</v>
      </c>
      <c r="J21" s="667" t="str">
        <f aca="false">$C$21</f>
        <v>JUN</v>
      </c>
      <c r="K21" s="668"/>
      <c r="L21" s="669"/>
      <c r="M21" s="668" t="n">
        <f aca="false">K21/30*L21</f>
        <v>0</v>
      </c>
      <c r="N21" s="670" t="n">
        <f aca="false">(N20*M21)+N20</f>
        <v>100</v>
      </c>
      <c r="P21" s="665" t="n">
        <f aca="false">I21+1</f>
        <v>2026</v>
      </c>
      <c r="Q21" s="667" t="str">
        <f aca="false">$C$21</f>
        <v>JUN</v>
      </c>
      <c r="R21" s="668"/>
      <c r="S21" s="669"/>
      <c r="T21" s="668" t="n">
        <f aca="false">R21/30*S21</f>
        <v>0</v>
      </c>
      <c r="U21" s="670" t="n">
        <f aca="false">(U20*T21)+U20</f>
        <v>100</v>
      </c>
      <c r="W21" s="665" t="n">
        <f aca="false">P21+1</f>
        <v>2027</v>
      </c>
      <c r="X21" s="667" t="str">
        <f aca="false">$C$21</f>
        <v>JUN</v>
      </c>
      <c r="Y21" s="668"/>
      <c r="Z21" s="669"/>
      <c r="AA21" s="668" t="n">
        <f aca="false">Y21/30*Z21</f>
        <v>0</v>
      </c>
      <c r="AB21" s="670" t="n">
        <f aca="false">(AB20*AA21)+AB20</f>
        <v>100</v>
      </c>
      <c r="AD21" s="665" t="n">
        <f aca="false">W21+1</f>
        <v>2028</v>
      </c>
      <c r="AE21" s="667" t="str">
        <f aca="false">$C$21</f>
        <v>JUN</v>
      </c>
      <c r="AF21" s="668"/>
      <c r="AG21" s="669"/>
      <c r="AH21" s="668" t="n">
        <f aca="false">AF21/30*AG21</f>
        <v>0</v>
      </c>
      <c r="AI21" s="670" t="n">
        <f aca="false">(AI20*AH21)+AI20</f>
        <v>100</v>
      </c>
    </row>
    <row r="22" customFormat="false" ht="15" hidden="false" customHeight="false" outlineLevel="0" collapsed="false">
      <c r="B22" s="665" t="n">
        <v>2024</v>
      </c>
      <c r="C22" s="671" t="s">
        <v>661</v>
      </c>
      <c r="D22" s="668"/>
      <c r="E22" s="669" t="n">
        <v>5</v>
      </c>
      <c r="F22" s="668" t="n">
        <f aca="false">D22/30*E22</f>
        <v>0</v>
      </c>
      <c r="G22" s="670" t="n">
        <f aca="false">(G21*F22)+G21</f>
        <v>100</v>
      </c>
      <c r="I22" s="665" t="n">
        <f aca="false">B22+1</f>
        <v>2025</v>
      </c>
      <c r="J22" s="667" t="str">
        <f aca="false">$C$22</f>
        <v>JUL</v>
      </c>
      <c r="K22" s="668"/>
      <c r="L22" s="669" t="n">
        <f aca="false">$E$22</f>
        <v>5</v>
      </c>
      <c r="M22" s="668" t="n">
        <f aca="false">K22/30*L22</f>
        <v>0</v>
      </c>
      <c r="N22" s="670" t="n">
        <f aca="false">(N21*M22)+N21</f>
        <v>100</v>
      </c>
      <c r="P22" s="665" t="n">
        <f aca="false">I22+1</f>
        <v>2026</v>
      </c>
      <c r="Q22" s="667" t="str">
        <f aca="false">$C$22</f>
        <v>JUL</v>
      </c>
      <c r="R22" s="668"/>
      <c r="S22" s="669" t="n">
        <f aca="false">$E$22</f>
        <v>5</v>
      </c>
      <c r="T22" s="668" t="n">
        <f aca="false">R22/30*S22</f>
        <v>0</v>
      </c>
      <c r="U22" s="670" t="n">
        <f aca="false">(U21*T22)+U21</f>
        <v>100</v>
      </c>
      <c r="W22" s="665" t="n">
        <f aca="false">P22+1</f>
        <v>2027</v>
      </c>
      <c r="X22" s="667" t="str">
        <f aca="false">$C$22</f>
        <v>JUL</v>
      </c>
      <c r="Y22" s="668"/>
      <c r="Z22" s="669" t="n">
        <f aca="false">$E$22</f>
        <v>5</v>
      </c>
      <c r="AA22" s="668" t="n">
        <f aca="false">Y22/30*Z22</f>
        <v>0</v>
      </c>
      <c r="AB22" s="670" t="n">
        <f aca="false">(AB21*AA22)+AB21</f>
        <v>100</v>
      </c>
      <c r="AD22" s="665" t="n">
        <f aca="false">W22+1</f>
        <v>2028</v>
      </c>
      <c r="AE22" s="667" t="str">
        <f aca="false">$C$22</f>
        <v>JUL</v>
      </c>
      <c r="AF22" s="668"/>
      <c r="AG22" s="669" t="n">
        <f aca="false">$E$22</f>
        <v>5</v>
      </c>
      <c r="AH22" s="668" t="n">
        <f aca="false">AF22/30*AG22</f>
        <v>0</v>
      </c>
      <c r="AI22" s="670" t="n">
        <f aca="false">(AI21*AH22)+AI21</f>
        <v>100</v>
      </c>
    </row>
    <row r="23" customFormat="false" ht="15" hidden="false" customHeight="false" outlineLevel="0" collapsed="false">
      <c r="B23" s="665" t="s">
        <v>662</v>
      </c>
      <c r="C23" s="665"/>
      <c r="D23" s="665"/>
      <c r="E23" s="665"/>
      <c r="F23" s="665"/>
      <c r="G23" s="674" t="n">
        <f aca="false">ROUND(((G22-G9)/G9),4)</f>
        <v>0</v>
      </c>
      <c r="I23" s="665" t="s">
        <v>662</v>
      </c>
      <c r="J23" s="665"/>
      <c r="K23" s="665"/>
      <c r="L23" s="665"/>
      <c r="M23" s="665"/>
      <c r="N23" s="674" t="n">
        <f aca="false">ROUND(((N22-N9)/N9),4)</f>
        <v>0</v>
      </c>
      <c r="P23" s="665" t="s">
        <v>662</v>
      </c>
      <c r="Q23" s="665"/>
      <c r="R23" s="665"/>
      <c r="S23" s="665"/>
      <c r="T23" s="665"/>
      <c r="U23" s="674" t="n">
        <f aca="false">ROUND(((U22-U9)/U9),4)</f>
        <v>0</v>
      </c>
      <c r="W23" s="665" t="s">
        <v>662</v>
      </c>
      <c r="X23" s="665"/>
      <c r="Y23" s="665"/>
      <c r="Z23" s="665"/>
      <c r="AA23" s="665"/>
      <c r="AB23" s="674" t="n">
        <f aca="false">ROUND(((AB22-AB9)/AB9),4)</f>
        <v>0</v>
      </c>
      <c r="AD23" s="665" t="s">
        <v>662</v>
      </c>
      <c r="AE23" s="665"/>
      <c r="AF23" s="665"/>
      <c r="AG23" s="665"/>
      <c r="AH23" s="665"/>
      <c r="AI23" s="674" t="n">
        <f aca="false">ROUND(((AI22-AI9)/AI9),4)</f>
        <v>0</v>
      </c>
    </row>
  </sheetData>
  <sheetProtection sheet="true" objects="true" scenarios="true"/>
  <mergeCells count="20">
    <mergeCell ref="B6:G6"/>
    <mergeCell ref="I6:N6"/>
    <mergeCell ref="P6:U6"/>
    <mergeCell ref="W6:AB6"/>
    <mergeCell ref="AD6:AI6"/>
    <mergeCell ref="C7:G7"/>
    <mergeCell ref="J7:N7"/>
    <mergeCell ref="Q7:U7"/>
    <mergeCell ref="X7:AB7"/>
    <mergeCell ref="AE7:AI7"/>
    <mergeCell ref="B8:C8"/>
    <mergeCell ref="I8:J8"/>
    <mergeCell ref="P8:Q8"/>
    <mergeCell ref="W8:X8"/>
    <mergeCell ref="AD8:AE8"/>
    <mergeCell ref="B23:F23"/>
    <mergeCell ref="I23:M23"/>
    <mergeCell ref="P23:T23"/>
    <mergeCell ref="W23:AA23"/>
    <mergeCell ref="AD23:AH23"/>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8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21" activeCellId="0" sqref="A21"/>
    </sheetView>
  </sheetViews>
  <sheetFormatPr defaultColWidth="8.71484375" defaultRowHeight="15" zeroHeight="false" outlineLevelRow="0" outlineLevelCol="0"/>
  <cols>
    <col collapsed="false" customWidth="true" hidden="false" outlineLevel="0" max="1" min="1" style="75" width="6.29"/>
    <col collapsed="false" customWidth="false" hidden="false" outlineLevel="0" max="2" min="2" style="116" width="8.71"/>
    <col collapsed="false" customWidth="true" hidden="false" outlineLevel="0" max="3" min="3" style="81" width="4"/>
    <col collapsed="false" customWidth="true" hidden="false" outlineLevel="0" max="23" min="4" style="81" width="9.14"/>
    <col collapsed="false" customWidth="true" hidden="false" outlineLevel="0" max="24" min="24" style="81" width="10.71"/>
    <col collapsed="false" customWidth="true" hidden="false" outlineLevel="0" max="256" min="25" style="81" width="9.14"/>
    <col collapsed="false" customWidth="true" hidden="false" outlineLevel="0" max="257" min="257" style="81" width="4.57"/>
    <col collapsed="false" customWidth="true" hidden="false" outlineLevel="0" max="258" min="258" style="81" width="11.14"/>
    <col collapsed="false" customWidth="true" hidden="false" outlineLevel="0" max="259" min="259" style="81" width="4"/>
    <col collapsed="false" customWidth="true" hidden="false" outlineLevel="0" max="512" min="260" style="81" width="9.14"/>
    <col collapsed="false" customWidth="true" hidden="false" outlineLevel="0" max="513" min="513" style="81" width="4.57"/>
    <col collapsed="false" customWidth="true" hidden="false" outlineLevel="0" max="514" min="514" style="81" width="11.14"/>
    <col collapsed="false" customWidth="true" hidden="false" outlineLevel="0" max="515" min="515" style="81" width="4"/>
    <col collapsed="false" customWidth="true" hidden="false" outlineLevel="0" max="768" min="516" style="81" width="9.14"/>
    <col collapsed="false" customWidth="true" hidden="false" outlineLevel="0" max="769" min="769" style="81" width="4.57"/>
    <col collapsed="false" customWidth="true" hidden="false" outlineLevel="0" max="770" min="770" style="81" width="11.14"/>
    <col collapsed="false" customWidth="true" hidden="false" outlineLevel="0" max="771" min="771" style="81" width="4"/>
    <col collapsed="false" customWidth="true" hidden="false" outlineLevel="0" max="1025" min="772" style="81" width="9.14"/>
  </cols>
  <sheetData>
    <row r="1" customFormat="false" ht="15" hidden="false" customHeight="false" outlineLevel="0" collapsed="false">
      <c r="A1" s="117"/>
      <c r="B1" s="118" t="s">
        <v>90</v>
      </c>
    </row>
    <row r="2" customFormat="false" ht="15" hidden="false" customHeight="false" outlineLevel="0" collapsed="false">
      <c r="A2" s="119"/>
      <c r="B2" s="120" t="s">
        <v>91</v>
      </c>
    </row>
    <row r="3" customFormat="false" ht="15" hidden="false" customHeight="false" outlineLevel="0" collapsed="false">
      <c r="A3" s="119"/>
      <c r="B3" s="81" t="s">
        <v>92</v>
      </c>
    </row>
    <row r="4" s="18" customFormat="true" ht="15" hidden="false" customHeight="false" outlineLevel="0" collapsed="false">
      <c r="A4" s="121" t="s">
        <v>93</v>
      </c>
      <c r="B4" s="121"/>
      <c r="C4" s="121"/>
      <c r="D4" s="121"/>
      <c r="E4" s="121"/>
      <c r="F4" s="121"/>
      <c r="G4" s="121"/>
      <c r="H4" s="121"/>
      <c r="I4" s="121"/>
      <c r="J4" s="121"/>
      <c r="K4" s="121"/>
      <c r="L4" s="121"/>
      <c r="M4" s="121"/>
      <c r="N4" s="121"/>
      <c r="O4" s="121"/>
      <c r="P4" s="121"/>
      <c r="Q4" s="121"/>
      <c r="R4" s="121"/>
      <c r="S4" s="121"/>
      <c r="T4" s="121"/>
      <c r="U4" s="121"/>
      <c r="V4" s="121"/>
      <c r="W4" s="121"/>
      <c r="X4" s="121"/>
    </row>
    <row r="5" customFormat="false" ht="12" hidden="false" customHeight="true" outlineLevel="0" collapsed="false"/>
    <row r="6" customFormat="false" ht="15" hidden="false" customHeight="false" outlineLevel="0" collapsed="false">
      <c r="A6" s="80" t="s">
        <v>94</v>
      </c>
      <c r="B6" s="122" t="s">
        <v>95</v>
      </c>
    </row>
    <row r="7" customFormat="false" ht="7.5" hidden="false" customHeight="true" outlineLevel="0" collapsed="false"/>
    <row r="8" customFormat="false" ht="15" hidden="false" customHeight="false" outlineLevel="0" collapsed="false">
      <c r="B8" s="123"/>
      <c r="C8" s="116" t="s">
        <v>96</v>
      </c>
    </row>
    <row r="10" customFormat="false" ht="15" hidden="false" customHeight="false" outlineLevel="0" collapsed="false">
      <c r="A10" s="80" t="s">
        <v>97</v>
      </c>
      <c r="B10" s="116" t="s">
        <v>98</v>
      </c>
    </row>
    <row r="12" customFormat="false" ht="15" hidden="false" customHeight="false" outlineLevel="0" collapsed="false">
      <c r="A12" s="80" t="s">
        <v>99</v>
      </c>
      <c r="B12" s="116" t="s">
        <v>100</v>
      </c>
    </row>
    <row r="13" customFormat="false" ht="15" hidden="false" customHeight="false" outlineLevel="0" collapsed="false">
      <c r="A13" s="80"/>
      <c r="B13" s="116" t="s">
        <v>101</v>
      </c>
    </row>
    <row r="14" s="125" customFormat="true" ht="17.25" hidden="false" customHeight="true" outlineLevel="0" collapsed="false">
      <c r="A14" s="80"/>
      <c r="B14" s="124" t="s">
        <v>102</v>
      </c>
    </row>
    <row r="15" customFormat="false" ht="7.5" hidden="false" customHeight="true" outlineLevel="0" collapsed="false"/>
    <row r="16" customFormat="false" ht="15" hidden="false" customHeight="false" outlineLevel="0" collapsed="false">
      <c r="B16" s="126" t="s">
        <v>103</v>
      </c>
      <c r="C16" s="127" t="s">
        <v>104</v>
      </c>
      <c r="D16" s="127"/>
      <c r="E16" s="127"/>
      <c r="F16" s="127"/>
      <c r="G16" s="127"/>
    </row>
    <row r="18" customFormat="false" ht="15" hidden="false" customHeight="false" outlineLevel="0" collapsed="false">
      <c r="C18" s="128" t="s">
        <v>105</v>
      </c>
      <c r="D18" s="128" t="s">
        <v>106</v>
      </c>
    </row>
    <row r="19" customFormat="false" ht="15" hidden="false" customHeight="false" outlineLevel="0" collapsed="false">
      <c r="D19" s="81" t="s">
        <v>107</v>
      </c>
    </row>
    <row r="20" customFormat="false" ht="15" hidden="false" customHeight="false" outlineLevel="0" collapsed="false">
      <c r="D20" s="81" t="s">
        <v>108</v>
      </c>
    </row>
    <row r="21" customFormat="false" ht="15" hidden="false" customHeight="false" outlineLevel="0" collapsed="false">
      <c r="C21" s="128"/>
      <c r="D21" s="81" t="s">
        <v>109</v>
      </c>
    </row>
    <row r="22" customFormat="false" ht="15" hidden="false" customHeight="false" outlineLevel="0" collapsed="false">
      <c r="D22" s="81" t="s">
        <v>110</v>
      </c>
    </row>
    <row r="23" customFormat="false" ht="15" hidden="false" customHeight="false" outlineLevel="0" collapsed="false">
      <c r="D23" s="81" t="s">
        <v>111</v>
      </c>
    </row>
    <row r="24" customFormat="false" ht="15" hidden="false" customHeight="false" outlineLevel="0" collapsed="false">
      <c r="D24" s="81" t="s">
        <v>112</v>
      </c>
    </row>
    <row r="25" customFormat="false" ht="15" hidden="false" customHeight="false" outlineLevel="0" collapsed="false">
      <c r="D25" s="81" t="s">
        <v>113</v>
      </c>
    </row>
    <row r="26" customFormat="false" ht="15" hidden="false" customHeight="false" outlineLevel="0" collapsed="false">
      <c r="D26" s="81" t="s">
        <v>114</v>
      </c>
    </row>
    <row r="27" customFormat="false" ht="15" hidden="false" customHeight="false" outlineLevel="0" collapsed="false">
      <c r="D27" s="81" t="s">
        <v>115</v>
      </c>
    </row>
    <row r="28" customFormat="false" ht="15" hidden="false" customHeight="false" outlineLevel="0" collapsed="false">
      <c r="D28" s="81" t="s">
        <v>116</v>
      </c>
    </row>
    <row r="29" customFormat="false" ht="15" hidden="false" customHeight="false" outlineLevel="0" collapsed="false">
      <c r="D29" s="81" t="s">
        <v>117</v>
      </c>
    </row>
    <row r="30" customFormat="false" ht="15" hidden="false" customHeight="false" outlineLevel="0" collapsed="false">
      <c r="D30" s="81" t="s">
        <v>118</v>
      </c>
    </row>
    <row r="31" customFormat="false" ht="15" hidden="false" customHeight="false" outlineLevel="0" collapsed="false">
      <c r="D31" s="81" t="s">
        <v>119</v>
      </c>
    </row>
    <row r="32" customFormat="false" ht="15" hidden="false" customHeight="false" outlineLevel="0" collapsed="false">
      <c r="D32" s="81" t="s">
        <v>120</v>
      </c>
    </row>
    <row r="33" customFormat="false" ht="15" hidden="false" customHeight="false" outlineLevel="0" collapsed="false">
      <c r="D33" s="81" t="s">
        <v>121</v>
      </c>
    </row>
    <row r="34" customFormat="false" ht="15" hidden="false" customHeight="false" outlineLevel="0" collapsed="false">
      <c r="D34" s="81" t="s">
        <v>122</v>
      </c>
    </row>
    <row r="35" customFormat="false" ht="15" hidden="false" customHeight="false" outlineLevel="0" collapsed="false">
      <c r="D35" s="81" t="s">
        <v>123</v>
      </c>
    </row>
    <row r="36" customFormat="false" ht="15" hidden="false" customHeight="false" outlineLevel="0" collapsed="false">
      <c r="D36" s="81" t="s">
        <v>124</v>
      </c>
    </row>
    <row r="37" customFormat="false" ht="15" hidden="false" customHeight="false" outlineLevel="0" collapsed="false">
      <c r="D37" s="81" t="s">
        <v>125</v>
      </c>
    </row>
    <row r="38" customFormat="false" ht="15" hidden="false" customHeight="false" outlineLevel="0" collapsed="false">
      <c r="D38" s="81" t="s">
        <v>126</v>
      </c>
    </row>
    <row r="39" customFormat="false" ht="15" hidden="false" customHeight="false" outlineLevel="0" collapsed="false">
      <c r="D39" s="81" t="s">
        <v>127</v>
      </c>
    </row>
    <row r="40" customFormat="false" ht="15" hidden="false" customHeight="false" outlineLevel="0" collapsed="false">
      <c r="D40" s="81" t="s">
        <v>128</v>
      </c>
    </row>
    <row r="41" customFormat="false" ht="15" hidden="false" customHeight="false" outlineLevel="0" collapsed="false">
      <c r="D41" s="81" t="s">
        <v>129</v>
      </c>
    </row>
    <row r="42" customFormat="false" ht="15" hidden="false" customHeight="false" outlineLevel="0" collapsed="false">
      <c r="D42" s="127" t="s">
        <v>130</v>
      </c>
      <c r="E42" s="127"/>
      <c r="F42" s="127"/>
      <c r="G42" s="127"/>
      <c r="H42" s="127"/>
    </row>
    <row r="44" customFormat="false" ht="15" hidden="false" customHeight="false" outlineLevel="0" collapsed="false">
      <c r="C44" s="128" t="s">
        <v>131</v>
      </c>
      <c r="D44" s="128" t="s">
        <v>132</v>
      </c>
    </row>
    <row r="45" customFormat="false" ht="15" hidden="false" customHeight="false" outlineLevel="0" collapsed="false">
      <c r="D45" s="81" t="s">
        <v>133</v>
      </c>
    </row>
    <row r="46" customFormat="false" ht="15" hidden="false" customHeight="false" outlineLevel="0" collapsed="false">
      <c r="D46" s="81" t="s">
        <v>134</v>
      </c>
    </row>
    <row r="47" customFormat="false" ht="15" hidden="false" customHeight="false" outlineLevel="0" collapsed="false">
      <c r="D47" s="127" t="s">
        <v>130</v>
      </c>
      <c r="E47" s="127"/>
      <c r="F47" s="127"/>
      <c r="G47" s="127"/>
      <c r="H47" s="127"/>
    </row>
    <row r="49" customFormat="false" ht="15" hidden="false" customHeight="false" outlineLevel="0" collapsed="false">
      <c r="C49" s="128" t="s">
        <v>135</v>
      </c>
      <c r="D49" s="128" t="s">
        <v>136</v>
      </c>
    </row>
    <row r="50" customFormat="false" ht="15" hidden="false" customHeight="false" outlineLevel="0" collapsed="false">
      <c r="D50" s="81" t="s">
        <v>137</v>
      </c>
    </row>
    <row r="51" customFormat="false" ht="15" hidden="false" customHeight="false" outlineLevel="0" collapsed="false">
      <c r="D51" s="81" t="s">
        <v>138</v>
      </c>
    </row>
    <row r="52" customFormat="false" ht="15" hidden="false" customHeight="false" outlineLevel="0" collapsed="false">
      <c r="E52" s="81" t="s">
        <v>139</v>
      </c>
    </row>
    <row r="53" customFormat="false" ht="15" hidden="false" customHeight="false" outlineLevel="0" collapsed="false">
      <c r="E53" s="81" t="s">
        <v>140</v>
      </c>
    </row>
    <row r="54" customFormat="false" ht="15" hidden="false" customHeight="false" outlineLevel="0" collapsed="false">
      <c r="D54" s="81" t="s">
        <v>141</v>
      </c>
    </row>
    <row r="55" customFormat="false" ht="15" hidden="false" customHeight="false" outlineLevel="0" collapsed="false">
      <c r="D55" s="127" t="s">
        <v>130</v>
      </c>
      <c r="E55" s="127"/>
      <c r="F55" s="127"/>
      <c r="G55" s="127"/>
      <c r="H55" s="127"/>
    </row>
    <row r="57" customFormat="false" ht="15" hidden="false" customHeight="false" outlineLevel="0" collapsed="false">
      <c r="C57" s="128" t="s">
        <v>142</v>
      </c>
      <c r="D57" s="128" t="s">
        <v>143</v>
      </c>
    </row>
    <row r="58" customFormat="false" ht="15" hidden="false" customHeight="false" outlineLevel="0" collapsed="false">
      <c r="D58" s="81" t="s">
        <v>144</v>
      </c>
    </row>
    <row r="59" customFormat="false" ht="15" hidden="false" customHeight="false" outlineLevel="0" collapsed="false">
      <c r="D59" s="127" t="s">
        <v>130</v>
      </c>
      <c r="E59" s="127"/>
      <c r="F59" s="127"/>
      <c r="G59" s="127"/>
      <c r="H59" s="127"/>
    </row>
    <row r="61" customFormat="false" ht="15" hidden="false" customHeight="false" outlineLevel="0" collapsed="false">
      <c r="C61" s="128" t="s">
        <v>145</v>
      </c>
      <c r="D61" s="128" t="s">
        <v>146</v>
      </c>
    </row>
    <row r="62" customFormat="false" ht="15" hidden="false" customHeight="false" outlineLevel="0" collapsed="false">
      <c r="D62" s="81" t="s">
        <v>144</v>
      </c>
    </row>
    <row r="63" customFormat="false" ht="15" hidden="false" customHeight="false" outlineLevel="0" collapsed="false">
      <c r="D63" s="127" t="s">
        <v>130</v>
      </c>
      <c r="E63" s="127"/>
      <c r="F63" s="127"/>
      <c r="G63" s="127"/>
      <c r="H63" s="127"/>
    </row>
    <row r="65" customFormat="false" ht="15" hidden="false" customHeight="false" outlineLevel="0" collapsed="false">
      <c r="C65" s="128" t="s">
        <v>147</v>
      </c>
      <c r="D65" s="128" t="s">
        <v>148</v>
      </c>
    </row>
    <row r="66" customFormat="false" ht="15" hidden="false" customHeight="false" outlineLevel="0" collapsed="false">
      <c r="D66" s="81" t="s">
        <v>149</v>
      </c>
    </row>
    <row r="67" customFormat="false" ht="15" hidden="false" customHeight="false" outlineLevel="0" collapsed="false">
      <c r="D67" s="81" t="s">
        <v>150</v>
      </c>
    </row>
    <row r="68" customFormat="false" ht="15" hidden="false" customHeight="false" outlineLevel="0" collapsed="false">
      <c r="D68" s="127" t="s">
        <v>130</v>
      </c>
      <c r="E68" s="127"/>
      <c r="F68" s="127"/>
      <c r="G68" s="127"/>
      <c r="H68" s="127"/>
    </row>
    <row r="69" customFormat="false" ht="19.5" hidden="false" customHeight="true" outlineLevel="0" collapsed="false"/>
    <row r="70" customFormat="false" ht="24.75" hidden="false" customHeight="true" outlineLevel="0" collapsed="false"/>
    <row r="71" customFormat="false" ht="15" hidden="false" customHeight="false" outlineLevel="0" collapsed="false">
      <c r="A71" s="80" t="s">
        <v>151</v>
      </c>
      <c r="B71" s="116" t="s">
        <v>152</v>
      </c>
    </row>
    <row r="72" customFormat="false" ht="15" hidden="false" customHeight="false" outlineLevel="0" collapsed="false">
      <c r="A72" s="80"/>
      <c r="B72" s="116" t="s">
        <v>101</v>
      </c>
    </row>
    <row r="73" s="125" customFormat="true" ht="18" hidden="false" customHeight="true" outlineLevel="0" collapsed="false">
      <c r="A73" s="75"/>
      <c r="B73" s="80" t="s">
        <v>153</v>
      </c>
      <c r="C73" s="125" t="s">
        <v>154</v>
      </c>
    </row>
    <row r="74" customFormat="false" ht="15" hidden="false" customHeight="false" outlineLevel="0" collapsed="false">
      <c r="B74" s="126" t="s">
        <v>155</v>
      </c>
      <c r="C74" s="129" t="s">
        <v>156</v>
      </c>
      <c r="D74" s="129"/>
      <c r="E74" s="129"/>
      <c r="F74" s="129"/>
      <c r="G74" s="129"/>
    </row>
    <row r="75" customFormat="false" ht="24.75" hidden="false" customHeight="true" outlineLevel="0" collapsed="false"/>
    <row r="76" s="125" customFormat="true" ht="15" hidden="false" customHeight="true" outlineLevel="0" collapsed="false">
      <c r="A76" s="80" t="s">
        <v>157</v>
      </c>
      <c r="B76" s="72" t="s">
        <v>158</v>
      </c>
    </row>
    <row r="77" s="125" customFormat="true" ht="15.75" hidden="false" customHeight="true" outlineLevel="0" collapsed="false">
      <c r="A77" s="75"/>
      <c r="B77" s="80" t="s">
        <v>159</v>
      </c>
      <c r="C77" s="70" t="s">
        <v>160</v>
      </c>
    </row>
    <row r="78" customFormat="false" ht="15" hidden="false" customHeight="false" outlineLevel="0" collapsed="false">
      <c r="B78" s="126" t="s">
        <v>161</v>
      </c>
      <c r="C78" s="130" t="s">
        <v>162</v>
      </c>
      <c r="D78" s="130"/>
      <c r="E78" s="130"/>
      <c r="F78" s="130"/>
    </row>
    <row r="79" customFormat="false" ht="24.75" hidden="false" customHeight="true" outlineLevel="0" collapsed="false"/>
    <row r="80" customFormat="false" ht="15" hidden="false" customHeight="false" outlineLevel="0" collapsed="false">
      <c r="A80" s="80" t="s">
        <v>163</v>
      </c>
      <c r="B80" s="116" t="s">
        <v>164</v>
      </c>
    </row>
    <row r="81" s="125" customFormat="true" ht="16.5" hidden="false" customHeight="true" outlineLevel="0" collapsed="false">
      <c r="A81" s="75"/>
      <c r="B81" s="80" t="s">
        <v>165</v>
      </c>
      <c r="C81" s="70" t="s">
        <v>166</v>
      </c>
    </row>
    <row r="82" s="125" customFormat="true" ht="14.25" hidden="false" customHeight="true" outlineLevel="0" collapsed="false">
      <c r="A82" s="75"/>
      <c r="B82" s="80" t="s">
        <v>167</v>
      </c>
      <c r="C82" s="131" t="s">
        <v>156</v>
      </c>
      <c r="D82" s="131"/>
      <c r="E82" s="131"/>
      <c r="F82" s="131"/>
      <c r="G82" s="131"/>
    </row>
    <row r="83" s="125" customFormat="true" ht="23.25" hidden="false" customHeight="true" outlineLevel="0" collapsed="false">
      <c r="A83" s="75"/>
      <c r="B83" s="80"/>
      <c r="C83" s="132"/>
      <c r="D83" s="132"/>
      <c r="E83" s="132"/>
      <c r="F83" s="132"/>
      <c r="G83" s="132"/>
    </row>
  </sheetData>
  <sheetProtection sheet="true" password="c4d4" objects="true" scenarios="true"/>
  <mergeCells count="1">
    <mergeCell ref="A4:X4"/>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U20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J9" activeCellId="0" sqref="J9"/>
    </sheetView>
  </sheetViews>
  <sheetFormatPr defaultColWidth="8.71484375" defaultRowHeight="15" zeroHeight="false" outlineLevelRow="0" outlineLevelCol="0"/>
  <cols>
    <col collapsed="false" customWidth="true" hidden="false" outlineLevel="0" max="1" min="1" style="1" width="9.86"/>
    <col collapsed="false" customWidth="true" hidden="false" outlineLevel="0" max="2" min="2" style="1" width="10.42"/>
    <col collapsed="false" customWidth="true" hidden="false" outlineLevel="0" max="3" min="3" style="1" width="39.29"/>
    <col collapsed="false" customWidth="true" hidden="false" outlineLevel="0" max="4" min="4" style="1" width="12"/>
    <col collapsed="false" customWidth="true" hidden="false" outlineLevel="0" max="5" min="5" style="1" width="15.71"/>
    <col collapsed="false" customWidth="true" hidden="false" outlineLevel="0" max="6" min="6" style="1" width="14.86"/>
    <col collapsed="false" customWidth="true" hidden="false" outlineLevel="0" max="7" min="7" style="1" width="14"/>
    <col collapsed="false" customWidth="true" hidden="false" outlineLevel="0" max="8" min="8" style="1" width="13.57"/>
    <col collapsed="false" customWidth="true" hidden="false" outlineLevel="0" max="9" min="9" style="1" width="13.42"/>
    <col collapsed="false" customWidth="true" hidden="false" outlineLevel="0" max="10" min="10" style="2" width="13.57"/>
    <col collapsed="false" customWidth="true" hidden="false" outlineLevel="0" max="11" min="11" style="2" width="18.29"/>
    <col collapsed="false" customWidth="true" hidden="false" outlineLevel="0" max="12" min="12" style="1" width="13.29"/>
    <col collapsed="false" customWidth="true" hidden="false" outlineLevel="0" max="13" min="13" style="1" width="15.14"/>
    <col collapsed="false" customWidth="true" hidden="false" outlineLevel="0" max="14" min="14" style="1" width="9.71"/>
    <col collapsed="false" customWidth="true" hidden="false" outlineLevel="0" max="15" min="15" style="1" width="12.71"/>
    <col collapsed="false" customWidth="true" hidden="false" outlineLevel="0" max="18" min="16" style="1" width="13.57"/>
    <col collapsed="false" customWidth="true" hidden="false" outlineLevel="0" max="19" min="19" style="1" width="15"/>
    <col collapsed="false" customWidth="true" hidden="false" outlineLevel="0" max="255" min="20" style="1" width="9.14"/>
    <col collapsed="false" customWidth="true" hidden="false" outlineLevel="0" max="256" min="256" style="1" width="9.86"/>
    <col collapsed="false" customWidth="true" hidden="false" outlineLevel="0" max="257" min="257" style="1" width="10.42"/>
    <col collapsed="false" customWidth="true" hidden="false" outlineLevel="0" max="258" min="258" style="1" width="39.29"/>
    <col collapsed="false" customWidth="true" hidden="false" outlineLevel="0" max="259" min="259" style="1" width="15"/>
    <col collapsed="false" customWidth="true" hidden="false" outlineLevel="0" max="260" min="260" style="1" width="11"/>
    <col collapsed="false" customWidth="true" hidden="false" outlineLevel="0" max="261" min="261" style="1" width="11.14"/>
    <col collapsed="false" customWidth="true" hidden="false" outlineLevel="0" max="262" min="262" style="1" width="12.86"/>
    <col collapsed="false" customWidth="true" hidden="false" outlineLevel="0" max="263" min="263" style="1" width="13.15"/>
    <col collapsed="false" customWidth="true" hidden="false" outlineLevel="0" max="267" min="264" style="1" width="14.14"/>
    <col collapsed="false" customWidth="true" hidden="false" outlineLevel="0" max="268" min="268" style="1" width="14.42"/>
    <col collapsed="false" customWidth="true" hidden="false" outlineLevel="0" max="269" min="269" style="1" width="9.71"/>
    <col collapsed="false" customWidth="true" hidden="false" outlineLevel="0" max="270" min="270" style="1" width="12.71"/>
    <col collapsed="false" customWidth="true" hidden="false" outlineLevel="0" max="273" min="271" style="1" width="13.57"/>
    <col collapsed="false" customWidth="true" hidden="false" outlineLevel="0" max="274" min="274" style="1" width="12.15"/>
    <col collapsed="false" customWidth="true" hidden="false" outlineLevel="0" max="275" min="275" style="1" width="15"/>
    <col collapsed="false" customWidth="true" hidden="false" outlineLevel="0" max="511" min="276" style="1" width="9.14"/>
    <col collapsed="false" customWidth="true" hidden="false" outlineLevel="0" max="512" min="512" style="1" width="9.86"/>
    <col collapsed="false" customWidth="true" hidden="false" outlineLevel="0" max="513" min="513" style="1" width="10.42"/>
    <col collapsed="false" customWidth="true" hidden="false" outlineLevel="0" max="514" min="514" style="1" width="39.29"/>
    <col collapsed="false" customWidth="true" hidden="false" outlineLevel="0" max="515" min="515" style="1" width="15"/>
    <col collapsed="false" customWidth="true" hidden="false" outlineLevel="0" max="516" min="516" style="1" width="11"/>
    <col collapsed="false" customWidth="true" hidden="false" outlineLevel="0" max="517" min="517" style="1" width="11.14"/>
    <col collapsed="false" customWidth="true" hidden="false" outlineLevel="0" max="518" min="518" style="1" width="12.86"/>
    <col collapsed="false" customWidth="true" hidden="false" outlineLevel="0" max="519" min="519" style="1" width="13.15"/>
    <col collapsed="false" customWidth="true" hidden="false" outlineLevel="0" max="523" min="520" style="1" width="14.14"/>
    <col collapsed="false" customWidth="true" hidden="false" outlineLevel="0" max="524" min="524" style="1" width="14.42"/>
    <col collapsed="false" customWidth="true" hidden="false" outlineLevel="0" max="525" min="525" style="1" width="9.71"/>
    <col collapsed="false" customWidth="true" hidden="false" outlineLevel="0" max="526" min="526" style="1" width="12.71"/>
    <col collapsed="false" customWidth="true" hidden="false" outlineLevel="0" max="529" min="527" style="1" width="13.57"/>
    <col collapsed="false" customWidth="true" hidden="false" outlineLevel="0" max="530" min="530" style="1" width="12.15"/>
    <col collapsed="false" customWidth="true" hidden="false" outlineLevel="0" max="531" min="531" style="1" width="15"/>
    <col collapsed="false" customWidth="true" hidden="false" outlineLevel="0" max="767" min="532" style="1" width="9.14"/>
    <col collapsed="false" customWidth="true" hidden="false" outlineLevel="0" max="768" min="768" style="1" width="9.86"/>
    <col collapsed="false" customWidth="true" hidden="false" outlineLevel="0" max="769" min="769" style="1" width="10.42"/>
    <col collapsed="false" customWidth="true" hidden="false" outlineLevel="0" max="770" min="770" style="1" width="39.29"/>
    <col collapsed="false" customWidth="true" hidden="false" outlineLevel="0" max="771" min="771" style="1" width="15"/>
    <col collapsed="false" customWidth="true" hidden="false" outlineLevel="0" max="772" min="772" style="1" width="11"/>
    <col collapsed="false" customWidth="true" hidden="false" outlineLevel="0" max="773" min="773" style="1" width="11.14"/>
    <col collapsed="false" customWidth="true" hidden="false" outlineLevel="0" max="774" min="774" style="1" width="12.86"/>
    <col collapsed="false" customWidth="true" hidden="false" outlineLevel="0" max="775" min="775" style="1" width="13.15"/>
    <col collapsed="false" customWidth="true" hidden="false" outlineLevel="0" max="779" min="776" style="1" width="14.14"/>
    <col collapsed="false" customWidth="true" hidden="false" outlineLevel="0" max="780" min="780" style="1" width="14.42"/>
    <col collapsed="false" customWidth="true" hidden="false" outlineLevel="0" max="781" min="781" style="1" width="9.71"/>
    <col collapsed="false" customWidth="true" hidden="false" outlineLevel="0" max="782" min="782" style="1" width="12.71"/>
    <col collapsed="false" customWidth="true" hidden="false" outlineLevel="0" max="785" min="783" style="1" width="13.57"/>
    <col collapsed="false" customWidth="true" hidden="false" outlineLevel="0" max="786" min="786" style="1" width="12.15"/>
    <col collapsed="false" customWidth="true" hidden="false" outlineLevel="0" max="787" min="787" style="1" width="15"/>
    <col collapsed="false" customWidth="true" hidden="false" outlineLevel="0" max="1023" min="788" style="1" width="9.14"/>
    <col collapsed="false" customWidth="true" hidden="false" outlineLevel="0" max="1025" min="1024" style="1" width="9.86"/>
  </cols>
  <sheetData>
    <row r="1" customFormat="false" ht="15" hidden="false" customHeight="false" outlineLevel="0" collapsed="false">
      <c r="A1" s="133"/>
      <c r="B1" s="120" t="str">
        <f aca="false">INSTRUÇÕES!B1</f>
        <v>Tribunal Regional Federal da 6ª Região</v>
      </c>
      <c r="D1" s="81"/>
      <c r="E1" s="81"/>
      <c r="F1" s="81"/>
      <c r="G1" s="81"/>
      <c r="H1" s="81"/>
      <c r="I1" s="81"/>
      <c r="J1" s="134"/>
      <c r="K1" s="134"/>
      <c r="L1" s="81"/>
      <c r="M1" s="81"/>
      <c r="N1" s="81"/>
    </row>
    <row r="2" customFormat="false" ht="15" hidden="false" customHeight="false" outlineLevel="0" collapsed="false">
      <c r="A2" s="133"/>
      <c r="B2" s="120" t="str">
        <f aca="false">INSTRUÇÕES!B2</f>
        <v>Seção Judiciária de Minas Gerais</v>
      </c>
      <c r="D2" s="81"/>
      <c r="E2" s="81"/>
      <c r="F2" s="81"/>
      <c r="G2" s="81"/>
      <c r="H2" s="81"/>
      <c r="I2" s="81"/>
      <c r="J2" s="134"/>
      <c r="K2" s="134"/>
      <c r="L2" s="81"/>
      <c r="M2" s="81"/>
      <c r="N2" s="81"/>
    </row>
    <row r="3" customFormat="false" ht="17.35" hidden="false" customHeight="false" outlineLevel="0" collapsed="false">
      <c r="A3" s="133"/>
      <c r="B3" s="120" t="str">
        <f aca="false">INSTRUÇÕES!B3</f>
        <v>Subseção Judiciária de Passos</v>
      </c>
      <c r="D3" s="81"/>
      <c r="E3" s="135" t="s">
        <v>168</v>
      </c>
      <c r="F3" s="81"/>
      <c r="G3" s="81"/>
      <c r="H3" s="81"/>
      <c r="I3" s="81"/>
      <c r="J3" s="134"/>
      <c r="K3" s="134"/>
      <c r="L3" s="81"/>
      <c r="M3" s="81"/>
      <c r="N3" s="81"/>
      <c r="R3" s="81"/>
    </row>
    <row r="4" s="18" customFormat="true" ht="24.75" hidden="false" customHeight="true" outlineLevel="0" collapsed="false">
      <c r="A4" s="136" t="str">
        <f aca="false">CONCATENATE("Sindicato utilizado - ",E14,". Vigência: ",E16,". Sendo a data base da categoria ",E17,". Com número de registro no MTE ",E15,".")</f>
        <v>Sindicato utilizado - SINSERHT x SINTAPPI. Vigência: 2024/2025. Sendo a data base da categoria 01° de Abril. Com número de registro no MTE MG002103/2024.</v>
      </c>
      <c r="B4" s="136"/>
      <c r="C4" s="137"/>
      <c r="D4" s="1"/>
      <c r="E4" s="136"/>
      <c r="F4" s="138"/>
      <c r="G4" s="138"/>
      <c r="H4" s="138"/>
      <c r="I4" s="138"/>
      <c r="J4" s="138"/>
      <c r="K4" s="138"/>
      <c r="L4" s="138"/>
      <c r="M4" s="138"/>
      <c r="N4" s="138"/>
      <c r="O4" s="138"/>
      <c r="P4" s="138"/>
      <c r="Q4" s="138"/>
      <c r="R4" s="138"/>
      <c r="S4" s="138"/>
    </row>
    <row r="5" s="18" customFormat="true" ht="66.75" hidden="false" customHeight="true" outlineLevel="0" collapsed="false">
      <c r="A5" s="139" t="s">
        <v>169</v>
      </c>
      <c r="B5" s="139" t="s">
        <v>170</v>
      </c>
      <c r="C5" s="139" t="s">
        <v>25</v>
      </c>
      <c r="D5" s="139" t="s">
        <v>171</v>
      </c>
      <c r="E5" s="139" t="s">
        <v>172</v>
      </c>
      <c r="F5" s="139" t="s">
        <v>173</v>
      </c>
      <c r="G5" s="139" t="s">
        <v>174</v>
      </c>
      <c r="H5" s="139" t="s">
        <v>175</v>
      </c>
      <c r="I5" s="139" t="s">
        <v>176</v>
      </c>
      <c r="J5" s="139" t="s">
        <v>177</v>
      </c>
      <c r="K5" s="139" t="s">
        <v>178</v>
      </c>
      <c r="L5" s="139" t="s">
        <v>179</v>
      </c>
      <c r="M5" s="140" t="s">
        <v>180</v>
      </c>
      <c r="N5" s="139" t="s">
        <v>181</v>
      </c>
      <c r="O5" s="139" t="s">
        <v>182</v>
      </c>
      <c r="P5" s="139" t="s">
        <v>183</v>
      </c>
      <c r="Q5" s="139" t="s">
        <v>184</v>
      </c>
      <c r="R5" s="139" t="s">
        <v>185</v>
      </c>
      <c r="S5" s="139" t="s">
        <v>186</v>
      </c>
      <c r="U5" s="141"/>
    </row>
    <row r="6" s="18" customFormat="true" ht="23.85" hidden="false" customHeight="false" outlineLevel="0" collapsed="false">
      <c r="A6" s="139"/>
      <c r="B6" s="139"/>
      <c r="C6" s="139"/>
      <c r="D6" s="139"/>
      <c r="E6" s="139"/>
      <c r="F6" s="139"/>
      <c r="G6" s="139"/>
      <c r="H6" s="139"/>
      <c r="I6" s="139"/>
      <c r="J6" s="139"/>
      <c r="K6" s="139"/>
      <c r="L6" s="139"/>
      <c r="M6" s="140"/>
      <c r="N6" s="142" t="s">
        <v>187</v>
      </c>
      <c r="O6" s="143" t="n">
        <f aca="false">B7+B8</f>
        <v>2</v>
      </c>
      <c r="P6" s="143" t="n">
        <f aca="false">B8</f>
        <v>1</v>
      </c>
      <c r="Q6" s="143"/>
      <c r="R6" s="143"/>
      <c r="S6" s="139"/>
      <c r="U6" s="141"/>
    </row>
    <row r="7" s="18" customFormat="true" ht="24.75" hidden="false" customHeight="true" outlineLevel="0" collapsed="false">
      <c r="A7" s="144" t="n">
        <v>333903702</v>
      </c>
      <c r="B7" s="143" t="n">
        <v>1</v>
      </c>
      <c r="C7" s="145" t="s">
        <v>188</v>
      </c>
      <c r="D7" s="143" t="n">
        <v>200</v>
      </c>
      <c r="E7" s="146" t="n">
        <v>1526.8</v>
      </c>
      <c r="F7" s="147" t="n">
        <f aca="false">ROUND(((E7/220)*D7),2)</f>
        <v>1388</v>
      </c>
      <c r="G7" s="148" t="n">
        <v>0.4</v>
      </c>
      <c r="H7" s="147" t="n">
        <f aca="false">G7*G27</f>
        <v>564.8</v>
      </c>
      <c r="I7" s="46" t="n">
        <v>0</v>
      </c>
      <c r="J7" s="46" t="n">
        <v>0</v>
      </c>
      <c r="K7" s="46"/>
      <c r="L7" s="46" t="n">
        <v>0</v>
      </c>
      <c r="M7" s="149" t="n">
        <f aca="false">F7+H7+L7</f>
        <v>1952.8</v>
      </c>
      <c r="N7" s="147" t="n">
        <f aca="false">Unif!H14</f>
        <v>37.6</v>
      </c>
      <c r="O7" s="147" t="n">
        <f aca="false">ROUND((Materiais!K44/$O$6),2)</f>
        <v>371.86</v>
      </c>
      <c r="P7" s="147"/>
      <c r="Q7" s="147" t="n">
        <f aca="false">EPI!F9/2</f>
        <v>4.17</v>
      </c>
      <c r="R7" s="147" t="n">
        <f aca="false">Equipamentos!G15/2</f>
        <v>7.125</v>
      </c>
      <c r="S7" s="150" t="n">
        <v>2</v>
      </c>
      <c r="U7" s="141"/>
    </row>
    <row r="8" s="18" customFormat="true" ht="21" hidden="false" customHeight="true" outlineLevel="0" collapsed="false">
      <c r="A8" s="144"/>
      <c r="B8" s="143" t="n">
        <v>1</v>
      </c>
      <c r="C8" s="145" t="s">
        <v>189</v>
      </c>
      <c r="D8" s="143" t="n">
        <v>200</v>
      </c>
      <c r="E8" s="146" t="n">
        <v>1526.8</v>
      </c>
      <c r="F8" s="147" t="n">
        <f aca="false">ROUND(((E8/220)*D8),2)</f>
        <v>1388</v>
      </c>
      <c r="G8" s="151" t="n">
        <v>0</v>
      </c>
      <c r="H8" s="46" t="n">
        <v>0</v>
      </c>
      <c r="I8" s="152" t="n">
        <v>0.12</v>
      </c>
      <c r="J8" s="153" t="n">
        <v>0.25</v>
      </c>
      <c r="K8" s="146" t="n">
        <f aca="false">F8</f>
        <v>1388</v>
      </c>
      <c r="L8" s="154" t="n">
        <f aca="false">ROUND((K8*I8*J8),2)</f>
        <v>41.64</v>
      </c>
      <c r="M8" s="149" t="n">
        <f aca="false">F8+H8+L8</f>
        <v>1429.64</v>
      </c>
      <c r="N8" s="147" t="n">
        <f aca="false">Unif!H14+Unif!H20</f>
        <v>44.93</v>
      </c>
      <c r="O8" s="147" t="n">
        <f aca="false">ROUND((Materiais!K44/$O$6),2)</f>
        <v>371.86</v>
      </c>
      <c r="P8" s="147" t="n">
        <f aca="false">Materiais!K57/P6</f>
        <v>86.1133333333333</v>
      </c>
      <c r="Q8" s="147" t="n">
        <f aca="false">EPI!F9/2</f>
        <v>4.17</v>
      </c>
      <c r="R8" s="147" t="n">
        <f aca="false">Equipamentos!G15/2</f>
        <v>7.125</v>
      </c>
      <c r="S8" s="150" t="n">
        <v>2</v>
      </c>
      <c r="U8" s="141"/>
    </row>
    <row r="9" customFormat="false" ht="21" hidden="false" customHeight="true" outlineLevel="0" collapsed="false">
      <c r="A9" s="155" t="n">
        <v>333903701</v>
      </c>
      <c r="B9" s="143" t="n">
        <v>3</v>
      </c>
      <c r="C9" s="145" t="s">
        <v>190</v>
      </c>
      <c r="D9" s="143" t="n">
        <v>150</v>
      </c>
      <c r="E9" s="146" t="n">
        <v>1914</v>
      </c>
      <c r="F9" s="147" t="n">
        <f aca="false">ROUND(((E9/220)*D9),2)</f>
        <v>1305</v>
      </c>
      <c r="G9" s="151" t="n">
        <v>0</v>
      </c>
      <c r="H9" s="46" t="n">
        <v>0</v>
      </c>
      <c r="I9" s="156"/>
      <c r="J9" s="156"/>
      <c r="K9" s="157"/>
      <c r="L9" s="158"/>
      <c r="M9" s="149" t="n">
        <f aca="false">F9+H9+L9</f>
        <v>1305</v>
      </c>
      <c r="N9" s="147" t="n">
        <f aca="false">Unif!H27</f>
        <v>49.35</v>
      </c>
      <c r="O9" s="159"/>
      <c r="P9" s="147"/>
      <c r="Q9" s="147"/>
      <c r="R9" s="147"/>
      <c r="S9" s="150" t="n">
        <v>2</v>
      </c>
    </row>
    <row r="10" customFormat="false" ht="24.75" hidden="false" customHeight="true" outlineLevel="0" collapsed="false">
      <c r="A10" s="155"/>
      <c r="B10" s="143" t="n">
        <v>1</v>
      </c>
      <c r="C10" s="145" t="s">
        <v>190</v>
      </c>
      <c r="D10" s="143" t="n">
        <v>200</v>
      </c>
      <c r="E10" s="146" t="n">
        <v>1914</v>
      </c>
      <c r="F10" s="147" t="n">
        <f aca="false">ROUND(((E10/220)*D10),2)</f>
        <v>1740</v>
      </c>
      <c r="G10" s="151" t="n">
        <v>0</v>
      </c>
      <c r="H10" s="46" t="n">
        <v>0</v>
      </c>
      <c r="I10" s="156"/>
      <c r="J10" s="156"/>
      <c r="K10" s="157"/>
      <c r="L10" s="160"/>
      <c r="M10" s="149" t="n">
        <f aca="false">F10+H10+L10</f>
        <v>1740</v>
      </c>
      <c r="N10" s="147" t="n">
        <f aca="false">Unif!H27</f>
        <v>49.35</v>
      </c>
      <c r="O10" s="147"/>
      <c r="P10" s="147"/>
      <c r="Q10" s="147"/>
      <c r="R10" s="147"/>
      <c r="S10" s="150" t="n">
        <v>1</v>
      </c>
    </row>
    <row r="11" customFormat="false" ht="34.5" hidden="false" customHeight="true" outlineLevel="0" collapsed="false">
      <c r="A11" s="138" t="s">
        <v>191</v>
      </c>
      <c r="B11" s="2"/>
      <c r="C11" s="2"/>
      <c r="D11" s="138"/>
      <c r="F11" s="138"/>
      <c r="G11" s="138" t="s">
        <v>192</v>
      </c>
      <c r="H11" s="138"/>
      <c r="I11" s="138"/>
      <c r="J11" s="138"/>
      <c r="K11" s="136"/>
      <c r="L11" s="161" t="s">
        <v>193</v>
      </c>
      <c r="M11" s="162" t="n">
        <f aca="false">SUM(M7:M10)</f>
        <v>6427.44</v>
      </c>
      <c r="N11" s="136"/>
      <c r="O11" s="136"/>
      <c r="P11" s="136"/>
      <c r="Q11" s="136"/>
      <c r="R11" s="136"/>
      <c r="S11" s="136"/>
    </row>
    <row r="12" customFormat="false" ht="24.75" hidden="false" customHeight="true" outlineLevel="0" collapsed="false">
      <c r="A12" s="163" t="s">
        <v>194</v>
      </c>
      <c r="B12" s="163"/>
      <c r="C12" s="163"/>
      <c r="D12" s="163"/>
      <c r="E12" s="163"/>
      <c r="F12" s="163"/>
      <c r="G12" s="163"/>
      <c r="N12" s="136"/>
      <c r="O12" s="136"/>
      <c r="P12" s="136"/>
      <c r="Q12" s="136"/>
      <c r="R12" s="136"/>
      <c r="S12" s="136"/>
    </row>
    <row r="13" customFormat="false" ht="24" hidden="false" customHeight="true" outlineLevel="0" collapsed="false">
      <c r="A13" s="164" t="n">
        <v>1</v>
      </c>
      <c r="B13" s="165" t="s">
        <v>195</v>
      </c>
      <c r="C13" s="165"/>
      <c r="D13" s="165"/>
      <c r="E13" s="166" t="s">
        <v>196</v>
      </c>
      <c r="F13" s="166"/>
      <c r="G13" s="166"/>
      <c r="H13" s="16" t="s">
        <v>197</v>
      </c>
      <c r="N13" s="136"/>
      <c r="O13" s="136"/>
      <c r="P13" s="136"/>
      <c r="Q13" s="136"/>
      <c r="R13" s="136"/>
      <c r="S13" s="70"/>
    </row>
    <row r="14" customFormat="false" ht="24" hidden="false" customHeight="true" outlineLevel="0" collapsed="false">
      <c r="A14" s="164" t="n">
        <v>2</v>
      </c>
      <c r="B14" s="165" t="s">
        <v>198</v>
      </c>
      <c r="C14" s="165"/>
      <c r="D14" s="165"/>
      <c r="E14" s="166" t="s">
        <v>199</v>
      </c>
      <c r="F14" s="166"/>
      <c r="G14" s="166"/>
      <c r="H14" s="16" t="s">
        <v>200</v>
      </c>
      <c r="N14" s="136"/>
      <c r="O14" s="136"/>
      <c r="P14" s="136"/>
      <c r="Q14" s="136"/>
      <c r="R14" s="136"/>
      <c r="S14" s="70"/>
    </row>
    <row r="15" customFormat="false" ht="24" hidden="false" customHeight="true" outlineLevel="0" collapsed="false">
      <c r="A15" s="164" t="n">
        <v>3</v>
      </c>
      <c r="B15" s="165" t="s">
        <v>201</v>
      </c>
      <c r="C15" s="165"/>
      <c r="D15" s="165"/>
      <c r="E15" s="166" t="s">
        <v>202</v>
      </c>
      <c r="F15" s="166"/>
      <c r="G15" s="166"/>
      <c r="H15" s="16" t="s">
        <v>203</v>
      </c>
      <c r="N15" s="136"/>
      <c r="O15" s="136"/>
      <c r="P15" s="136"/>
      <c r="Q15" s="136"/>
      <c r="R15" s="136"/>
      <c r="S15" s="70"/>
    </row>
    <row r="16" customFormat="false" ht="24" hidden="false" customHeight="true" outlineLevel="0" collapsed="false">
      <c r="A16" s="164" t="n">
        <v>4</v>
      </c>
      <c r="B16" s="165" t="s">
        <v>204</v>
      </c>
      <c r="C16" s="165"/>
      <c r="D16" s="165"/>
      <c r="E16" s="166" t="s">
        <v>205</v>
      </c>
      <c r="F16" s="166"/>
      <c r="G16" s="166"/>
      <c r="H16" s="16" t="s">
        <v>206</v>
      </c>
      <c r="N16" s="136"/>
      <c r="O16" s="136"/>
      <c r="P16" s="136"/>
      <c r="Q16" s="136"/>
      <c r="R16" s="136"/>
      <c r="S16" s="70"/>
    </row>
    <row r="17" customFormat="false" ht="24" hidden="false" customHeight="true" outlineLevel="0" collapsed="false">
      <c r="A17" s="164" t="n">
        <v>5</v>
      </c>
      <c r="B17" s="165" t="s">
        <v>207</v>
      </c>
      <c r="C17" s="165"/>
      <c r="D17" s="165"/>
      <c r="E17" s="166" t="s">
        <v>208</v>
      </c>
      <c r="F17" s="166"/>
      <c r="G17" s="166"/>
      <c r="H17" s="16" t="s">
        <v>209</v>
      </c>
      <c r="N17" s="136"/>
      <c r="O17" s="136"/>
      <c r="P17" s="136"/>
      <c r="Q17" s="136"/>
      <c r="R17" s="136"/>
      <c r="S17" s="70"/>
    </row>
    <row r="18" s="1" customFormat="true" ht="12.75" hidden="false" customHeight="true" outlineLevel="0" collapsed="false">
      <c r="A18" s="167"/>
      <c r="H18" s="16"/>
    </row>
    <row r="19" s="70" customFormat="true" ht="24.75" hidden="false" customHeight="true" outlineLevel="0" collapsed="false">
      <c r="A19" s="163" t="s">
        <v>210</v>
      </c>
      <c r="B19" s="163"/>
      <c r="C19" s="163"/>
      <c r="D19" s="163"/>
      <c r="E19" s="163"/>
      <c r="F19" s="163"/>
      <c r="G19" s="163"/>
      <c r="H19" s="16"/>
      <c r="I19" s="136"/>
      <c r="J19" s="136"/>
      <c r="K19" s="136"/>
      <c r="L19" s="136"/>
      <c r="M19" s="136"/>
      <c r="N19" s="136"/>
      <c r="O19" s="136"/>
      <c r="P19" s="136"/>
      <c r="Q19" s="136"/>
      <c r="R19" s="136"/>
    </row>
    <row r="20" s="1" customFormat="true" ht="24" hidden="false" customHeight="true" outlineLevel="0" collapsed="false">
      <c r="A20" s="164" t="s">
        <v>211</v>
      </c>
      <c r="B20" s="165" t="s">
        <v>212</v>
      </c>
      <c r="C20" s="165"/>
      <c r="D20" s="165"/>
      <c r="E20" s="165"/>
      <c r="F20" s="165"/>
      <c r="G20" s="148" t="n">
        <f aca="false">Encargos!C57</f>
        <v>0.7905</v>
      </c>
      <c r="H20" s="16"/>
    </row>
    <row r="21" s="1" customFormat="true" ht="12.75" hidden="false" customHeight="true" outlineLevel="0" collapsed="false">
      <c r="A21" s="167"/>
      <c r="G21" s="2"/>
      <c r="H21" s="16"/>
    </row>
    <row r="22" s="1" customFormat="true" ht="24.75" hidden="false" customHeight="true" outlineLevel="0" collapsed="false">
      <c r="A22" s="114" t="n">
        <v>1</v>
      </c>
      <c r="B22" s="165" t="s">
        <v>213</v>
      </c>
      <c r="C22" s="165"/>
      <c r="D22" s="165"/>
      <c r="E22" s="165"/>
      <c r="F22" s="165"/>
      <c r="G22" s="168" t="n">
        <f aca="false">G23*G24</f>
        <v>0.06</v>
      </c>
      <c r="H22" s="16"/>
    </row>
    <row r="23" s="1" customFormat="true" ht="24.75" hidden="false" customHeight="true" outlineLevel="0" collapsed="false">
      <c r="A23" s="114" t="n">
        <v>2</v>
      </c>
      <c r="B23" s="165" t="s">
        <v>214</v>
      </c>
      <c r="C23" s="165"/>
      <c r="D23" s="165"/>
      <c r="E23" s="165"/>
      <c r="F23" s="165"/>
      <c r="G23" s="152" t="n">
        <v>0.03</v>
      </c>
      <c r="H23" s="16" t="s">
        <v>215</v>
      </c>
    </row>
    <row r="24" s="1" customFormat="true" ht="24.75" hidden="false" customHeight="true" outlineLevel="0" collapsed="false">
      <c r="A24" s="114" t="n">
        <v>3</v>
      </c>
      <c r="B24" s="165" t="s">
        <v>216</v>
      </c>
      <c r="C24" s="165"/>
      <c r="D24" s="165"/>
      <c r="E24" s="165"/>
      <c r="F24" s="165"/>
      <c r="G24" s="169" t="n">
        <v>2</v>
      </c>
      <c r="H24" s="16" t="s">
        <v>217</v>
      </c>
    </row>
    <row r="25" s="1" customFormat="true" ht="12.75" hidden="false" customHeight="true" outlineLevel="0" collapsed="false">
      <c r="A25" s="167"/>
      <c r="B25" s="136"/>
      <c r="C25" s="136"/>
      <c r="D25" s="136"/>
      <c r="E25" s="136"/>
      <c r="F25" s="136"/>
      <c r="H25" s="16"/>
    </row>
    <row r="26" s="1" customFormat="true" ht="24.75" hidden="false" customHeight="true" outlineLevel="0" collapsed="false">
      <c r="A26" s="163" t="s">
        <v>218</v>
      </c>
      <c r="B26" s="163"/>
      <c r="C26" s="163"/>
      <c r="D26" s="163"/>
      <c r="E26" s="163"/>
      <c r="F26" s="163"/>
      <c r="G26" s="163"/>
      <c r="H26" s="16"/>
    </row>
    <row r="27" s="1" customFormat="true" ht="24.75" hidden="false" customHeight="true" outlineLevel="0" collapsed="false">
      <c r="A27" s="114" t="n">
        <v>1</v>
      </c>
      <c r="B27" s="165" t="s">
        <v>219</v>
      </c>
      <c r="C27" s="165"/>
      <c r="D27" s="165"/>
      <c r="E27" s="165"/>
      <c r="F27" s="165"/>
      <c r="G27" s="146" t="n">
        <v>1412</v>
      </c>
      <c r="H27" s="16" t="s">
        <v>220</v>
      </c>
    </row>
    <row r="28" s="1" customFormat="true" ht="12.75" hidden="false" customHeight="true" outlineLevel="0" collapsed="false">
      <c r="A28" s="170"/>
      <c r="B28" s="171"/>
      <c r="C28" s="171"/>
      <c r="D28" s="171"/>
      <c r="E28" s="171"/>
      <c r="F28" s="171"/>
      <c r="G28" s="172"/>
      <c r="H28" s="16"/>
    </row>
    <row r="29" s="70" customFormat="true" ht="24.75" hidden="false" customHeight="true" outlineLevel="0" collapsed="false">
      <c r="A29" s="163" t="s">
        <v>221</v>
      </c>
      <c r="B29" s="163"/>
      <c r="C29" s="163"/>
      <c r="D29" s="163"/>
      <c r="E29" s="163"/>
      <c r="F29" s="163"/>
      <c r="G29" s="163"/>
      <c r="H29" s="16"/>
      <c r="I29" s="1"/>
      <c r="J29" s="1"/>
      <c r="K29" s="136"/>
      <c r="L29" s="136"/>
      <c r="M29" s="136"/>
      <c r="N29" s="136"/>
      <c r="O29" s="136"/>
      <c r="P29" s="136"/>
      <c r="Q29" s="136"/>
      <c r="R29" s="136"/>
    </row>
    <row r="30" s="1" customFormat="true" ht="26.25" hidden="false" customHeight="true" outlineLevel="0" collapsed="false">
      <c r="A30" s="164" t="n">
        <v>1</v>
      </c>
      <c r="B30" s="165" t="s">
        <v>222</v>
      </c>
      <c r="C30" s="165"/>
      <c r="D30" s="165"/>
      <c r="E30" s="165"/>
      <c r="F30" s="165"/>
      <c r="G30" s="169" t="n">
        <v>7.2</v>
      </c>
      <c r="H30" s="16" t="s">
        <v>223</v>
      </c>
    </row>
    <row r="31" s="1" customFormat="true" ht="26.25" hidden="false" customHeight="true" outlineLevel="0" collapsed="false">
      <c r="A31" s="173" t="n">
        <v>2</v>
      </c>
      <c r="B31" s="165" t="s">
        <v>224</v>
      </c>
      <c r="C31" s="165"/>
      <c r="D31" s="165"/>
      <c r="E31" s="165"/>
      <c r="F31" s="165"/>
      <c r="G31" s="169" t="n">
        <v>0</v>
      </c>
      <c r="H31" s="16" t="s">
        <v>223</v>
      </c>
    </row>
    <row r="32" s="1" customFormat="true" ht="26.25" hidden="false" customHeight="true" outlineLevel="0" collapsed="false">
      <c r="A32" s="164" t="n">
        <v>3</v>
      </c>
      <c r="B32" s="174" t="s">
        <v>225</v>
      </c>
      <c r="C32" s="174"/>
      <c r="D32" s="165" t="s">
        <v>226</v>
      </c>
      <c r="E32" s="165"/>
      <c r="F32" s="165"/>
      <c r="G32" s="169" t="n">
        <v>3.9</v>
      </c>
      <c r="H32" s="16" t="s">
        <v>227</v>
      </c>
      <c r="I32" s="136"/>
      <c r="O32" s="16"/>
    </row>
    <row r="33" s="1" customFormat="true" ht="26.25" hidden="false" customHeight="true" outlineLevel="0" collapsed="false">
      <c r="A33" s="164"/>
      <c r="B33" s="174"/>
      <c r="C33" s="174"/>
      <c r="D33" s="165" t="s">
        <v>228</v>
      </c>
      <c r="E33" s="165"/>
      <c r="F33" s="165"/>
      <c r="G33" s="169" t="n">
        <v>2</v>
      </c>
      <c r="H33" s="16" t="s">
        <v>229</v>
      </c>
      <c r="I33" s="136"/>
      <c r="O33" s="16"/>
    </row>
    <row r="34" s="1" customFormat="true" ht="26.25" hidden="false" customHeight="true" outlineLevel="0" collapsed="false">
      <c r="A34" s="164"/>
      <c r="B34" s="174"/>
      <c r="C34" s="174"/>
      <c r="D34" s="165" t="s">
        <v>230</v>
      </c>
      <c r="E34" s="165"/>
      <c r="F34" s="165"/>
      <c r="G34" s="175" t="n">
        <v>22</v>
      </c>
      <c r="H34" s="16" t="s">
        <v>231</v>
      </c>
      <c r="I34" s="136"/>
      <c r="O34" s="16"/>
    </row>
    <row r="35" customFormat="false" ht="26.25" hidden="false" customHeight="true" outlineLevel="0" collapsed="false">
      <c r="A35" s="164"/>
      <c r="B35" s="174"/>
      <c r="C35" s="174"/>
      <c r="D35" s="176" t="s">
        <v>232</v>
      </c>
      <c r="E35" s="176"/>
      <c r="F35" s="176"/>
      <c r="G35" s="177" t="n">
        <v>0.06</v>
      </c>
      <c r="H35" s="16" t="s">
        <v>233</v>
      </c>
      <c r="O35" s="16"/>
    </row>
    <row r="36" s="1" customFormat="true" ht="26.25" hidden="false" customHeight="true" outlineLevel="0" collapsed="false">
      <c r="A36" s="164" t="n">
        <v>4</v>
      </c>
      <c r="B36" s="174" t="s">
        <v>234</v>
      </c>
      <c r="C36" s="174"/>
      <c r="D36" s="165" t="s">
        <v>235</v>
      </c>
      <c r="E36" s="165"/>
      <c r="F36" s="165"/>
      <c r="G36" s="169" t="n">
        <v>27</v>
      </c>
      <c r="H36" s="16" t="s">
        <v>236</v>
      </c>
      <c r="I36" s="136"/>
    </row>
    <row r="37" customFormat="false" ht="26.25" hidden="false" customHeight="true" outlineLevel="0" collapsed="false">
      <c r="A37" s="164"/>
      <c r="B37" s="174"/>
      <c r="C37" s="174"/>
      <c r="D37" s="165" t="s">
        <v>230</v>
      </c>
      <c r="E37" s="165"/>
      <c r="F37" s="165"/>
      <c r="G37" s="175" t="n">
        <f aca="false">G34</f>
        <v>22</v>
      </c>
      <c r="H37" s="16" t="s">
        <v>231</v>
      </c>
      <c r="I37" s="3"/>
      <c r="J37" s="3"/>
      <c r="K37" s="136"/>
      <c r="O37" s="16"/>
    </row>
    <row r="38" s="1" customFormat="true" ht="26.25" hidden="false" customHeight="true" outlineLevel="0" collapsed="false">
      <c r="A38" s="164"/>
      <c r="B38" s="174"/>
      <c r="C38" s="174"/>
      <c r="D38" s="176" t="s">
        <v>232</v>
      </c>
      <c r="E38" s="176"/>
      <c r="F38" s="176"/>
      <c r="G38" s="152" t="n">
        <v>0.2</v>
      </c>
      <c r="H38" s="16" t="s">
        <v>233</v>
      </c>
      <c r="O38" s="16"/>
    </row>
    <row r="39" s="1" customFormat="true" ht="26.25" hidden="false" customHeight="true" outlineLevel="0" collapsed="false">
      <c r="A39" s="164" t="n">
        <v>5</v>
      </c>
      <c r="B39" s="178" t="s">
        <v>237</v>
      </c>
      <c r="C39" s="178"/>
      <c r="D39" s="178"/>
      <c r="E39" s="178"/>
      <c r="F39" s="178"/>
      <c r="G39" s="169" t="n">
        <v>0</v>
      </c>
      <c r="H39" s="16" t="s">
        <v>238</v>
      </c>
      <c r="O39" s="16"/>
    </row>
    <row r="40" s="1" customFormat="true" ht="26.25" hidden="false" customHeight="true" outlineLevel="0" collapsed="false">
      <c r="A40" s="164" t="n">
        <v>6</v>
      </c>
      <c r="B40" s="178" t="s">
        <v>237</v>
      </c>
      <c r="C40" s="178"/>
      <c r="D40" s="178"/>
      <c r="E40" s="178"/>
      <c r="F40" s="178"/>
      <c r="G40" s="169" t="n">
        <v>0</v>
      </c>
      <c r="H40" s="16" t="s">
        <v>238</v>
      </c>
    </row>
    <row r="41" s="1" customFormat="true" ht="12.75" hidden="false" customHeight="true" outlineLevel="0" collapsed="false">
      <c r="H41" s="16"/>
    </row>
    <row r="42" s="70" customFormat="true" ht="24.75" hidden="false" customHeight="true" outlineLevel="0" collapsed="false">
      <c r="A42" s="163" t="s">
        <v>239</v>
      </c>
      <c r="B42" s="163"/>
      <c r="C42" s="163"/>
      <c r="D42" s="163"/>
      <c r="E42" s="163"/>
      <c r="F42" s="163"/>
      <c r="G42" s="163"/>
      <c r="H42" s="16"/>
      <c r="I42" s="136"/>
      <c r="J42" s="136"/>
      <c r="K42" s="136"/>
      <c r="L42" s="136"/>
      <c r="M42" s="136"/>
      <c r="N42" s="136"/>
      <c r="O42" s="136"/>
      <c r="P42" s="136"/>
      <c r="Q42" s="136"/>
      <c r="R42" s="136"/>
    </row>
    <row r="43" s="1" customFormat="true" ht="24.75" hidden="false" customHeight="true" outlineLevel="0" collapsed="false">
      <c r="A43" s="164" t="n">
        <v>1</v>
      </c>
      <c r="B43" s="165" t="s">
        <v>240</v>
      </c>
      <c r="C43" s="165"/>
      <c r="D43" s="165"/>
      <c r="E43" s="165"/>
      <c r="F43" s="165"/>
      <c r="G43" s="152" t="n">
        <v>0.03</v>
      </c>
      <c r="H43" s="16" t="s">
        <v>241</v>
      </c>
    </row>
    <row r="44" s="1" customFormat="true" ht="24.75" hidden="false" customHeight="true" outlineLevel="0" collapsed="false">
      <c r="A44" s="164" t="n">
        <v>2</v>
      </c>
      <c r="B44" s="165" t="s">
        <v>242</v>
      </c>
      <c r="C44" s="165"/>
      <c r="D44" s="165"/>
      <c r="E44" s="165"/>
      <c r="F44" s="165"/>
      <c r="G44" s="152" t="n">
        <v>0.0679</v>
      </c>
      <c r="H44" s="16" t="s">
        <v>241</v>
      </c>
    </row>
    <row r="45" s="1" customFormat="true" ht="12.75" hidden="false" customHeight="true" outlineLevel="0" collapsed="false">
      <c r="H45" s="16"/>
    </row>
    <row r="46" s="70" customFormat="true" ht="24.75" hidden="false" customHeight="true" outlineLevel="0" collapsed="false">
      <c r="A46" s="163" t="s">
        <v>243</v>
      </c>
      <c r="B46" s="163"/>
      <c r="C46" s="163"/>
      <c r="D46" s="163"/>
      <c r="E46" s="163"/>
      <c r="F46" s="163"/>
      <c r="G46" s="163"/>
      <c r="H46" s="16"/>
      <c r="I46" s="136"/>
      <c r="J46" s="136"/>
      <c r="K46" s="136"/>
      <c r="L46" s="136"/>
      <c r="M46" s="136"/>
      <c r="N46" s="136"/>
      <c r="O46" s="136"/>
      <c r="P46" s="136"/>
      <c r="Q46" s="136"/>
      <c r="R46" s="136"/>
    </row>
    <row r="47" s="70" customFormat="true" ht="24.75" hidden="false" customHeight="true" outlineLevel="0" collapsed="false">
      <c r="A47" s="140" t="s">
        <v>244</v>
      </c>
      <c r="B47" s="179" t="str">
        <f aca="false">IF(F50="LUCRO REAL","INFORMAR ALÍQUOTAS MÉDIAS DE RECOLHIMENTO DOS ÚLTIMOS 12 (DOZE) MESES.",IF(F50="LUCRO PRESUMIDO","ALÍQUOTAS FIXAS - PIS: 0,65%; COFINS: 3,00%.",IF(F50="SIMPLES NACIONAL","NECESSÁRIO COMUNICAR A EXCLUSÃO DO SIMPLES NACIONAL - REGIME DE CONTRATAÇÃO INCOMPATÍVEL COM A LEI 123/2003. DEFINIR OUTRO REGIME TRIBUTÁRIO PARA O PRESENTE PROCESSO, OU APRESENTAR AS JUSTIFICATIVAS LEGAIS.","INFORMAR ALÍQUOTA E APRESENTAR AS JUSTIFICATIVAS LEGAIS.")))</f>
        <v>INFORMAR ALÍQUOTAS MÉDIAS DE RECOLHIMENTO DOS ÚLTIMOS 12 (DOZE) MESES.</v>
      </c>
      <c r="C47" s="179"/>
      <c r="D47" s="179"/>
      <c r="E47" s="179"/>
      <c r="F47" s="179"/>
      <c r="G47" s="179"/>
      <c r="H47" s="16"/>
      <c r="I47" s="136"/>
      <c r="J47" s="136"/>
      <c r="K47" s="136"/>
      <c r="L47" s="136"/>
      <c r="M47" s="136"/>
      <c r="N47" s="136"/>
      <c r="O47" s="136"/>
      <c r="P47" s="136"/>
      <c r="Q47" s="136"/>
      <c r="R47" s="136"/>
    </row>
    <row r="48" s="70" customFormat="true" ht="24.75" hidden="false" customHeight="true" outlineLevel="0" collapsed="false">
      <c r="A48" s="140"/>
      <c r="B48" s="140"/>
      <c r="C48" s="179"/>
      <c r="D48" s="179"/>
      <c r="E48" s="179"/>
      <c r="F48" s="179"/>
      <c r="G48" s="179"/>
      <c r="H48" s="16"/>
      <c r="I48" s="136"/>
      <c r="J48" s="136"/>
      <c r="K48" s="136"/>
      <c r="L48" s="136"/>
      <c r="M48" s="136"/>
      <c r="N48" s="136"/>
      <c r="O48" s="136"/>
      <c r="P48" s="136"/>
      <c r="Q48" s="136"/>
      <c r="R48" s="136"/>
    </row>
    <row r="49" s="70" customFormat="true" ht="24.75" hidden="false" customHeight="true" outlineLevel="0" collapsed="false">
      <c r="A49" s="140"/>
      <c r="B49" s="140"/>
      <c r="C49" s="179"/>
      <c r="D49" s="179"/>
      <c r="E49" s="179"/>
      <c r="F49" s="179"/>
      <c r="G49" s="179"/>
      <c r="H49" s="16"/>
      <c r="I49" s="136"/>
      <c r="J49" s="136"/>
      <c r="K49" s="136"/>
      <c r="L49" s="136"/>
      <c r="M49" s="136"/>
      <c r="N49" s="136"/>
      <c r="O49" s="136"/>
      <c r="P49" s="136"/>
      <c r="Q49" s="136"/>
      <c r="R49" s="136"/>
    </row>
    <row r="50" s="1" customFormat="true" ht="24" hidden="false" customHeight="true" outlineLevel="0" collapsed="false">
      <c r="A50" s="164" t="n">
        <v>1</v>
      </c>
      <c r="B50" s="165" t="s">
        <v>245</v>
      </c>
      <c r="C50" s="165"/>
      <c r="D50" s="165"/>
      <c r="E50" s="165"/>
      <c r="F50" s="180" t="s">
        <v>246</v>
      </c>
      <c r="G50" s="180"/>
      <c r="H50" s="16" t="s">
        <v>247</v>
      </c>
      <c r="R50" s="181"/>
    </row>
    <row r="51" s="1" customFormat="true" ht="24" hidden="false" customHeight="true" outlineLevel="0" collapsed="false">
      <c r="A51" s="164" t="n">
        <v>2</v>
      </c>
      <c r="B51" s="165" t="s">
        <v>248</v>
      </c>
      <c r="C51" s="165"/>
      <c r="D51" s="165"/>
      <c r="E51" s="165"/>
      <c r="F51" s="165"/>
      <c r="G51" s="152" t="n">
        <v>0.076</v>
      </c>
      <c r="H51" s="16" t="s">
        <v>249</v>
      </c>
    </row>
    <row r="52" s="1" customFormat="true" ht="24" hidden="false" customHeight="true" outlineLevel="0" collapsed="false">
      <c r="A52" s="164" t="n">
        <v>3</v>
      </c>
      <c r="B52" s="165" t="s">
        <v>250</v>
      </c>
      <c r="C52" s="165"/>
      <c r="D52" s="165"/>
      <c r="E52" s="165"/>
      <c r="F52" s="165"/>
      <c r="G52" s="152" t="n">
        <v>0.0165</v>
      </c>
      <c r="H52" s="16" t="s">
        <v>249</v>
      </c>
    </row>
    <row r="53" s="1" customFormat="true" ht="24" hidden="false" customHeight="true" outlineLevel="0" collapsed="false">
      <c r="A53" s="164" t="n">
        <v>4</v>
      </c>
      <c r="B53" s="165" t="s">
        <v>251</v>
      </c>
      <c r="C53" s="165"/>
      <c r="D53" s="165"/>
      <c r="E53" s="165"/>
      <c r="F53" s="165"/>
      <c r="G53" s="152" t="n">
        <v>0.03</v>
      </c>
      <c r="H53" s="16" t="s">
        <v>252</v>
      </c>
    </row>
    <row r="54" s="1" customFormat="true" ht="24" hidden="false" customHeight="true" outlineLevel="0" collapsed="false">
      <c r="A54" s="164" t="n">
        <v>5</v>
      </c>
      <c r="B54" s="178" t="s">
        <v>237</v>
      </c>
      <c r="C54" s="178"/>
      <c r="D54" s="178"/>
      <c r="E54" s="178"/>
      <c r="F54" s="178"/>
      <c r="G54" s="152" t="n">
        <v>0</v>
      </c>
      <c r="H54" s="16" t="s">
        <v>253</v>
      </c>
    </row>
    <row r="55" s="1" customFormat="true" ht="21.75" hidden="false" customHeight="true" outlineLevel="0" collapsed="false">
      <c r="A55" s="164" t="n">
        <v>6</v>
      </c>
      <c r="B55" s="165" t="s">
        <v>254</v>
      </c>
      <c r="C55" s="165"/>
      <c r="D55" s="165"/>
      <c r="E55" s="165"/>
      <c r="F55" s="165"/>
      <c r="G55" s="148" t="n">
        <f aca="false">SUM(G51:G54)</f>
        <v>0.1225</v>
      </c>
      <c r="H55" s="16"/>
    </row>
    <row r="56" customFormat="false" ht="12.75" hidden="false" customHeight="true" outlineLevel="0" collapsed="false"/>
    <row r="57" s="1" customFormat="true" ht="15" hidden="false" customHeight="false" outlineLevel="0" collapsed="false"/>
    <row r="59" customFormat="false" ht="66.75" hidden="true" customHeight="true" outlineLevel="0" collapsed="false">
      <c r="A59" s="140" t="s">
        <v>255</v>
      </c>
      <c r="B59" s="140"/>
      <c r="C59" s="140"/>
      <c r="D59" s="140"/>
      <c r="E59" s="140"/>
      <c r="F59" s="140"/>
      <c r="G59" s="140"/>
      <c r="H59" s="140"/>
      <c r="I59" s="163" t="s">
        <v>256</v>
      </c>
      <c r="J59" s="140" t="s">
        <v>257</v>
      </c>
      <c r="K59" s="163" t="s">
        <v>258</v>
      </c>
      <c r="L59" s="163" t="s">
        <v>256</v>
      </c>
      <c r="M59" s="163" t="s">
        <v>259</v>
      </c>
      <c r="N59" s="140" t="s">
        <v>260</v>
      </c>
      <c r="O59" s="140"/>
      <c r="P59" s="140" t="s">
        <v>261</v>
      </c>
      <c r="Q59" s="140"/>
      <c r="R59" s="140" t="s">
        <v>262</v>
      </c>
    </row>
    <row r="60" customFormat="false" ht="15" hidden="true" customHeight="true" outlineLevel="0" collapsed="false">
      <c r="A60" s="164" t="s">
        <v>263</v>
      </c>
      <c r="B60" s="164"/>
      <c r="C60" s="164" t="s">
        <v>264</v>
      </c>
      <c r="D60" s="182" t="n">
        <f aca="false">IPCA!G23</f>
        <v>0</v>
      </c>
      <c r="E60" s="165" t="s">
        <v>265</v>
      </c>
      <c r="F60" s="165"/>
      <c r="G60" s="165"/>
      <c r="H60" s="165"/>
      <c r="I60" s="183" t="s">
        <v>266</v>
      </c>
      <c r="J60" s="183" t="s">
        <v>266</v>
      </c>
      <c r="K60" s="183" t="s">
        <v>266</v>
      </c>
      <c r="L60" s="183" t="s">
        <v>266</v>
      </c>
      <c r="M60" s="183" t="s">
        <v>266</v>
      </c>
      <c r="N60" s="184" t="n">
        <f aca="false">ROUND((100%+D60),2)</f>
        <v>1</v>
      </c>
      <c r="O60" s="184"/>
      <c r="P60" s="185"/>
      <c r="Q60" s="185"/>
      <c r="R60" s="186"/>
    </row>
    <row r="61" customFormat="false" ht="15" hidden="true" customHeight="true" outlineLevel="0" collapsed="false">
      <c r="A61" s="164" t="s">
        <v>267</v>
      </c>
      <c r="B61" s="164"/>
      <c r="C61" s="164" t="s">
        <v>264</v>
      </c>
      <c r="D61" s="182" t="n">
        <f aca="false">IPCA!N23</f>
        <v>0</v>
      </c>
      <c r="E61" s="165" t="s">
        <v>265</v>
      </c>
      <c r="F61" s="165"/>
      <c r="G61" s="165"/>
      <c r="H61" s="165"/>
      <c r="I61" s="183" t="s">
        <v>266</v>
      </c>
      <c r="J61" s="183" t="s">
        <v>266</v>
      </c>
      <c r="K61" s="183" t="s">
        <v>266</v>
      </c>
      <c r="L61" s="183" t="s">
        <v>266</v>
      </c>
      <c r="M61" s="183" t="s">
        <v>266</v>
      </c>
      <c r="N61" s="184" t="n">
        <f aca="false">ROUND((100%+D61),2)</f>
        <v>1</v>
      </c>
      <c r="O61" s="184"/>
      <c r="P61" s="185"/>
      <c r="Q61" s="185"/>
      <c r="R61" s="186"/>
    </row>
    <row r="62" customFormat="false" ht="15" hidden="true" customHeight="true" outlineLevel="0" collapsed="false">
      <c r="A62" s="164" t="s">
        <v>268</v>
      </c>
      <c r="B62" s="164"/>
      <c r="C62" s="164" t="s">
        <v>264</v>
      </c>
      <c r="D62" s="182" t="n">
        <f aca="false">IPCA!U23</f>
        <v>0</v>
      </c>
      <c r="E62" s="165" t="s">
        <v>265</v>
      </c>
      <c r="F62" s="165"/>
      <c r="G62" s="165"/>
      <c r="H62" s="165"/>
      <c r="I62" s="183" t="s">
        <v>266</v>
      </c>
      <c r="J62" s="183" t="s">
        <v>266</v>
      </c>
      <c r="K62" s="183" t="s">
        <v>266</v>
      </c>
      <c r="L62" s="183" t="s">
        <v>266</v>
      </c>
      <c r="M62" s="183" t="s">
        <v>266</v>
      </c>
      <c r="N62" s="184" t="n">
        <f aca="false">ROUND((100%+D62),2)</f>
        <v>1</v>
      </c>
      <c r="O62" s="184"/>
      <c r="P62" s="185"/>
      <c r="Q62" s="185"/>
      <c r="R62" s="186"/>
    </row>
    <row r="63" customFormat="false" ht="15" hidden="true" customHeight="true" outlineLevel="0" collapsed="false">
      <c r="A63" s="164" t="s">
        <v>269</v>
      </c>
      <c r="B63" s="164"/>
      <c r="C63" s="164" t="s">
        <v>264</v>
      </c>
      <c r="D63" s="182" t="n">
        <f aca="false">IPCA!AB23</f>
        <v>0</v>
      </c>
      <c r="E63" s="165" t="s">
        <v>265</v>
      </c>
      <c r="F63" s="165"/>
      <c r="G63" s="165"/>
      <c r="H63" s="165"/>
      <c r="I63" s="183" t="s">
        <v>266</v>
      </c>
      <c r="J63" s="183" t="s">
        <v>266</v>
      </c>
      <c r="K63" s="183" t="s">
        <v>266</v>
      </c>
      <c r="L63" s="183" t="s">
        <v>266</v>
      </c>
      <c r="M63" s="183" t="s">
        <v>266</v>
      </c>
      <c r="N63" s="184" t="n">
        <f aca="false">ROUND((100%+D63),2)</f>
        <v>1</v>
      </c>
      <c r="O63" s="184"/>
      <c r="P63" s="185"/>
      <c r="Q63" s="185"/>
      <c r="R63" s="186"/>
    </row>
    <row r="64" customFormat="false" ht="15" hidden="true" customHeight="true" outlineLevel="0" collapsed="false">
      <c r="A64" s="164" t="s">
        <v>270</v>
      </c>
      <c r="B64" s="164"/>
      <c r="C64" s="164" t="s">
        <v>264</v>
      </c>
      <c r="D64" s="182" t="n">
        <f aca="false">IPCA!AI23</f>
        <v>0</v>
      </c>
      <c r="E64" s="165" t="s">
        <v>265</v>
      </c>
      <c r="F64" s="165"/>
      <c r="G64" s="165"/>
      <c r="H64" s="165"/>
      <c r="I64" s="183" t="s">
        <v>266</v>
      </c>
      <c r="J64" s="183" t="s">
        <v>266</v>
      </c>
      <c r="K64" s="183" t="s">
        <v>266</v>
      </c>
      <c r="L64" s="183" t="s">
        <v>266</v>
      </c>
      <c r="M64" s="183" t="s">
        <v>266</v>
      </c>
      <c r="N64" s="184" t="n">
        <f aca="false">ROUND((100%+D64),2)</f>
        <v>1</v>
      </c>
      <c r="O64" s="184"/>
      <c r="P64" s="185"/>
      <c r="Q64" s="185"/>
      <c r="R64" s="186"/>
    </row>
    <row r="65" customFormat="false" ht="15" hidden="true" customHeight="false" outlineLevel="0" collapsed="false">
      <c r="B65" s="187"/>
      <c r="C65" s="187"/>
      <c r="D65" s="187"/>
      <c r="E65" s="187"/>
    </row>
    <row r="66" customFormat="false" ht="30" hidden="true" customHeight="true" outlineLevel="0" collapsed="false">
      <c r="A66" s="140" t="s">
        <v>271</v>
      </c>
      <c r="B66" s="140"/>
      <c r="C66" s="140"/>
      <c r="D66" s="140" t="s">
        <v>272</v>
      </c>
      <c r="E66" s="187"/>
    </row>
    <row r="67" customFormat="false" ht="15.75" hidden="true" customHeight="true" outlineLevel="0" collapsed="false">
      <c r="A67" s="140"/>
      <c r="B67" s="140"/>
      <c r="C67" s="140"/>
      <c r="D67" s="183" t="s">
        <v>273</v>
      </c>
      <c r="E67" s="187"/>
    </row>
    <row r="68" customFormat="false" ht="30" hidden="true" customHeight="true" outlineLevel="0" collapsed="false">
      <c r="A68" s="140" t="s">
        <v>274</v>
      </c>
      <c r="B68" s="140"/>
      <c r="C68" s="140"/>
      <c r="D68" s="140" t="s">
        <v>272</v>
      </c>
      <c r="E68" s="187"/>
    </row>
    <row r="69" customFormat="false" ht="15.75" hidden="true" customHeight="true" outlineLevel="0" collapsed="false">
      <c r="A69" s="140"/>
      <c r="B69" s="140"/>
      <c r="C69" s="140"/>
      <c r="D69" s="183" t="s">
        <v>273</v>
      </c>
      <c r="E69" s="187"/>
    </row>
    <row r="70" customFormat="false" ht="30" hidden="true" customHeight="true" outlineLevel="0" collapsed="false">
      <c r="A70" s="140" t="s">
        <v>275</v>
      </c>
      <c r="B70" s="140"/>
      <c r="C70" s="140"/>
      <c r="D70" s="140" t="s">
        <v>272</v>
      </c>
      <c r="E70" s="187"/>
    </row>
    <row r="71" customFormat="false" ht="15.75" hidden="true" customHeight="true" outlineLevel="0" collapsed="false">
      <c r="A71" s="140"/>
      <c r="B71" s="140"/>
      <c r="C71" s="140"/>
      <c r="D71" s="183" t="s">
        <v>273</v>
      </c>
      <c r="E71" s="187"/>
    </row>
    <row r="72" customFormat="false" ht="42.75" hidden="true" customHeight="true" outlineLevel="0" collapsed="false">
      <c r="A72" s="140" t="s">
        <v>276</v>
      </c>
      <c r="B72" s="140"/>
      <c r="C72" s="140"/>
      <c r="D72" s="140" t="s">
        <v>272</v>
      </c>
      <c r="E72" s="188" t="s">
        <v>277</v>
      </c>
      <c r="F72" s="140" t="s">
        <v>278</v>
      </c>
      <c r="G72" s="140" t="s">
        <v>279</v>
      </c>
      <c r="H72" s="140" t="s">
        <v>280</v>
      </c>
      <c r="I72" s="140" t="s">
        <v>281</v>
      </c>
      <c r="J72" s="140" t="s">
        <v>282</v>
      </c>
      <c r="K72" s="187"/>
    </row>
    <row r="73" customFormat="false" ht="15.75" hidden="true" customHeight="true" outlineLevel="0" collapsed="false">
      <c r="A73" s="140"/>
      <c r="B73" s="140"/>
      <c r="C73" s="140"/>
      <c r="D73" s="183" t="s">
        <v>273</v>
      </c>
      <c r="E73" s="183" t="n">
        <v>1.55</v>
      </c>
      <c r="F73" s="164" t="n">
        <f aca="false">ROUND(IF(Dados!$M$60="SIM",E73*Dados!$N$60,E73),2)</f>
        <v>1.55</v>
      </c>
      <c r="G73" s="164" t="n">
        <f aca="false">ROUND(IF(Dados!$M$61="SIM",F73*Dados!$N$61,F73),2)</f>
        <v>1.55</v>
      </c>
      <c r="H73" s="164" t="n">
        <f aca="false">ROUND(IF(Dados!$M$62="SIM",G73*Dados!$N$62,G73),2)</f>
        <v>1.55</v>
      </c>
      <c r="I73" s="164" t="n">
        <f aca="false">ROUND(IF(Dados!$M$63="SIM",H73*Dados!$N$63,H73),2)</f>
        <v>1.55</v>
      </c>
      <c r="J73" s="164" t="n">
        <f aca="false">ROUND(IF(Dados!$M$64="SIM",I73*Dados!$N$64,I73),2)</f>
        <v>1.55</v>
      </c>
    </row>
    <row r="74" customFormat="false" ht="15" hidden="true" customHeight="false" outlineLevel="0" collapsed="false">
      <c r="E74" s="187"/>
    </row>
    <row r="75" customFormat="false" ht="15.75" hidden="true" customHeight="true" outlineLevel="0" collapsed="false">
      <c r="A75" s="189" t="s">
        <v>283</v>
      </c>
      <c r="B75" s="189"/>
      <c r="C75" s="189"/>
      <c r="D75" s="189"/>
      <c r="E75" s="189"/>
      <c r="F75" s="189"/>
      <c r="G75" s="189"/>
      <c r="H75" s="189"/>
    </row>
    <row r="76" customFormat="false" ht="15" hidden="true" customHeight="false" outlineLevel="0" collapsed="false">
      <c r="A76" s="190" t="s">
        <v>284</v>
      </c>
      <c r="B76" s="190"/>
      <c r="C76" s="190"/>
      <c r="D76" s="190"/>
      <c r="E76" s="190"/>
      <c r="F76" s="191" t="s">
        <v>285</v>
      </c>
      <c r="G76" s="191"/>
      <c r="H76" s="192"/>
    </row>
    <row r="77" customFormat="false" ht="43.5" hidden="true" customHeight="true" outlineLevel="0" collapsed="false">
      <c r="A77" s="193" t="s">
        <v>286</v>
      </c>
      <c r="B77" s="193"/>
      <c r="C77" s="193"/>
      <c r="D77" s="193"/>
      <c r="E77" s="193"/>
      <c r="F77" s="193"/>
      <c r="G77" s="193"/>
      <c r="H77" s="193"/>
    </row>
    <row r="78" customFormat="false" ht="15" hidden="true" customHeight="false" outlineLevel="0" collapsed="false">
      <c r="A78" s="190" t="s">
        <v>287</v>
      </c>
      <c r="B78" s="190"/>
      <c r="C78" s="190"/>
      <c r="D78" s="190"/>
      <c r="E78" s="190"/>
      <c r="F78" s="191" t="s">
        <v>285</v>
      </c>
      <c r="G78" s="191"/>
      <c r="H78" s="192"/>
    </row>
    <row r="79" customFormat="false" ht="43.5" hidden="true" customHeight="true" outlineLevel="0" collapsed="false">
      <c r="A79" s="194" t="s">
        <v>288</v>
      </c>
      <c r="B79" s="194"/>
      <c r="C79" s="194"/>
      <c r="D79" s="194"/>
      <c r="E79" s="194"/>
      <c r="F79" s="194"/>
      <c r="G79" s="194"/>
      <c r="H79" s="194"/>
    </row>
    <row r="80" customFormat="false" ht="15" hidden="true" customHeight="false" outlineLevel="0" collapsed="false">
      <c r="A80" s="190" t="s">
        <v>289</v>
      </c>
      <c r="B80" s="190"/>
      <c r="C80" s="190"/>
      <c r="D80" s="190"/>
      <c r="E80" s="190"/>
      <c r="F80" s="191" t="s">
        <v>285</v>
      </c>
      <c r="G80" s="191"/>
      <c r="H80" s="192"/>
    </row>
    <row r="81" customFormat="false" ht="43.5" hidden="true" customHeight="true" outlineLevel="0" collapsed="false">
      <c r="A81" s="193" t="s">
        <v>290</v>
      </c>
      <c r="B81" s="193"/>
      <c r="C81" s="193"/>
      <c r="D81" s="193"/>
      <c r="E81" s="193"/>
      <c r="F81" s="193"/>
      <c r="G81" s="193"/>
      <c r="H81" s="193"/>
    </row>
    <row r="82" customFormat="false" ht="15" hidden="true" customHeight="false" outlineLevel="0" collapsed="false">
      <c r="A82" s="195" t="s">
        <v>291</v>
      </c>
      <c r="B82" s="195"/>
      <c r="C82" s="195"/>
      <c r="D82" s="195"/>
      <c r="E82" s="195"/>
      <c r="F82" s="191" t="s">
        <v>285</v>
      </c>
      <c r="G82" s="191"/>
      <c r="H82" s="196"/>
    </row>
    <row r="83" customFormat="false" ht="43.5" hidden="true" customHeight="true" outlineLevel="0" collapsed="false">
      <c r="A83" s="193" t="s">
        <v>292</v>
      </c>
      <c r="B83" s="193"/>
      <c r="C83" s="193"/>
      <c r="D83" s="193"/>
      <c r="E83" s="193"/>
      <c r="F83" s="193"/>
      <c r="G83" s="193"/>
      <c r="H83" s="193"/>
    </row>
    <row r="84" customFormat="false" ht="15" hidden="true" customHeight="false" outlineLevel="0" collapsed="false"/>
    <row r="85" customFormat="false" ht="15" hidden="true" customHeight="false" outlineLevel="0" collapsed="false"/>
    <row r="86" customFormat="false" ht="15" hidden="true" customHeight="false" outlineLevel="0" collapsed="false"/>
    <row r="87" customFormat="false" ht="15" hidden="true" customHeight="false" outlineLevel="0" collapsed="false"/>
    <row r="88" customFormat="false" ht="15" hidden="true" customHeight="false" outlineLevel="0" collapsed="false"/>
    <row r="89" customFormat="false" ht="15" hidden="true" customHeight="false" outlineLevel="0" collapsed="false"/>
    <row r="90" customFormat="false" ht="15" hidden="true" customHeight="false" outlineLevel="0" collapsed="false"/>
    <row r="91" customFormat="false" ht="15" hidden="true" customHeight="false" outlineLevel="0" collapsed="false"/>
    <row r="92" customFormat="false" ht="15" hidden="true" customHeight="false" outlineLevel="0" collapsed="false"/>
    <row r="93" customFormat="false" ht="15" hidden="true" customHeight="false" outlineLevel="0" collapsed="false"/>
    <row r="94" customFormat="false" ht="15" hidden="true" customHeight="false" outlineLevel="0" collapsed="false"/>
    <row r="95" customFormat="false" ht="15" hidden="true" customHeight="false" outlineLevel="0" collapsed="false"/>
    <row r="96" customFormat="false" ht="15" hidden="true" customHeight="false" outlineLevel="0" collapsed="false"/>
    <row r="97" customFormat="false" ht="15" hidden="true" customHeight="false" outlineLevel="0" collapsed="false"/>
    <row r="98" customFormat="false" ht="15" hidden="true" customHeight="false" outlineLevel="0" collapsed="false"/>
    <row r="99" customFormat="false" ht="15" hidden="true" customHeight="false" outlineLevel="0" collapsed="false"/>
    <row r="100" customFormat="false" ht="15" hidden="true" customHeight="false" outlineLevel="0" collapsed="false"/>
    <row r="101" customFormat="false" ht="15" hidden="true" customHeight="false" outlineLevel="0" collapsed="false"/>
    <row r="102" customFormat="false" ht="15" hidden="true" customHeight="false" outlineLevel="0" collapsed="false"/>
    <row r="103" customFormat="false" ht="15" hidden="true" customHeight="false" outlineLevel="0" collapsed="false"/>
    <row r="104" customFormat="false" ht="15" hidden="true" customHeight="false" outlineLevel="0" collapsed="false"/>
    <row r="105" customFormat="false" ht="15" hidden="true" customHeight="false" outlineLevel="0" collapsed="false"/>
    <row r="106" customFormat="false" ht="15" hidden="true" customHeight="false" outlineLevel="0" collapsed="false"/>
    <row r="107" customFormat="false" ht="15" hidden="true" customHeight="false" outlineLevel="0" collapsed="false"/>
    <row r="108" customFormat="false" ht="15" hidden="true" customHeight="false" outlineLevel="0" collapsed="false"/>
    <row r="109" customFormat="false" ht="15" hidden="true" customHeight="false" outlineLevel="0" collapsed="false"/>
    <row r="110" customFormat="false" ht="15" hidden="true" customHeight="false" outlineLevel="0" collapsed="false"/>
    <row r="111" customFormat="false" ht="15" hidden="true" customHeight="false" outlineLevel="0" collapsed="false"/>
    <row r="112" customFormat="false" ht="15" hidden="true" customHeight="false" outlineLevel="0" collapsed="false"/>
    <row r="113" customFormat="false" ht="15" hidden="true" customHeight="false" outlineLevel="0" collapsed="false"/>
    <row r="114" customFormat="false" ht="15" hidden="true" customHeight="false" outlineLevel="0" collapsed="false"/>
    <row r="115" customFormat="false" ht="15" hidden="true" customHeight="false" outlineLevel="0" collapsed="false"/>
    <row r="116" customFormat="false" ht="15" hidden="true" customHeight="false" outlineLevel="0" collapsed="false"/>
    <row r="117" customFormat="false" ht="15" hidden="true" customHeight="false" outlineLevel="0" collapsed="false"/>
    <row r="118" customFormat="false" ht="15" hidden="true" customHeight="false" outlineLevel="0" collapsed="false"/>
    <row r="119" customFormat="false" ht="15" hidden="true" customHeight="false" outlineLevel="0" collapsed="false"/>
    <row r="120" customFormat="false" ht="15" hidden="true" customHeight="false" outlineLevel="0" collapsed="false"/>
    <row r="121" customFormat="false" ht="15" hidden="true" customHeight="false" outlineLevel="0" collapsed="false"/>
    <row r="122" customFormat="false" ht="15" hidden="true" customHeight="false" outlineLevel="0" collapsed="false"/>
    <row r="123" customFormat="false" ht="15" hidden="true" customHeight="false" outlineLevel="0" collapsed="false"/>
    <row r="124" customFormat="false" ht="15" hidden="true" customHeight="false" outlineLevel="0" collapsed="false"/>
    <row r="125" customFormat="false" ht="15" hidden="true" customHeight="false" outlineLevel="0" collapsed="false"/>
    <row r="126" customFormat="false" ht="15" hidden="true" customHeight="false" outlineLevel="0" collapsed="false"/>
    <row r="127" customFormat="false" ht="15" hidden="true" customHeight="false" outlineLevel="0" collapsed="false"/>
    <row r="128" customFormat="false" ht="15" hidden="true" customHeight="false" outlineLevel="0" collapsed="false"/>
    <row r="129" customFormat="false" ht="15" hidden="true" customHeight="false" outlineLevel="0" collapsed="false"/>
    <row r="130" customFormat="false" ht="15" hidden="true" customHeight="false" outlineLevel="0" collapsed="false"/>
    <row r="131" customFormat="false" ht="15" hidden="true" customHeight="false" outlineLevel="0" collapsed="false"/>
    <row r="132" customFormat="false" ht="15" hidden="true" customHeight="false" outlineLevel="0" collapsed="false"/>
    <row r="133" customFormat="false" ht="15" hidden="true" customHeight="false" outlineLevel="0" collapsed="false"/>
    <row r="134" customFormat="false" ht="15" hidden="true" customHeight="false" outlineLevel="0" collapsed="false"/>
    <row r="135" customFormat="false" ht="15" hidden="true" customHeight="false" outlineLevel="0" collapsed="false"/>
    <row r="136" customFormat="false" ht="15" hidden="true" customHeight="false" outlineLevel="0" collapsed="false"/>
    <row r="137" customFormat="false" ht="15" hidden="true" customHeight="false" outlineLevel="0" collapsed="false"/>
    <row r="138" customFormat="false" ht="15" hidden="true" customHeight="false" outlineLevel="0" collapsed="false"/>
    <row r="139" customFormat="false" ht="15" hidden="true" customHeight="false" outlineLevel="0" collapsed="false"/>
    <row r="140" customFormat="false" ht="15" hidden="true" customHeight="false" outlineLevel="0" collapsed="false"/>
    <row r="141" customFormat="false" ht="15" hidden="true" customHeight="false" outlineLevel="0" collapsed="false"/>
    <row r="142" customFormat="false" ht="15" hidden="true" customHeight="false" outlineLevel="0" collapsed="false"/>
    <row r="143" customFormat="false" ht="15" hidden="true" customHeight="false" outlineLevel="0" collapsed="false"/>
    <row r="144" customFormat="false" ht="15" hidden="true" customHeight="false" outlineLevel="0" collapsed="false"/>
    <row r="145" customFormat="false" ht="15" hidden="true" customHeight="false" outlineLevel="0" collapsed="false"/>
    <row r="146" customFormat="false" ht="15" hidden="true" customHeight="false" outlineLevel="0" collapsed="false"/>
    <row r="147" customFormat="false" ht="15" hidden="true" customHeight="false" outlineLevel="0" collapsed="false"/>
    <row r="148" customFormat="false" ht="15" hidden="true" customHeight="false" outlineLevel="0" collapsed="false"/>
    <row r="149" customFormat="false" ht="15" hidden="true" customHeight="false" outlineLevel="0" collapsed="false"/>
    <row r="150" customFormat="false" ht="15" hidden="true" customHeight="false" outlineLevel="0" collapsed="false"/>
    <row r="151" customFormat="false" ht="15" hidden="true" customHeight="false" outlineLevel="0" collapsed="false"/>
    <row r="152" customFormat="false" ht="15" hidden="true" customHeight="false" outlineLevel="0" collapsed="false"/>
    <row r="153" customFormat="false" ht="15" hidden="true" customHeight="false" outlineLevel="0" collapsed="false"/>
    <row r="154" customFormat="false" ht="15" hidden="true" customHeight="false" outlineLevel="0" collapsed="false"/>
    <row r="155" customFormat="false" ht="15" hidden="true" customHeight="false" outlineLevel="0" collapsed="false"/>
    <row r="156" customFormat="false" ht="15" hidden="true" customHeight="false" outlineLevel="0" collapsed="false"/>
    <row r="157" customFormat="false" ht="15" hidden="true" customHeight="false" outlineLevel="0" collapsed="false"/>
    <row r="158" customFormat="false" ht="15" hidden="true" customHeight="false" outlineLevel="0" collapsed="false"/>
    <row r="159" customFormat="false" ht="15" hidden="true" customHeight="false" outlineLevel="0" collapsed="false"/>
    <row r="160" customFormat="false" ht="15" hidden="true" customHeight="false" outlineLevel="0" collapsed="false"/>
    <row r="161" customFormat="false" ht="15" hidden="true" customHeight="false" outlineLevel="0" collapsed="false"/>
    <row r="162" customFormat="false" ht="15" hidden="true" customHeight="false" outlineLevel="0" collapsed="false"/>
    <row r="163" customFormat="false" ht="15" hidden="true" customHeight="false" outlineLevel="0" collapsed="false"/>
    <row r="164" customFormat="false" ht="15" hidden="true" customHeight="false" outlineLevel="0" collapsed="false"/>
    <row r="165" customFormat="false" ht="15" hidden="true" customHeight="false" outlineLevel="0" collapsed="false"/>
    <row r="166" customFormat="false" ht="15" hidden="true" customHeight="false" outlineLevel="0" collapsed="false"/>
    <row r="167" customFormat="false" ht="15" hidden="true" customHeight="false" outlineLevel="0" collapsed="false"/>
    <row r="168" customFormat="false" ht="15" hidden="true" customHeight="false" outlineLevel="0" collapsed="false"/>
    <row r="169" customFormat="false" ht="15" hidden="true" customHeight="false" outlineLevel="0" collapsed="false"/>
    <row r="170" customFormat="false" ht="15" hidden="true" customHeight="false" outlineLevel="0" collapsed="false"/>
    <row r="171" customFormat="false" ht="15" hidden="true" customHeight="false" outlineLevel="0" collapsed="false"/>
    <row r="172" customFormat="false" ht="15" hidden="true" customHeight="false" outlineLevel="0" collapsed="false"/>
    <row r="173" customFormat="false" ht="15" hidden="true" customHeight="false" outlineLevel="0" collapsed="false"/>
    <row r="174" customFormat="false" ht="15" hidden="true" customHeight="false" outlineLevel="0" collapsed="false"/>
    <row r="175" customFormat="false" ht="15" hidden="true" customHeight="false" outlineLevel="0" collapsed="false"/>
    <row r="176" customFormat="false" ht="15" hidden="true" customHeight="false" outlineLevel="0" collapsed="false"/>
    <row r="177" customFormat="false" ht="15" hidden="true" customHeight="false" outlineLevel="0" collapsed="false"/>
    <row r="178" customFormat="false" ht="15" hidden="true" customHeight="false" outlineLevel="0" collapsed="false"/>
    <row r="179" customFormat="false" ht="15" hidden="true" customHeight="false" outlineLevel="0" collapsed="false"/>
    <row r="180" customFormat="false" ht="15" hidden="true" customHeight="false" outlineLevel="0" collapsed="false"/>
    <row r="181" customFormat="false" ht="15" hidden="true" customHeight="false" outlineLevel="0" collapsed="false"/>
    <row r="182" customFormat="false" ht="15" hidden="true" customHeight="false" outlineLevel="0" collapsed="false"/>
    <row r="183" customFormat="false" ht="15" hidden="true" customHeight="false" outlineLevel="0" collapsed="false"/>
    <row r="184" customFormat="false" ht="15" hidden="true" customHeight="false" outlineLevel="0" collapsed="false"/>
    <row r="185" customFormat="false" ht="15" hidden="true" customHeight="false" outlineLevel="0" collapsed="false"/>
    <row r="186" customFormat="false" ht="15" hidden="true" customHeight="false" outlineLevel="0" collapsed="false"/>
    <row r="187" customFormat="false" ht="15" hidden="true" customHeight="false" outlineLevel="0" collapsed="false"/>
    <row r="188" customFormat="false" ht="15" hidden="true" customHeight="false" outlineLevel="0" collapsed="false"/>
    <row r="189" customFormat="false" ht="15" hidden="true" customHeight="false" outlineLevel="0" collapsed="false"/>
    <row r="190" customFormat="false" ht="15" hidden="true" customHeight="false" outlineLevel="0" collapsed="false"/>
    <row r="191" customFormat="false" ht="15" hidden="true" customHeight="false" outlineLevel="0" collapsed="false"/>
    <row r="192" customFormat="false" ht="15" hidden="true" customHeight="false" outlineLevel="0" collapsed="false"/>
    <row r="193" customFormat="false" ht="15" hidden="true" customHeight="false" outlineLevel="0" collapsed="false"/>
    <row r="194" customFormat="false" ht="15" hidden="true" customHeight="false" outlineLevel="0" collapsed="false"/>
    <row r="195" customFormat="false" ht="15" hidden="true" customHeight="false" outlineLevel="0" collapsed="false"/>
    <row r="196" customFormat="false" ht="15" hidden="true" customHeight="false" outlineLevel="0" collapsed="false"/>
    <row r="197" customFormat="false" ht="15" hidden="true" customHeight="false" outlineLevel="0" collapsed="false"/>
    <row r="198" customFormat="false" ht="15" hidden="true" customHeight="false" outlineLevel="0" collapsed="false"/>
    <row r="199" customFormat="false" ht="15" hidden="true" customHeight="false" outlineLevel="0" collapsed="false"/>
    <row r="200" customFormat="false" ht="15" hidden="true" customHeight="false" outlineLevel="0" collapsed="false"/>
    <row r="201" customFormat="false" ht="15" hidden="true" customHeight="false" outlineLevel="0" collapsed="false"/>
    <row r="202" customFormat="false" ht="15" hidden="true" customHeight="false" outlineLevel="0" collapsed="false"/>
    <row r="203" customFormat="false" ht="15" hidden="true" customHeight="false" outlineLevel="0" collapsed="false"/>
    <row r="204" customFormat="false" ht="15" hidden="true" customHeight="false" outlineLevel="0" collapsed="false"/>
    <row r="205" customFormat="false" ht="15" hidden="true" customHeight="false" outlineLevel="0" collapsed="false"/>
    <row r="206" customFormat="false" ht="15" hidden="true" customHeight="false" outlineLevel="0" collapsed="false"/>
  </sheetData>
  <sheetProtection sheet="true" password="c4d4" objects="true" scenarios="true"/>
  <mergeCells count="97">
    <mergeCell ref="A5:A6"/>
    <mergeCell ref="B5:B6"/>
    <mergeCell ref="C5:C6"/>
    <mergeCell ref="D5:D6"/>
    <mergeCell ref="E5:E6"/>
    <mergeCell ref="F5:F6"/>
    <mergeCell ref="G5:G6"/>
    <mergeCell ref="H5:H6"/>
    <mergeCell ref="I5:I6"/>
    <mergeCell ref="J5:J6"/>
    <mergeCell ref="K5:K6"/>
    <mergeCell ref="L5:L6"/>
    <mergeCell ref="M5:M6"/>
    <mergeCell ref="S5:S6"/>
    <mergeCell ref="A7:A8"/>
    <mergeCell ref="A9:A10"/>
    <mergeCell ref="A12:G12"/>
    <mergeCell ref="B13:D13"/>
    <mergeCell ref="E13:G13"/>
    <mergeCell ref="B14:D14"/>
    <mergeCell ref="E14:G14"/>
    <mergeCell ref="B15:D15"/>
    <mergeCell ref="E15:G15"/>
    <mergeCell ref="B16:D16"/>
    <mergeCell ref="E16:G16"/>
    <mergeCell ref="B17:D17"/>
    <mergeCell ref="E17:G17"/>
    <mergeCell ref="A19:G19"/>
    <mergeCell ref="B20:F20"/>
    <mergeCell ref="B22:F22"/>
    <mergeCell ref="B23:F23"/>
    <mergeCell ref="B24:F24"/>
    <mergeCell ref="A26:G26"/>
    <mergeCell ref="B27:F27"/>
    <mergeCell ref="A29:G29"/>
    <mergeCell ref="B30:F30"/>
    <mergeCell ref="B31:F31"/>
    <mergeCell ref="A32:A35"/>
    <mergeCell ref="B32:C35"/>
    <mergeCell ref="D32:F32"/>
    <mergeCell ref="D33:F33"/>
    <mergeCell ref="D34:F34"/>
    <mergeCell ref="D35:F35"/>
    <mergeCell ref="A36:A38"/>
    <mergeCell ref="B36:C38"/>
    <mergeCell ref="D36:F36"/>
    <mergeCell ref="D37:F37"/>
    <mergeCell ref="D38:F38"/>
    <mergeCell ref="B39:F39"/>
    <mergeCell ref="B40:F40"/>
    <mergeCell ref="A42:G42"/>
    <mergeCell ref="B43:F43"/>
    <mergeCell ref="B44:F44"/>
    <mergeCell ref="A46:G46"/>
    <mergeCell ref="A47:A49"/>
    <mergeCell ref="B47:G49"/>
    <mergeCell ref="B50:E50"/>
    <mergeCell ref="F50:G50"/>
    <mergeCell ref="B51:F51"/>
    <mergeCell ref="B52:F52"/>
    <mergeCell ref="B53:F53"/>
    <mergeCell ref="B54:F54"/>
    <mergeCell ref="B55:F55"/>
    <mergeCell ref="A59:H59"/>
    <mergeCell ref="N59:O59"/>
    <mergeCell ref="A60:B60"/>
    <mergeCell ref="E60:H60"/>
    <mergeCell ref="N60:O60"/>
    <mergeCell ref="A61:B61"/>
    <mergeCell ref="E61:H61"/>
    <mergeCell ref="N61:O61"/>
    <mergeCell ref="A62:B62"/>
    <mergeCell ref="E62:H62"/>
    <mergeCell ref="N62:O62"/>
    <mergeCell ref="A63:B63"/>
    <mergeCell ref="E63:H63"/>
    <mergeCell ref="N63:O63"/>
    <mergeCell ref="A64:B64"/>
    <mergeCell ref="E64:H64"/>
    <mergeCell ref="N64:O64"/>
    <mergeCell ref="A66:C67"/>
    <mergeCell ref="A68:C69"/>
    <mergeCell ref="A70:C71"/>
    <mergeCell ref="A72:C73"/>
    <mergeCell ref="A75:H75"/>
    <mergeCell ref="A76:E76"/>
    <mergeCell ref="F76:G76"/>
    <mergeCell ref="A77:H77"/>
    <mergeCell ref="A78:E78"/>
    <mergeCell ref="F78:G78"/>
    <mergeCell ref="A79:H79"/>
    <mergeCell ref="A80:E80"/>
    <mergeCell ref="F80:G80"/>
    <mergeCell ref="A81:H81"/>
    <mergeCell ref="A82:E82"/>
    <mergeCell ref="F82:G82"/>
    <mergeCell ref="A83:H83"/>
  </mergeCells>
  <dataValidations count="3">
    <dataValidation allowBlank="true" errorStyle="stop" operator="between" showDropDown="false" showErrorMessage="true" showInputMessage="true" sqref="F50" type="list">
      <formula1>"LUCRO REAL,LUCRO PRESUMIDO,SIMPLES NACIONAL,OUTRO"</formula1>
      <formula2>0</formula2>
    </dataValidation>
    <dataValidation allowBlank="true" errorStyle="stop" operator="between" showDropDown="false" showErrorMessage="true" showInputMessage="true" sqref="I60:M64" type="list">
      <formula1>"NÃO,SIM"</formula1>
      <formula2>0</formula2>
    </dataValidation>
    <dataValidation allowBlank="true" errorStyle="stop" operator="between" showDropDown="false" showErrorMessage="true" showInputMessage="true" sqref="D67 D69 D71 D73" type="list">
      <formula1>"INICIAL,1º IPCA,2º IPCA,3º IPCA,4º IPCA,5º IPCA"</formula1>
      <formula2>0</formula2>
    </dataValidation>
  </dataValidation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61"/>
  <sheetViews>
    <sheetView showFormulas="false" showGridLines="false" showRowColHeaders="true" showZeros="true" rightToLeft="false" tabSelected="false" showOutlineSymbols="true" defaultGridColor="true" view="normal" topLeftCell="A1" colorId="64" zoomScale="100" zoomScaleNormal="100" zoomScalePageLayoutView="140" workbookViewId="0">
      <selection pane="topLeft" activeCell="B14" activeCellId="0" sqref="B14"/>
    </sheetView>
  </sheetViews>
  <sheetFormatPr defaultColWidth="8.71484375" defaultRowHeight="15" zeroHeight="false" outlineLevelRow="0" outlineLevelCol="0"/>
  <cols>
    <col collapsed="false" customWidth="true" hidden="false" outlineLevel="0" max="1" min="1" style="0" width="9"/>
    <col collapsed="false" customWidth="true" hidden="false" outlineLevel="0" max="2" min="2" style="0" width="55.57"/>
    <col collapsed="false" customWidth="true" hidden="false" outlineLevel="0" max="3" min="3" style="0" width="13.15"/>
    <col collapsed="false" customWidth="true" hidden="false" outlineLevel="0" max="4" min="4" style="0" width="4.86"/>
    <col collapsed="false" customWidth="true" hidden="false" outlineLevel="0" max="5" min="5" style="0" width="41.71"/>
    <col collapsed="false" customWidth="true" hidden="false" outlineLevel="0" max="8" min="6" style="0" width="11"/>
    <col collapsed="false" customWidth="true" hidden="false" outlineLevel="0" max="257" min="9" style="0" width="9"/>
    <col collapsed="false" customWidth="true" hidden="false" outlineLevel="0" max="258" min="258" style="0" width="55.57"/>
    <col collapsed="false" customWidth="true" hidden="false" outlineLevel="0" max="259" min="259" style="0" width="13.15"/>
    <col collapsed="false" customWidth="true" hidden="false" outlineLevel="0" max="260" min="260" style="0" width="9"/>
    <col collapsed="false" customWidth="true" hidden="false" outlineLevel="0" max="261" min="261" style="0" width="35.14"/>
    <col collapsed="false" customWidth="true" hidden="false" outlineLevel="0" max="264" min="262" style="0" width="11"/>
    <col collapsed="false" customWidth="true" hidden="false" outlineLevel="0" max="513" min="265" style="0" width="9"/>
    <col collapsed="false" customWidth="true" hidden="false" outlineLevel="0" max="514" min="514" style="0" width="55.57"/>
    <col collapsed="false" customWidth="true" hidden="false" outlineLevel="0" max="515" min="515" style="0" width="13.15"/>
    <col collapsed="false" customWidth="true" hidden="false" outlineLevel="0" max="516" min="516" style="0" width="9"/>
    <col collapsed="false" customWidth="true" hidden="false" outlineLevel="0" max="517" min="517" style="0" width="35.14"/>
    <col collapsed="false" customWidth="true" hidden="false" outlineLevel="0" max="520" min="518" style="0" width="11"/>
    <col collapsed="false" customWidth="true" hidden="false" outlineLevel="0" max="769" min="521" style="0" width="9"/>
    <col collapsed="false" customWidth="true" hidden="false" outlineLevel="0" max="770" min="770" style="0" width="55.57"/>
    <col collapsed="false" customWidth="true" hidden="false" outlineLevel="0" max="771" min="771" style="0" width="13.15"/>
    <col collapsed="false" customWidth="true" hidden="false" outlineLevel="0" max="772" min="772" style="0" width="9"/>
    <col collapsed="false" customWidth="true" hidden="false" outlineLevel="0" max="773" min="773" style="0" width="35.14"/>
    <col collapsed="false" customWidth="true" hidden="false" outlineLevel="0" max="776" min="774" style="0" width="11"/>
    <col collapsed="false" customWidth="true" hidden="false" outlineLevel="0" max="1025" min="777" style="0" width="9"/>
  </cols>
  <sheetData>
    <row r="1" customFormat="false" ht="15" hidden="false" customHeight="false" outlineLevel="0" collapsed="false">
      <c r="A1" s="197"/>
      <c r="B1" s="118" t="str">
        <f aca="false">INSTRUÇÕES!B1</f>
        <v>Tribunal Regional Federal da 6ª Região</v>
      </c>
      <c r="C1" s="198"/>
    </row>
    <row r="2" customFormat="false" ht="15" hidden="false" customHeight="false" outlineLevel="0" collapsed="false">
      <c r="A2" s="199"/>
      <c r="B2" s="120" t="str">
        <f aca="false">INSTRUÇÕES!B2</f>
        <v>Seção Judiciária de Minas Gerais</v>
      </c>
      <c r="C2" s="200"/>
    </row>
    <row r="3" customFormat="false" ht="15" hidden="false" customHeight="false" outlineLevel="0" collapsed="false">
      <c r="A3" s="201"/>
      <c r="B3" s="120" t="str">
        <f aca="false">INSTRUÇÕES!B3</f>
        <v>Subseção Judiciária de Passos</v>
      </c>
      <c r="C3" s="200"/>
    </row>
    <row r="4" customFormat="false" ht="21.75" hidden="false" customHeight="true" outlineLevel="0" collapsed="false">
      <c r="A4" s="202" t="s">
        <v>293</v>
      </c>
      <c r="B4" s="202"/>
      <c r="C4" s="202"/>
    </row>
    <row r="5" customFormat="false" ht="21.75" hidden="false" customHeight="true" outlineLevel="0" collapsed="false">
      <c r="A5" s="202" t="s">
        <v>294</v>
      </c>
      <c r="B5" s="202"/>
      <c r="C5" s="202"/>
    </row>
    <row r="6" customFormat="false" ht="26.25" hidden="false" customHeight="true" outlineLevel="0" collapsed="false">
      <c r="A6" s="203" t="s">
        <v>295</v>
      </c>
      <c r="B6" s="203"/>
      <c r="C6" s="203"/>
    </row>
    <row r="7" customFormat="false" ht="15" hidden="false" customHeight="false" outlineLevel="0" collapsed="false">
      <c r="A7" s="204" t="s">
        <v>296</v>
      </c>
      <c r="B7" s="204"/>
      <c r="C7" s="204"/>
    </row>
    <row r="8" customFormat="false" ht="15.75" hidden="false" customHeight="true" outlineLevel="0" collapsed="false">
      <c r="A8" s="205" t="s">
        <v>59</v>
      </c>
      <c r="B8" s="206" t="s">
        <v>297</v>
      </c>
      <c r="C8" s="207" t="s">
        <v>298</v>
      </c>
    </row>
    <row r="9" customFormat="false" ht="15.75" hidden="false" customHeight="true" outlineLevel="0" collapsed="false">
      <c r="A9" s="208" t="s">
        <v>299</v>
      </c>
      <c r="B9" s="209" t="s">
        <v>300</v>
      </c>
      <c r="C9" s="209"/>
    </row>
    <row r="10" customFormat="false" ht="15.75" hidden="false" customHeight="true" outlineLevel="0" collapsed="false">
      <c r="A10" s="210" t="n">
        <v>1</v>
      </c>
      <c r="B10" s="211" t="s">
        <v>301</v>
      </c>
      <c r="C10" s="212" t="n">
        <v>0.2</v>
      </c>
    </row>
    <row r="11" customFormat="false" ht="15.75" hidden="false" customHeight="true" outlineLevel="0" collapsed="false">
      <c r="A11" s="210" t="n">
        <v>2</v>
      </c>
      <c r="B11" s="211" t="s">
        <v>302</v>
      </c>
      <c r="C11" s="212" t="n">
        <v>0.015</v>
      </c>
    </row>
    <row r="12" customFormat="false" ht="15.75" hidden="false" customHeight="true" outlineLevel="0" collapsed="false">
      <c r="A12" s="210" t="n">
        <v>3</v>
      </c>
      <c r="B12" s="211" t="s">
        <v>303</v>
      </c>
      <c r="C12" s="212" t="n">
        <v>0.01</v>
      </c>
    </row>
    <row r="13" customFormat="false" ht="15.75" hidden="false" customHeight="true" outlineLevel="0" collapsed="false">
      <c r="A13" s="210" t="n">
        <v>4</v>
      </c>
      <c r="B13" s="211" t="s">
        <v>304</v>
      </c>
      <c r="C13" s="212" t="n">
        <v>0.002</v>
      </c>
    </row>
    <row r="14" customFormat="false" ht="15.75" hidden="false" customHeight="true" outlineLevel="0" collapsed="false">
      <c r="A14" s="210" t="n">
        <v>5</v>
      </c>
      <c r="B14" s="211" t="s">
        <v>305</v>
      </c>
      <c r="C14" s="212" t="n">
        <v>0.025</v>
      </c>
    </row>
    <row r="15" customFormat="false" ht="15.75" hidden="false" customHeight="true" outlineLevel="0" collapsed="false">
      <c r="A15" s="210" t="n">
        <v>6</v>
      </c>
      <c r="B15" s="211" t="s">
        <v>306</v>
      </c>
      <c r="C15" s="212" t="n">
        <v>0.08</v>
      </c>
    </row>
    <row r="16" customFormat="false" ht="15.75" hidden="false" customHeight="true" outlineLevel="0" collapsed="false">
      <c r="A16" s="210" t="n">
        <v>7</v>
      </c>
      <c r="B16" s="211" t="s">
        <v>307</v>
      </c>
      <c r="C16" s="213" t="n">
        <f aca="false">Dados!G22</f>
        <v>0.06</v>
      </c>
      <c r="D16" s="214" t="s">
        <v>308</v>
      </c>
    </row>
    <row r="17" customFormat="false" ht="15.75" hidden="false" customHeight="true" outlineLevel="0" collapsed="false">
      <c r="A17" s="210" t="n">
        <v>8</v>
      </c>
      <c r="B17" s="211" t="s">
        <v>309</v>
      </c>
      <c r="C17" s="212" t="n">
        <v>0.006</v>
      </c>
    </row>
    <row r="18" customFormat="false" ht="15.75" hidden="false" customHeight="true" outlineLevel="0" collapsed="false">
      <c r="A18" s="215" t="s">
        <v>310</v>
      </c>
      <c r="B18" s="215"/>
      <c r="C18" s="216" t="n">
        <f aca="false">SUM(C10:C17)</f>
        <v>0.398</v>
      </c>
    </row>
    <row r="19" customFormat="false" ht="15.75" hidden="false" customHeight="true" outlineLevel="0" collapsed="false">
      <c r="A19" s="217" t="s">
        <v>311</v>
      </c>
      <c r="B19" s="217"/>
      <c r="C19" s="217"/>
    </row>
    <row r="20" customFormat="false" ht="15.75" hidden="false" customHeight="true" outlineLevel="0" collapsed="false">
      <c r="A20" s="217" t="s">
        <v>312</v>
      </c>
      <c r="B20" s="217"/>
      <c r="C20" s="217"/>
    </row>
    <row r="21" customFormat="false" ht="15.75" hidden="false" customHeight="true" outlineLevel="0" collapsed="false">
      <c r="A21" s="210" t="n">
        <v>9</v>
      </c>
      <c r="B21" s="218" t="s">
        <v>313</v>
      </c>
      <c r="C21" s="219" t="n">
        <f aca="false">ROUND((100%/11),4)</f>
        <v>0.0909</v>
      </c>
    </row>
    <row r="22" customFormat="false" ht="15.75" hidden="false" customHeight="true" outlineLevel="0" collapsed="false">
      <c r="A22" s="210" t="n">
        <v>10</v>
      </c>
      <c r="B22" s="218" t="s">
        <v>314</v>
      </c>
      <c r="C22" s="219" t="n">
        <f aca="false">ROUND((C21/3),4)</f>
        <v>0.0303</v>
      </c>
    </row>
    <row r="23" customFormat="false" ht="15.75" hidden="false" customHeight="true" outlineLevel="0" collapsed="false">
      <c r="A23" s="220" t="s">
        <v>315</v>
      </c>
      <c r="B23" s="220"/>
      <c r="C23" s="221" t="n">
        <f aca="false">SUM(C21:C22)</f>
        <v>0.1212</v>
      </c>
    </row>
    <row r="24" customFormat="false" ht="15.75" hidden="false" customHeight="true" outlineLevel="0" collapsed="false">
      <c r="A24" s="222" t="s">
        <v>316</v>
      </c>
      <c r="B24" s="222"/>
      <c r="C24" s="213" t="n">
        <f aca="false">(C18*C23)</f>
        <v>0.0482376</v>
      </c>
    </row>
    <row r="25" customFormat="false" ht="15.75" hidden="false" customHeight="true" outlineLevel="0" collapsed="false">
      <c r="A25" s="220" t="s">
        <v>317</v>
      </c>
      <c r="B25" s="220"/>
      <c r="C25" s="221" t="n">
        <f aca="false">SUM(C23:C24)</f>
        <v>0.1694376</v>
      </c>
    </row>
    <row r="26" customFormat="false" ht="15.75" hidden="false" customHeight="true" outlineLevel="0" collapsed="false">
      <c r="A26" s="208" t="s">
        <v>318</v>
      </c>
      <c r="B26" s="209" t="s">
        <v>319</v>
      </c>
      <c r="C26" s="209"/>
    </row>
    <row r="27" customFormat="false" ht="15.75" hidden="false" customHeight="true" outlineLevel="0" collapsed="false">
      <c r="A27" s="210" t="n">
        <v>11</v>
      </c>
      <c r="B27" s="211" t="s">
        <v>320</v>
      </c>
      <c r="C27" s="212" t="n">
        <f aca="false">ROUND((0.0144*0.1*0.4509*6/12),4)</f>
        <v>0.0003</v>
      </c>
    </row>
    <row r="28" customFormat="false" ht="15.75" hidden="false" customHeight="true" outlineLevel="0" collapsed="false">
      <c r="A28" s="222" t="s">
        <v>321</v>
      </c>
      <c r="B28" s="222"/>
      <c r="C28" s="223" t="n">
        <f aca="false">C18*C27</f>
        <v>0.0001194</v>
      </c>
    </row>
    <row r="29" customFormat="false" ht="15.75" hidden="false" customHeight="true" outlineLevel="0" collapsed="false">
      <c r="A29" s="220" t="s">
        <v>322</v>
      </c>
      <c r="B29" s="220"/>
      <c r="C29" s="224" t="n">
        <f aca="false">SUM(C27:C28)</f>
        <v>0.0004194</v>
      </c>
    </row>
    <row r="30" customFormat="false" ht="15.75" hidden="false" customHeight="true" outlineLevel="0" collapsed="false">
      <c r="A30" s="208" t="s">
        <v>323</v>
      </c>
      <c r="B30" s="209" t="s">
        <v>324</v>
      </c>
      <c r="C30" s="209"/>
    </row>
    <row r="31" customFormat="false" ht="15.75" hidden="false" customHeight="true" outlineLevel="0" collapsed="false">
      <c r="A31" s="210" t="n">
        <v>12</v>
      </c>
      <c r="B31" s="211" t="s">
        <v>325</v>
      </c>
      <c r="C31" s="212" t="n">
        <f aca="false">ROUND((100%/12)*5%,4)</f>
        <v>0.0042</v>
      </c>
    </row>
    <row r="32" customFormat="false" ht="15.75" hidden="false" customHeight="true" outlineLevel="0" collapsed="false">
      <c r="A32" s="225" t="s">
        <v>326</v>
      </c>
      <c r="B32" s="225"/>
      <c r="C32" s="213" t="n">
        <f aca="false">C15*C31</f>
        <v>0.000336</v>
      </c>
    </row>
    <row r="33" customFormat="false" ht="15.75" hidden="false" customHeight="true" outlineLevel="0" collapsed="false">
      <c r="A33" s="210" t="n">
        <v>13</v>
      </c>
      <c r="B33" s="211" t="s">
        <v>327</v>
      </c>
      <c r="C33" s="219" t="n">
        <f aca="false">ROUND((C15*0.4*0.9*(1+1/11+1/11+(1/3*1/11))),5)</f>
        <v>0.03491</v>
      </c>
    </row>
    <row r="34" customFormat="false" ht="15.75" hidden="false" customHeight="true" outlineLevel="0" collapsed="false">
      <c r="A34" s="210" t="n">
        <v>14</v>
      </c>
      <c r="B34" s="211" t="s">
        <v>328</v>
      </c>
      <c r="C34" s="212" t="n">
        <f aca="false">ROUND((100%/30)*7/12,4)</f>
        <v>0.0194</v>
      </c>
    </row>
    <row r="35" customFormat="false" ht="15.75" hidden="false" customHeight="true" outlineLevel="0" collapsed="false">
      <c r="A35" s="225" t="s">
        <v>329</v>
      </c>
      <c r="B35" s="225"/>
      <c r="C35" s="213" t="n">
        <f aca="false">ROUND((C34*C18),4)</f>
        <v>0.0077</v>
      </c>
    </row>
    <row r="36" customFormat="false" ht="15.75" hidden="false" customHeight="true" outlineLevel="0" collapsed="false">
      <c r="A36" s="210" t="n">
        <v>15</v>
      </c>
      <c r="B36" s="211" t="s">
        <v>330</v>
      </c>
      <c r="C36" s="213" t="n">
        <f aca="false">(0.4*C15/100)</f>
        <v>0.00032</v>
      </c>
    </row>
    <row r="37" customFormat="false" ht="15.75" hidden="false" customHeight="true" outlineLevel="0" collapsed="false">
      <c r="A37" s="226" t="s">
        <v>331</v>
      </c>
      <c r="B37" s="226"/>
      <c r="C37" s="221" t="n">
        <f aca="false">SUM(C31:C36)</f>
        <v>0.066866</v>
      </c>
    </row>
    <row r="38" customFormat="false" ht="15.75" hidden="false" customHeight="true" outlineLevel="0" collapsed="false">
      <c r="A38" s="208" t="s">
        <v>332</v>
      </c>
      <c r="B38" s="209" t="s">
        <v>333</v>
      </c>
      <c r="C38" s="209"/>
    </row>
    <row r="39" customFormat="false" ht="15.75" hidden="false" customHeight="true" outlineLevel="0" collapsed="false">
      <c r="A39" s="210" t="n">
        <v>16</v>
      </c>
      <c r="B39" s="211" t="s">
        <v>334</v>
      </c>
      <c r="C39" s="219" t="n">
        <f aca="false">ROUND((100%/11),4)</f>
        <v>0.0909</v>
      </c>
    </row>
    <row r="40" customFormat="false" ht="15.75" hidden="false" customHeight="true" outlineLevel="0" collapsed="false">
      <c r="A40" s="210" t="n">
        <v>17</v>
      </c>
      <c r="B40" s="211" t="s">
        <v>335</v>
      </c>
      <c r="C40" s="212" t="n">
        <v>0.0166</v>
      </c>
    </row>
    <row r="41" customFormat="false" ht="15.75" hidden="false" customHeight="true" outlineLevel="0" collapsed="false">
      <c r="A41" s="210" t="n">
        <v>18</v>
      </c>
      <c r="B41" s="211" t="s">
        <v>336</v>
      </c>
      <c r="C41" s="212" t="n">
        <f aca="false">ROUND((5/30/12)*0.022,4)</f>
        <v>0.0003</v>
      </c>
    </row>
    <row r="42" customFormat="false" ht="15.75" hidden="false" customHeight="true" outlineLevel="0" collapsed="false">
      <c r="A42" s="210" t="n">
        <v>19</v>
      </c>
      <c r="B42" s="211" t="s">
        <v>337</v>
      </c>
      <c r="C42" s="212" t="n">
        <f aca="false">ROUND((1/30/12),4)</f>
        <v>0.0028</v>
      </c>
    </row>
    <row r="43" customFormat="false" ht="15.75" hidden="false" customHeight="true" outlineLevel="0" collapsed="false">
      <c r="A43" s="210" t="n">
        <v>20</v>
      </c>
      <c r="B43" s="211" t="s">
        <v>338</v>
      </c>
      <c r="C43" s="212" t="n">
        <f aca="false">ROUND((15/30/12*0.0078),4)</f>
        <v>0.0003</v>
      </c>
    </row>
    <row r="44" customFormat="false" ht="15.75" hidden="false" customHeight="true" outlineLevel="0" collapsed="false">
      <c r="A44" s="226" t="s">
        <v>315</v>
      </c>
      <c r="B44" s="226"/>
      <c r="C44" s="221" t="n">
        <f aca="false">SUM(C39:C43)</f>
        <v>0.1109</v>
      </c>
      <c r="E44" s="227" t="s">
        <v>339</v>
      </c>
      <c r="F44" s="227"/>
      <c r="G44" s="227"/>
      <c r="H44" s="227"/>
    </row>
    <row r="45" customFormat="false" ht="15.75" hidden="false" customHeight="true" outlineLevel="0" collapsed="false">
      <c r="A45" s="225" t="s">
        <v>340</v>
      </c>
      <c r="B45" s="225"/>
      <c r="C45" s="213" t="n">
        <f aca="false">C18*C44</f>
        <v>0.0441382</v>
      </c>
      <c r="E45" s="227"/>
      <c r="F45" s="227"/>
      <c r="G45" s="227"/>
      <c r="H45" s="227"/>
    </row>
    <row r="46" customFormat="false" ht="15" hidden="false" customHeight="true" outlineLevel="0" collapsed="false">
      <c r="A46" s="226" t="s">
        <v>341</v>
      </c>
      <c r="B46" s="226"/>
      <c r="C46" s="221" t="n">
        <f aca="false">SUM(C44:C45)</f>
        <v>0.1550382</v>
      </c>
      <c r="E46" s="228" t="s">
        <v>342</v>
      </c>
      <c r="F46" s="229" t="s">
        <v>343</v>
      </c>
      <c r="G46" s="229"/>
      <c r="H46" s="229"/>
    </row>
    <row r="47" customFormat="false" ht="15.75" hidden="false" customHeight="true" outlineLevel="0" collapsed="false">
      <c r="A47" s="230" t="s">
        <v>344</v>
      </c>
      <c r="B47" s="231" t="s">
        <v>345</v>
      </c>
      <c r="C47" s="221" t="s">
        <v>211</v>
      </c>
      <c r="E47" s="228"/>
      <c r="F47" s="229" t="s">
        <v>346</v>
      </c>
      <c r="G47" s="229"/>
      <c r="H47" s="229"/>
    </row>
    <row r="48" customFormat="false" ht="15.75" hidden="false" customHeight="true" outlineLevel="0" collapsed="false">
      <c r="A48" s="210" t="n">
        <v>21</v>
      </c>
      <c r="B48" s="211" t="s">
        <v>347</v>
      </c>
      <c r="C48" s="212" t="n">
        <f aca="false">1*1%/12</f>
        <v>0.000833333333333333</v>
      </c>
      <c r="E48" s="232" t="s">
        <v>348</v>
      </c>
      <c r="F48" s="233" t="s">
        <v>349</v>
      </c>
      <c r="G48" s="233" t="s">
        <v>350</v>
      </c>
      <c r="H48" s="234" t="s">
        <v>351</v>
      </c>
    </row>
    <row r="49" customFormat="false" ht="15.75" hidden="false" customHeight="true" outlineLevel="0" collapsed="false">
      <c r="A49" s="226" t="s">
        <v>352</v>
      </c>
      <c r="B49" s="226"/>
      <c r="C49" s="221" t="n">
        <f aca="false">SUM(C47:C48)</f>
        <v>0.000833333333333333</v>
      </c>
      <c r="E49" s="232" t="s">
        <v>353</v>
      </c>
      <c r="F49" s="235" t="n">
        <v>0.343</v>
      </c>
      <c r="G49" s="235" t="n">
        <v>0.398</v>
      </c>
      <c r="H49" s="236" t="n">
        <f aca="false">$C$18</f>
        <v>0.398</v>
      </c>
    </row>
    <row r="50" customFormat="false" ht="15.75" hidden="false" customHeight="true" outlineLevel="0" collapsed="false">
      <c r="A50" s="237" t="s">
        <v>354</v>
      </c>
      <c r="B50" s="237"/>
      <c r="C50" s="237"/>
      <c r="E50" s="232" t="s">
        <v>355</v>
      </c>
      <c r="F50" s="235" t="n">
        <v>0.005</v>
      </c>
      <c r="G50" s="235" t="n">
        <v>0.06</v>
      </c>
      <c r="H50" s="236" t="n">
        <f aca="false">$C$16</f>
        <v>0.06</v>
      </c>
    </row>
    <row r="51" customFormat="false" ht="15.75" hidden="false" customHeight="true" outlineLevel="0" collapsed="false">
      <c r="A51" s="225" t="s">
        <v>300</v>
      </c>
      <c r="B51" s="225"/>
      <c r="C51" s="213" t="n">
        <f aca="false">ROUND(C18,4)</f>
        <v>0.398</v>
      </c>
      <c r="E51" s="238" t="s">
        <v>356</v>
      </c>
      <c r="F51" s="239" t="n">
        <f aca="false">$C$21</f>
        <v>0.0909</v>
      </c>
      <c r="G51" s="239" t="n">
        <f aca="false">$F$51</f>
        <v>0.0909</v>
      </c>
      <c r="H51" s="213" t="n">
        <f aca="false">$F$51</f>
        <v>0.0909</v>
      </c>
    </row>
    <row r="52" customFormat="false" ht="15.75" hidden="false" customHeight="true" outlineLevel="0" collapsed="false">
      <c r="A52" s="225" t="s">
        <v>357</v>
      </c>
      <c r="B52" s="225"/>
      <c r="C52" s="213" t="n">
        <f aca="false">ROUND(C25,4)</f>
        <v>0.1694</v>
      </c>
      <c r="E52" s="238" t="s">
        <v>358</v>
      </c>
      <c r="F52" s="239" t="n">
        <f aca="false">$C$39</f>
        <v>0.0909</v>
      </c>
      <c r="G52" s="239" t="n">
        <f aca="false">$F$52</f>
        <v>0.0909</v>
      </c>
      <c r="H52" s="213" t="n">
        <f aca="false">$F$52</f>
        <v>0.0909</v>
      </c>
    </row>
    <row r="53" customFormat="false" ht="15.75" hidden="false" customHeight="true" outlineLevel="0" collapsed="false">
      <c r="A53" s="225" t="s">
        <v>319</v>
      </c>
      <c r="B53" s="225"/>
      <c r="C53" s="213" t="n">
        <f aca="false">ROUND(C29,4)</f>
        <v>0.0004</v>
      </c>
      <c r="E53" s="238" t="s">
        <v>359</v>
      </c>
      <c r="F53" s="239" t="n">
        <f aca="false">$C$22</f>
        <v>0.0303</v>
      </c>
      <c r="G53" s="239" t="n">
        <f aca="false">$F$53</f>
        <v>0.0303</v>
      </c>
      <c r="H53" s="213" t="n">
        <f aca="false">$F$53</f>
        <v>0.0303</v>
      </c>
    </row>
    <row r="54" customFormat="false" ht="15.75" hidden="false" customHeight="true" outlineLevel="0" collapsed="false">
      <c r="A54" s="225" t="s">
        <v>360</v>
      </c>
      <c r="B54" s="225"/>
      <c r="C54" s="213" t="n">
        <f aca="false">ROUND(C37,4)</f>
        <v>0.0669</v>
      </c>
      <c r="E54" s="240" t="s">
        <v>315</v>
      </c>
      <c r="F54" s="241" t="n">
        <f aca="false">SUM(F51:F53)</f>
        <v>0.2121</v>
      </c>
      <c r="G54" s="241" t="n">
        <f aca="false">SUM(G51:G53)</f>
        <v>0.2121</v>
      </c>
      <c r="H54" s="242" t="n">
        <f aca="false">ROUND((SUM(H51:H53)),4)</f>
        <v>0.2121</v>
      </c>
    </row>
    <row r="55" customFormat="false" ht="15.75" hidden="false" customHeight="true" outlineLevel="0" collapsed="false">
      <c r="A55" s="225" t="s">
        <v>361</v>
      </c>
      <c r="B55" s="225"/>
      <c r="C55" s="213" t="n">
        <f aca="false">ROUND(C46,4)</f>
        <v>0.155</v>
      </c>
      <c r="E55" s="238" t="s">
        <v>362</v>
      </c>
      <c r="F55" s="239" t="n">
        <f aca="false">F54*F49</f>
        <v>0.0727503</v>
      </c>
      <c r="G55" s="239" t="n">
        <f aca="false">G54*G49</f>
        <v>0.0844158</v>
      </c>
      <c r="H55" s="213" t="n">
        <f aca="false">ROUND((H54*H49),4)</f>
        <v>0.0844</v>
      </c>
    </row>
    <row r="56" customFormat="false" ht="15.75" hidden="false" customHeight="true" outlineLevel="0" collapsed="false">
      <c r="A56" s="225" t="s">
        <v>347</v>
      </c>
      <c r="B56" s="225"/>
      <c r="C56" s="213" t="n">
        <f aca="false">ROUND(C49,4)</f>
        <v>0.0008</v>
      </c>
      <c r="E56" s="238" t="s">
        <v>363</v>
      </c>
      <c r="F56" s="239" t="n">
        <v>0.03491</v>
      </c>
      <c r="G56" s="239" t="n">
        <v>0.03491</v>
      </c>
      <c r="H56" s="243" t="n">
        <f aca="false">C33</f>
        <v>0.03491</v>
      </c>
    </row>
    <row r="57" customFormat="false" ht="15.75" hidden="false" customHeight="true" outlineLevel="0" collapsed="false">
      <c r="A57" s="244" t="s">
        <v>364</v>
      </c>
      <c r="B57" s="244"/>
      <c r="C57" s="216" t="n">
        <f aca="false">SUM(C51:C56)</f>
        <v>0.7905</v>
      </c>
      <c r="E57" s="245" t="s">
        <v>365</v>
      </c>
      <c r="F57" s="246" t="n">
        <f aca="false">SUM(F54:F56)</f>
        <v>0.3197603</v>
      </c>
      <c r="G57" s="246" t="n">
        <f aca="false">SUM(G54:G56)</f>
        <v>0.3314258</v>
      </c>
      <c r="H57" s="247" t="n">
        <f aca="false">ROUND((SUM(H54:H56)),4)</f>
        <v>0.3314</v>
      </c>
    </row>
    <row r="58" customFormat="false" ht="19.4" hidden="false" customHeight="false" outlineLevel="0" collapsed="false">
      <c r="A58" s="248" t="s">
        <v>50</v>
      </c>
      <c r="B58" s="249"/>
      <c r="C58" s="250"/>
      <c r="E58" s="238" t="s">
        <v>366</v>
      </c>
      <c r="F58" s="251" t="s">
        <v>211</v>
      </c>
      <c r="G58" s="251" t="s">
        <v>211</v>
      </c>
      <c r="H58" s="252" t="s">
        <v>211</v>
      </c>
    </row>
    <row r="59" customFormat="false" ht="54.75" hidden="false" customHeight="true" outlineLevel="0" collapsed="false">
      <c r="A59" s="253" t="s">
        <v>367</v>
      </c>
      <c r="B59" s="253"/>
      <c r="C59" s="253"/>
      <c r="E59" s="254" t="s">
        <v>368</v>
      </c>
      <c r="F59" s="255" t="n">
        <f aca="false">F57</f>
        <v>0.3197603</v>
      </c>
      <c r="G59" s="255" t="n">
        <f aca="false">G57</f>
        <v>0.3314258</v>
      </c>
      <c r="H59" s="256" t="n">
        <f aca="false">ROUND((H57),4)</f>
        <v>0.3314</v>
      </c>
    </row>
    <row r="61" customFormat="false" ht="12.75" hidden="false" customHeight="true" outlineLevel="0" collapsed="false"/>
  </sheetData>
  <sheetProtection algorithmName="SHA-512" hashValue="XDA2AuLw+t6XftKzddyhnzWPLLU70peyMTv5uoKXgWsIIfS6UUW5P0lBR2MKj/uyBOt6zb4om/M3U3OpzWrdOQ==" saltValue="DHaNhVuCnBSk6GAReMvsRg==" spinCount="100000" sheet="true" objects="true" scenarios="true"/>
  <mergeCells count="36">
    <mergeCell ref="A4:C4"/>
    <mergeCell ref="A5:C5"/>
    <mergeCell ref="A6:C6"/>
    <mergeCell ref="A7:C7"/>
    <mergeCell ref="B9:C9"/>
    <mergeCell ref="A18:B18"/>
    <mergeCell ref="A19:C19"/>
    <mergeCell ref="A20:C20"/>
    <mergeCell ref="A23:B23"/>
    <mergeCell ref="A24:B24"/>
    <mergeCell ref="A25:B25"/>
    <mergeCell ref="B26:C26"/>
    <mergeCell ref="A28:B28"/>
    <mergeCell ref="A29:B29"/>
    <mergeCell ref="B30:C30"/>
    <mergeCell ref="A32:B32"/>
    <mergeCell ref="A35:B35"/>
    <mergeCell ref="A37:B37"/>
    <mergeCell ref="B38:C38"/>
    <mergeCell ref="A44:B44"/>
    <mergeCell ref="E44:H45"/>
    <mergeCell ref="A45:B45"/>
    <mergeCell ref="A46:B46"/>
    <mergeCell ref="E46:E47"/>
    <mergeCell ref="F46:H46"/>
    <mergeCell ref="F47:H47"/>
    <mergeCell ref="A49:B49"/>
    <mergeCell ref="A50:C50"/>
    <mergeCell ref="A51:B51"/>
    <mergeCell ref="A52:B52"/>
    <mergeCell ref="A53:B53"/>
    <mergeCell ref="A54:B54"/>
    <mergeCell ref="A55:B55"/>
    <mergeCell ref="A56:B56"/>
    <mergeCell ref="A57:B57"/>
    <mergeCell ref="A59:C59"/>
  </mergeCells>
  <printOptions headings="false" gridLines="false" gridLinesSet="true" horizontalCentered="true" verticalCentered="true"/>
  <pageMargins left="0.511805555555556" right="0.511805555555556" top="0.7875" bottom="0.7875" header="0.511811023622047" footer="0.511811023622047"/>
  <pageSetup paperSize="9" scale="58"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V58"/>
  <sheetViews>
    <sheetView showFormulas="false" showGridLines="false" showRowColHeaders="true" showZeros="true" rightToLeft="false" tabSelected="false" showOutlineSymbols="true" defaultGridColor="true" view="normal" topLeftCell="A1" colorId="64" zoomScale="100" zoomScaleNormal="100" zoomScalePageLayoutView="115" workbookViewId="0">
      <selection pane="topLeft" activeCell="E62" activeCellId="0" sqref="E62"/>
    </sheetView>
  </sheetViews>
  <sheetFormatPr defaultColWidth="8.71484375" defaultRowHeight="15" zeroHeight="false" outlineLevelRow="0" outlineLevelCol="0"/>
  <cols>
    <col collapsed="false" customWidth="true" hidden="false" outlineLevel="0" max="1" min="1" style="75" width="5"/>
    <col collapsed="false" customWidth="true" hidden="false" outlineLevel="0" max="2" min="2" style="81" width="59.14"/>
    <col collapsed="false" customWidth="true" hidden="false" outlineLevel="0" max="3" min="3" style="81" width="10.42"/>
    <col collapsed="false" customWidth="true" hidden="false" outlineLevel="0" max="7" min="4" style="81" width="18.42"/>
    <col collapsed="false" customWidth="true" hidden="false" outlineLevel="0" max="8" min="8" style="0" width="23.71"/>
    <col collapsed="false" customWidth="true" hidden="false" outlineLevel="0" max="9" min="9" style="0" width="4.29"/>
    <col collapsed="false" customWidth="true" hidden="false" outlineLevel="0" max="10" min="10" style="0" width="11.43"/>
    <col collapsed="false" customWidth="true" hidden="false" outlineLevel="0" max="11" min="11" style="81" width="12.42"/>
    <col collapsed="false" customWidth="true" hidden="true" outlineLevel="0" max="12" min="12" style="0" width="8.57"/>
    <col collapsed="false" customWidth="true" hidden="false" outlineLevel="0" max="13" min="13" style="0" width="9"/>
    <col collapsed="false" customWidth="true" hidden="true" outlineLevel="0" max="14" min="14" style="0" width="26.15"/>
    <col collapsed="false" customWidth="true" hidden="true" outlineLevel="0" max="19" min="15" style="0" width="11.57"/>
    <col collapsed="false" customWidth="true" hidden="false" outlineLevel="0" max="256" min="20" style="0" width="9"/>
    <col collapsed="false" customWidth="true" hidden="false" outlineLevel="0" max="257" min="257" style="0" width="8.29"/>
    <col collapsed="false" customWidth="true" hidden="false" outlineLevel="0" max="258" min="258" style="0" width="44.57"/>
    <col collapsed="false" customWidth="true" hidden="false" outlineLevel="0" max="259" min="259" style="0" width="7.42"/>
    <col collapsed="false" customWidth="true" hidden="false" outlineLevel="0" max="260" min="260" style="0" width="13"/>
    <col collapsed="false" customWidth="true" hidden="false" outlineLevel="0" max="261" min="261" style="0" width="11.71"/>
    <col collapsed="false" customWidth="true" hidden="false" outlineLevel="0" max="262" min="262" style="0" width="10.57"/>
    <col collapsed="false" customWidth="true" hidden="false" outlineLevel="0" max="263" min="263" style="0" width="14.42"/>
    <col collapsed="false" customWidth="true" hidden="false" outlineLevel="0" max="264" min="264" style="0" width="35.43"/>
    <col collapsed="false" customWidth="true" hidden="false" outlineLevel="0" max="265" min="265" style="0" width="14"/>
    <col collapsed="false" customWidth="true" hidden="false" outlineLevel="0" max="266" min="266" style="0" width="11.71"/>
    <col collapsed="false" customWidth="true" hidden="false" outlineLevel="0" max="267" min="267" style="0" width="13.57"/>
    <col collapsed="false" customWidth="true" hidden="false" outlineLevel="0" max="512" min="268" style="0" width="9"/>
    <col collapsed="false" customWidth="true" hidden="false" outlineLevel="0" max="513" min="513" style="0" width="8.29"/>
    <col collapsed="false" customWidth="true" hidden="false" outlineLevel="0" max="514" min="514" style="0" width="44.57"/>
    <col collapsed="false" customWidth="true" hidden="false" outlineLevel="0" max="515" min="515" style="0" width="7.42"/>
    <col collapsed="false" customWidth="true" hidden="false" outlineLevel="0" max="516" min="516" style="0" width="13"/>
    <col collapsed="false" customWidth="true" hidden="false" outlineLevel="0" max="517" min="517" style="0" width="11.71"/>
    <col collapsed="false" customWidth="true" hidden="false" outlineLevel="0" max="518" min="518" style="0" width="10.57"/>
    <col collapsed="false" customWidth="true" hidden="false" outlineLevel="0" max="519" min="519" style="0" width="14.42"/>
    <col collapsed="false" customWidth="true" hidden="false" outlineLevel="0" max="520" min="520" style="0" width="35.43"/>
    <col collapsed="false" customWidth="true" hidden="false" outlineLevel="0" max="521" min="521" style="0" width="14"/>
    <col collapsed="false" customWidth="true" hidden="false" outlineLevel="0" max="522" min="522" style="0" width="11.71"/>
    <col collapsed="false" customWidth="true" hidden="false" outlineLevel="0" max="523" min="523" style="0" width="13.57"/>
    <col collapsed="false" customWidth="true" hidden="false" outlineLevel="0" max="768" min="524" style="0" width="9"/>
    <col collapsed="false" customWidth="true" hidden="false" outlineLevel="0" max="769" min="769" style="0" width="8.29"/>
    <col collapsed="false" customWidth="true" hidden="false" outlineLevel="0" max="770" min="770" style="0" width="44.57"/>
    <col collapsed="false" customWidth="true" hidden="false" outlineLevel="0" max="771" min="771" style="0" width="7.42"/>
    <col collapsed="false" customWidth="true" hidden="false" outlineLevel="0" max="772" min="772" style="0" width="13"/>
    <col collapsed="false" customWidth="true" hidden="false" outlineLevel="0" max="773" min="773" style="0" width="11.71"/>
    <col collapsed="false" customWidth="true" hidden="false" outlineLevel="0" max="774" min="774" style="0" width="10.57"/>
    <col collapsed="false" customWidth="true" hidden="false" outlineLevel="0" max="775" min="775" style="0" width="14.42"/>
    <col collapsed="false" customWidth="true" hidden="false" outlineLevel="0" max="776" min="776" style="0" width="35.43"/>
    <col collapsed="false" customWidth="true" hidden="false" outlineLevel="0" max="777" min="777" style="0" width="14"/>
    <col collapsed="false" customWidth="true" hidden="false" outlineLevel="0" max="778" min="778" style="0" width="11.71"/>
    <col collapsed="false" customWidth="true" hidden="false" outlineLevel="0" max="779" min="779" style="0" width="13.57"/>
    <col collapsed="false" customWidth="true" hidden="false" outlineLevel="0" max="1025" min="780" style="0" width="9"/>
  </cols>
  <sheetData>
    <row r="1" s="81" customFormat="true" ht="15" hidden="false" customHeight="true" outlineLevel="0" collapsed="false">
      <c r="A1" s="257"/>
      <c r="B1" s="118" t="str">
        <f aca="false">INSTRUÇÕES!B1</f>
        <v>Tribunal Regional Federal da 6ª Região</v>
      </c>
      <c r="C1" s="258"/>
      <c r="D1" s="258"/>
      <c r="E1" s="258"/>
      <c r="F1" s="258"/>
      <c r="G1" s="258"/>
      <c r="H1" s="259"/>
    </row>
    <row r="2" s="81" customFormat="true" ht="17.25" hidden="false" customHeight="true" outlineLevel="0" collapsed="false">
      <c r="A2" s="260"/>
      <c r="B2" s="120" t="str">
        <f aca="false">INSTRUÇÕES!B2</f>
        <v>Seção Judiciária de Minas Gerais</v>
      </c>
      <c r="H2" s="261"/>
    </row>
    <row r="3" s="81" customFormat="true" ht="16.5" hidden="false" customHeight="true" outlineLevel="0" collapsed="false">
      <c r="A3" s="260"/>
      <c r="B3" s="120" t="str">
        <f aca="false">INSTRUÇÕES!B3</f>
        <v>Subseção Judiciária de Passos</v>
      </c>
      <c r="H3" s="261"/>
      <c r="N3" s="1"/>
      <c r="O3" s="1"/>
      <c r="P3" s="1"/>
      <c r="Q3" s="1"/>
      <c r="R3" s="1"/>
      <c r="S3" s="1"/>
      <c r="T3" s="1"/>
    </row>
    <row r="4" s="81" customFormat="true" ht="27.75" hidden="false" customHeight="true" outlineLevel="0" collapsed="false">
      <c r="A4" s="262" t="s">
        <v>369</v>
      </c>
      <c r="B4" s="262"/>
      <c r="C4" s="262"/>
      <c r="D4" s="262"/>
      <c r="E4" s="262"/>
      <c r="F4" s="262"/>
      <c r="G4" s="262"/>
      <c r="H4" s="262"/>
      <c r="I4" s="263"/>
      <c r="J4" s="263"/>
      <c r="U4" s="1"/>
      <c r="V4" s="1"/>
    </row>
    <row r="5" s="1" customFormat="true" ht="24" hidden="false" customHeight="true" outlineLevel="0" collapsed="false">
      <c r="A5" s="264" t="s">
        <v>370</v>
      </c>
      <c r="B5" s="264"/>
      <c r="C5" s="264"/>
      <c r="D5" s="264"/>
      <c r="E5" s="264"/>
      <c r="F5" s="264"/>
      <c r="G5" s="264"/>
      <c r="H5" s="264"/>
      <c r="K5" s="265"/>
      <c r="N5" s="74" t="s">
        <v>371</v>
      </c>
      <c r="O5" s="74"/>
      <c r="P5" s="74"/>
      <c r="Q5" s="74"/>
      <c r="R5" s="74"/>
      <c r="S5" s="74"/>
      <c r="T5" s="81"/>
      <c r="U5" s="81"/>
      <c r="V5" s="81"/>
    </row>
    <row r="6" s="81" customFormat="true" ht="15" hidden="false" customHeight="true" outlineLevel="0" collapsed="false">
      <c r="A6" s="266" t="s">
        <v>59</v>
      </c>
      <c r="B6" s="267" t="s">
        <v>372</v>
      </c>
      <c r="C6" s="267"/>
      <c r="D6" s="267"/>
      <c r="E6" s="268"/>
      <c r="F6" s="268"/>
      <c r="G6" s="268"/>
      <c r="H6" s="269" t="s">
        <v>373</v>
      </c>
      <c r="I6" s="80"/>
      <c r="J6" s="80"/>
      <c r="N6" s="74"/>
      <c r="O6" s="74"/>
      <c r="P6" s="74"/>
      <c r="Q6" s="74"/>
      <c r="R6" s="74"/>
      <c r="S6" s="74"/>
    </row>
    <row r="7" s="81" customFormat="true" ht="13.5" hidden="false" customHeight="true" outlineLevel="0" collapsed="false">
      <c r="A7" s="266"/>
      <c r="B7" s="267"/>
      <c r="C7" s="267"/>
      <c r="D7" s="267"/>
      <c r="E7" s="268"/>
      <c r="F7" s="268"/>
      <c r="G7" s="268"/>
      <c r="H7" s="269"/>
      <c r="I7" s="80"/>
      <c r="J7" s="270" t="s">
        <v>374</v>
      </c>
      <c r="K7" s="270"/>
      <c r="L7" s="270"/>
      <c r="N7" s="74"/>
      <c r="O7" s="74"/>
      <c r="P7" s="74"/>
      <c r="Q7" s="74"/>
      <c r="R7" s="74"/>
      <c r="S7" s="74"/>
    </row>
    <row r="8" s="81" customFormat="true" ht="30.55" hidden="false" customHeight="false" outlineLevel="0" collapsed="false">
      <c r="A8" s="266"/>
      <c r="B8" s="267" t="s">
        <v>64</v>
      </c>
      <c r="C8" s="271" t="s">
        <v>65</v>
      </c>
      <c r="D8" s="271" t="s">
        <v>66</v>
      </c>
      <c r="E8" s="272" t="s">
        <v>375</v>
      </c>
      <c r="F8" s="273" t="s">
        <v>71</v>
      </c>
      <c r="G8" s="271" t="s">
        <v>376</v>
      </c>
      <c r="H8" s="269"/>
      <c r="I8" s="80"/>
      <c r="J8" s="272" t="s">
        <v>69</v>
      </c>
      <c r="K8" s="273" t="s">
        <v>68</v>
      </c>
      <c r="L8" s="272" t="s">
        <v>377</v>
      </c>
      <c r="N8" s="274" t="s">
        <v>378</v>
      </c>
      <c r="O8" s="31" t="s">
        <v>278</v>
      </c>
      <c r="P8" s="31" t="s">
        <v>279</v>
      </c>
      <c r="Q8" s="31" t="s">
        <v>280</v>
      </c>
      <c r="R8" s="31" t="s">
        <v>281</v>
      </c>
      <c r="S8" s="33" t="s">
        <v>282</v>
      </c>
    </row>
    <row r="9" s="81" customFormat="true" ht="20.85" hidden="false" customHeight="false" outlineLevel="0" collapsed="false">
      <c r="A9" s="275" t="n">
        <v>1</v>
      </c>
      <c r="B9" s="276" t="s">
        <v>379</v>
      </c>
      <c r="C9" s="277" t="s">
        <v>380</v>
      </c>
      <c r="D9" s="277" t="s">
        <v>381</v>
      </c>
      <c r="E9" s="278" t="n">
        <v>2</v>
      </c>
      <c r="F9" s="279" t="s">
        <v>382</v>
      </c>
      <c r="G9" s="280" t="n">
        <v>15.74</v>
      </c>
      <c r="H9" s="281"/>
      <c r="I9" s="80"/>
      <c r="J9" s="277" t="n">
        <f aca="false">'Ocorrências Mensais - FAT'!G26</f>
        <v>1</v>
      </c>
      <c r="K9" s="282" t="n">
        <f aca="false">G9*J9</f>
        <v>15.74</v>
      </c>
      <c r="L9" s="272"/>
      <c r="N9" s="274"/>
      <c r="O9" s="31"/>
      <c r="P9" s="31"/>
      <c r="Q9" s="31"/>
      <c r="R9" s="31"/>
      <c r="S9" s="33"/>
    </row>
    <row r="10" s="81" customFormat="true" ht="59.7" hidden="false" customHeight="false" outlineLevel="0" collapsed="false">
      <c r="A10" s="97" t="n">
        <v>2</v>
      </c>
      <c r="B10" s="276" t="s">
        <v>383</v>
      </c>
      <c r="C10" s="277" t="s">
        <v>380</v>
      </c>
      <c r="D10" s="277" t="s">
        <v>384</v>
      </c>
      <c r="E10" s="278" t="n">
        <v>2</v>
      </c>
      <c r="F10" s="279" t="s">
        <v>385</v>
      </c>
      <c r="G10" s="280" t="n">
        <v>51.61</v>
      </c>
      <c r="H10" s="281"/>
      <c r="I10" s="80"/>
      <c r="J10" s="277" t="n">
        <f aca="false">'Ocorrências Mensais - FAT'!G27</f>
        <v>2</v>
      </c>
      <c r="K10" s="282" t="n">
        <f aca="false">G10*J10</f>
        <v>103.22</v>
      </c>
      <c r="L10" s="49" t="n">
        <f aca="false">IF(F10="MENSAL",1,IF(F10="BIMESTRAL",2,IF(F10="TRIMESTRAL",3,IF(F10="QUADRIMESTRAL",4,IF(F10="SEMESTRAL",6,IF(F10="ANUAL",12,IF(F10="BIENAL",24,"")))))))</f>
        <v>1</v>
      </c>
      <c r="N10" s="283" t="n">
        <v>6</v>
      </c>
      <c r="O10" s="49" t="n">
        <f aca="false">ROUND(IF(Dados!$J$56="SIM",N10*Dados!$N$56,N10),2)</f>
        <v>6</v>
      </c>
      <c r="P10" s="49" t="n">
        <f aca="false">ROUND(IF(Dados!$J$57="SIM",O10*Dados!$N$57,O10),2)</f>
        <v>6</v>
      </c>
      <c r="Q10" s="49" t="n">
        <f aca="false">ROUND(IF(Dados!$J$58="SIM",P10*Dados!$N$58,P10),2)</f>
        <v>6</v>
      </c>
      <c r="R10" s="49" t="n">
        <f aca="false">ROUND(IF(Dados!$J$59="SIM",Q10*Dados!$N$59,Q10),2)</f>
        <v>6</v>
      </c>
      <c r="S10" s="96" t="n">
        <f aca="false">ROUND(IF(Dados!$J$60="SIM",R10*Dados!$N$60,R10),2)</f>
        <v>6</v>
      </c>
    </row>
    <row r="11" s="81" customFormat="true" ht="30.55" hidden="false" customHeight="false" outlineLevel="0" collapsed="false">
      <c r="A11" s="97" t="n">
        <v>3</v>
      </c>
      <c r="B11" s="284" t="s">
        <v>386</v>
      </c>
      <c r="C11" s="277" t="s">
        <v>387</v>
      </c>
      <c r="D11" s="277" t="s">
        <v>388</v>
      </c>
      <c r="E11" s="38" t="n">
        <v>4</v>
      </c>
      <c r="F11" s="285" t="s">
        <v>385</v>
      </c>
      <c r="G11" s="280" t="n">
        <v>6.04</v>
      </c>
      <c r="H11" s="281"/>
      <c r="I11" s="80"/>
      <c r="J11" s="277" t="n">
        <f aca="false">'Ocorrências Mensais - FAT'!G28</f>
        <v>4</v>
      </c>
      <c r="K11" s="282" t="n">
        <f aca="false">G11*J11</f>
        <v>24.16</v>
      </c>
      <c r="L11" s="49" t="n">
        <f aca="false">IF(F11="MENSAL",1,IF(F11="BIMESTRAL",2,IF(F11="TRIMESTRAL",3,IF(F11="QUADRIMESTRAL",4,IF(F11="SEMESTRAL",6,IF(F11="ANUAL",12,IF(F11="BIENAL",24,"")))))))</f>
        <v>1</v>
      </c>
      <c r="N11" s="283" t="n">
        <v>3.8</v>
      </c>
      <c r="O11" s="49" t="n">
        <f aca="false">ROUND(IF(Dados!$J$56="SIM",N11*Dados!$N$56,N11),2)</f>
        <v>3.8</v>
      </c>
      <c r="P11" s="49" t="n">
        <f aca="false">ROUND(IF(Dados!$J$57="SIM",O11*Dados!$N$57,O11),2)</f>
        <v>3.8</v>
      </c>
      <c r="Q11" s="49" t="n">
        <f aca="false">ROUND(IF(Dados!$J$58="SIM",P11*Dados!$N$58,P11),2)</f>
        <v>3.8</v>
      </c>
      <c r="R11" s="49" t="n">
        <f aca="false">ROUND(IF(Dados!$J$59="SIM",Q11*Dados!$N$59,Q11),2)</f>
        <v>3.8</v>
      </c>
      <c r="S11" s="96" t="n">
        <f aca="false">ROUND(IF(Dados!$J$60="SIM",R11*Dados!$N$60,R11),2)</f>
        <v>3.8</v>
      </c>
    </row>
    <row r="12" s="81" customFormat="true" ht="30.55" hidden="false" customHeight="false" outlineLevel="0" collapsed="false">
      <c r="A12" s="275" t="n">
        <v>4</v>
      </c>
      <c r="B12" s="276" t="s">
        <v>389</v>
      </c>
      <c r="C12" s="277" t="s">
        <v>387</v>
      </c>
      <c r="D12" s="277" t="s">
        <v>390</v>
      </c>
      <c r="E12" s="38" t="n">
        <v>2</v>
      </c>
      <c r="F12" s="285" t="s">
        <v>391</v>
      </c>
      <c r="G12" s="280" t="n">
        <v>16.01</v>
      </c>
      <c r="H12" s="281"/>
      <c r="I12" s="80"/>
      <c r="J12" s="277" t="n">
        <f aca="false">'Ocorrências Mensais - FAT'!G29</f>
        <v>0.166666666666667</v>
      </c>
      <c r="K12" s="282" t="n">
        <f aca="false">G12*J12</f>
        <v>2.66833333333333</v>
      </c>
      <c r="L12" s="49" t="n">
        <f aca="false">IF(F12="MENSAL",1,IF(F12="BIMESTRAL",2,IF(F12="TRIMESTRAL",3,IF(F12="QUADRIMESTRAL",4,IF(F12="SEMESTRAL",6,IF(F12="ANUAL",12,IF(F12="BIENAL",24,"")))))))</f>
        <v>12</v>
      </c>
      <c r="N12" s="283" t="n">
        <v>4.14</v>
      </c>
      <c r="O12" s="49" t="n">
        <f aca="false">ROUND(IF(Dados!$J$56="SIM",N12*Dados!$N$56,N12),2)</f>
        <v>4.14</v>
      </c>
      <c r="P12" s="49" t="n">
        <f aca="false">ROUND(IF(Dados!$J$57="SIM",O12*Dados!$N$57,O12),2)</f>
        <v>4.14</v>
      </c>
      <c r="Q12" s="49" t="n">
        <f aca="false">ROUND(IF(Dados!$J$58="SIM",P12*Dados!$N$58,P12),2)</f>
        <v>4.14</v>
      </c>
      <c r="R12" s="49" t="n">
        <f aca="false">ROUND(IF(Dados!$J$59="SIM",Q12*Dados!$N$59,Q12),2)</f>
        <v>4.14</v>
      </c>
      <c r="S12" s="96" t="n">
        <f aca="false">ROUND(IF(Dados!$J$60="SIM",R12*Dados!$N$60,R12),2)</f>
        <v>4.14</v>
      </c>
    </row>
    <row r="13" s="81" customFormat="true" ht="18" hidden="false" customHeight="true" outlineLevel="0" collapsed="false">
      <c r="A13" s="97" t="n">
        <v>5</v>
      </c>
      <c r="B13" s="286" t="s">
        <v>392</v>
      </c>
      <c r="C13" s="277" t="s">
        <v>387</v>
      </c>
      <c r="D13" s="277" t="s">
        <v>393</v>
      </c>
      <c r="E13" s="38" t="n">
        <v>1</v>
      </c>
      <c r="F13" s="285" t="s">
        <v>391</v>
      </c>
      <c r="G13" s="280" t="n">
        <v>9.72</v>
      </c>
      <c r="H13" s="281"/>
      <c r="I13" s="80"/>
      <c r="J13" s="277" t="n">
        <f aca="false">'Ocorrências Mensais - FAT'!G30</f>
        <v>0.0833333333333333</v>
      </c>
      <c r="K13" s="282" t="n">
        <f aca="false">G13*J13</f>
        <v>0.81</v>
      </c>
      <c r="L13" s="49" t="n">
        <f aca="false">IF(F13="MENSAL",1,IF(F13="BIMESTRAL",2,IF(F13="TRIMESTRAL",3,IF(F13="QUADRIMESTRAL",4,IF(F13="SEMESTRAL",6,IF(F13="ANUAL",12,IF(F13="BIENAL",24,"")))))))</f>
        <v>12</v>
      </c>
      <c r="N13" s="283"/>
      <c r="O13" s="49"/>
      <c r="P13" s="49"/>
      <c r="Q13" s="49"/>
      <c r="R13" s="49"/>
      <c r="S13" s="96"/>
    </row>
    <row r="14" s="81" customFormat="true" ht="20.85" hidden="false" customHeight="false" outlineLevel="0" collapsed="false">
      <c r="A14" s="97" t="n">
        <v>6</v>
      </c>
      <c r="B14" s="284" t="s">
        <v>394</v>
      </c>
      <c r="C14" s="277" t="s">
        <v>387</v>
      </c>
      <c r="D14" s="277" t="s">
        <v>395</v>
      </c>
      <c r="E14" s="38" t="n">
        <v>1</v>
      </c>
      <c r="F14" s="285" t="s">
        <v>391</v>
      </c>
      <c r="G14" s="280" t="n">
        <v>14.67</v>
      </c>
      <c r="H14" s="281"/>
      <c r="I14" s="80"/>
      <c r="J14" s="277" t="n">
        <f aca="false">'Ocorrências Mensais - FAT'!G31</f>
        <v>0.0833333333333333</v>
      </c>
      <c r="K14" s="282" t="n">
        <f aca="false">G14*J14</f>
        <v>1.2225</v>
      </c>
      <c r="L14" s="49" t="n">
        <f aca="false">IF(F14="MENSAL",1,IF(F14="BIMESTRAL",2,IF(F14="TRIMESTRAL",3,IF(F14="QUADRIMESTRAL",4,IF(F14="SEMESTRAL",6,IF(F14="ANUAL",12,IF(F14="BIENAL",24,"")))))))</f>
        <v>12</v>
      </c>
      <c r="N14" s="283" t="n">
        <v>1.4</v>
      </c>
      <c r="O14" s="49" t="n">
        <f aca="false">ROUND(IF(Dados!$J$56="SIM",N14*Dados!$N$56,N14),2)</f>
        <v>1.4</v>
      </c>
      <c r="P14" s="49" t="n">
        <f aca="false">ROUND(IF(Dados!$J$57="SIM",O14*Dados!$N$57,O14),2)</f>
        <v>1.4</v>
      </c>
      <c r="Q14" s="49" t="n">
        <f aca="false">ROUND(IF(Dados!$J$58="SIM",P14*Dados!$N$58,P14),2)</f>
        <v>1.4</v>
      </c>
      <c r="R14" s="49" t="n">
        <f aca="false">ROUND(IF(Dados!$J$59="SIM",Q14*Dados!$N$59,Q14),2)</f>
        <v>1.4</v>
      </c>
      <c r="S14" s="96" t="n">
        <f aca="false">ROUND(IF(Dados!$J$60="SIM",R14*Dados!$N$60,R14),2)</f>
        <v>1.4</v>
      </c>
    </row>
    <row r="15" s="81" customFormat="true" ht="15" hidden="false" customHeight="false" outlineLevel="0" collapsed="false">
      <c r="A15" s="275" t="n">
        <v>7</v>
      </c>
      <c r="B15" s="284" t="s">
        <v>396</v>
      </c>
      <c r="C15" s="277" t="s">
        <v>380</v>
      </c>
      <c r="D15" s="277" t="s">
        <v>397</v>
      </c>
      <c r="E15" s="38" t="n">
        <v>1</v>
      </c>
      <c r="F15" s="285" t="s">
        <v>385</v>
      </c>
      <c r="G15" s="280" t="n">
        <v>35.27</v>
      </c>
      <c r="H15" s="281"/>
      <c r="I15" s="80"/>
      <c r="J15" s="277" t="n">
        <f aca="false">'Ocorrências Mensais - FAT'!G32</f>
        <v>1</v>
      </c>
      <c r="K15" s="282" t="n">
        <f aca="false">G15*J15</f>
        <v>35.27</v>
      </c>
      <c r="L15" s="49" t="n">
        <f aca="false">IF(F15="MENSAL",1,IF(F15="BIMESTRAL",2,IF(F15="TRIMESTRAL",3,IF(F15="QUADRIMESTRAL",4,IF(F15="SEMESTRAL",6,IF(F15="ANUAL",12,IF(F15="BIENAL",24,"")))))))</f>
        <v>1</v>
      </c>
      <c r="N15" s="283" t="n">
        <v>3.2</v>
      </c>
      <c r="O15" s="49" t="n">
        <f aca="false">ROUND(IF(Dados!$J$56="SIM",N15*Dados!$N$56,N15),2)</f>
        <v>3.2</v>
      </c>
      <c r="P15" s="49" t="n">
        <f aca="false">ROUND(IF(Dados!$J$57="SIM",O15*Dados!$N$57,O15),2)</f>
        <v>3.2</v>
      </c>
      <c r="Q15" s="49" t="n">
        <f aca="false">ROUND(IF(Dados!$J$58="SIM",P15*Dados!$N$58,P15),2)</f>
        <v>3.2</v>
      </c>
      <c r="R15" s="49" t="n">
        <f aca="false">ROUND(IF(Dados!$J$59="SIM",Q15*Dados!$N$59,Q15),2)</f>
        <v>3.2</v>
      </c>
      <c r="S15" s="96" t="n">
        <f aca="false">ROUND(IF(Dados!$J$60="SIM",R15*Dados!$N$60,R15),2)</f>
        <v>3.2</v>
      </c>
    </row>
    <row r="16" s="81" customFormat="true" ht="20.85" hidden="false" customHeight="false" outlineLevel="0" collapsed="false">
      <c r="A16" s="97" t="n">
        <v>8</v>
      </c>
      <c r="B16" s="284" t="s">
        <v>398</v>
      </c>
      <c r="C16" s="277" t="s">
        <v>387</v>
      </c>
      <c r="D16" s="277" t="s">
        <v>399</v>
      </c>
      <c r="E16" s="38" t="n">
        <v>1</v>
      </c>
      <c r="F16" s="285" t="s">
        <v>391</v>
      </c>
      <c r="G16" s="280" t="n">
        <v>3.12</v>
      </c>
      <c r="H16" s="281"/>
      <c r="I16" s="80"/>
      <c r="J16" s="277" t="n">
        <f aca="false">'Ocorrências Mensais - FAT'!G33</f>
        <v>0.0833333333333333</v>
      </c>
      <c r="K16" s="282" t="n">
        <f aca="false">G16*J16</f>
        <v>0.26</v>
      </c>
      <c r="L16" s="49" t="n">
        <f aca="false">IF(F16="MENSAL",1,IF(F16="BIMESTRAL",2,IF(F16="TRIMESTRAL",3,IF(F16="QUADRIMESTRAL",4,IF(F16="SEMESTRAL",6,IF(F16="ANUAL",12,IF(F16="BIENAL",24,"")))))))</f>
        <v>12</v>
      </c>
      <c r="N16" s="283" t="n">
        <v>4</v>
      </c>
      <c r="O16" s="49" t="n">
        <f aca="false">ROUND(IF(Dados!$J$56="SIM",N16*Dados!$N$56,N16),2)</f>
        <v>4</v>
      </c>
      <c r="P16" s="49" t="n">
        <f aca="false">ROUND(IF(Dados!$J$57="SIM",O16*Dados!$N$57,O16),2)</f>
        <v>4</v>
      </c>
      <c r="Q16" s="49" t="n">
        <f aca="false">ROUND(IF(Dados!$J$58="SIM",P16*Dados!$N$58,P16),2)</f>
        <v>4</v>
      </c>
      <c r="R16" s="49" t="n">
        <f aca="false">ROUND(IF(Dados!$J$59="SIM",Q16*Dados!$N$59,Q16),2)</f>
        <v>4</v>
      </c>
      <c r="S16" s="96" t="n">
        <f aca="false">ROUND(IF(Dados!$J$60="SIM",R16*Dados!$N$60,R16),2)</f>
        <v>4</v>
      </c>
    </row>
    <row r="17" s="81" customFormat="true" ht="20.85" hidden="false" customHeight="false" outlineLevel="0" collapsed="false">
      <c r="A17" s="97" t="n">
        <v>9</v>
      </c>
      <c r="B17" s="276" t="s">
        <v>400</v>
      </c>
      <c r="C17" s="277" t="s">
        <v>387</v>
      </c>
      <c r="D17" s="277" t="s">
        <v>401</v>
      </c>
      <c r="E17" s="38" t="n">
        <v>2</v>
      </c>
      <c r="F17" s="285" t="s">
        <v>391</v>
      </c>
      <c r="G17" s="280" t="n">
        <v>11.75</v>
      </c>
      <c r="H17" s="281"/>
      <c r="I17" s="80"/>
      <c r="J17" s="277" t="n">
        <f aca="false">'Ocorrências Mensais - FAT'!G34</f>
        <v>0.166666666666667</v>
      </c>
      <c r="K17" s="282" t="n">
        <f aca="false">G17*J17</f>
        <v>1.95833333333333</v>
      </c>
      <c r="L17" s="49" t="n">
        <f aca="false">IF(F17="MENSAL",1,IF(F17="BIMESTRAL",2,IF(F17="TRIMESTRAL",3,IF(F17="QUADRIMESTRAL",4,IF(F17="SEMESTRAL",6,IF(F17="ANUAL",12,IF(F17="BIENAL",24,"")))))))</f>
        <v>12</v>
      </c>
      <c r="N17" s="283"/>
      <c r="O17" s="49"/>
      <c r="P17" s="49"/>
      <c r="Q17" s="49"/>
      <c r="R17" s="49"/>
      <c r="S17" s="96"/>
    </row>
    <row r="18" s="81" customFormat="true" ht="40.25" hidden="false" customHeight="false" outlineLevel="0" collapsed="false">
      <c r="A18" s="275" t="n">
        <v>10</v>
      </c>
      <c r="B18" s="284" t="s">
        <v>402</v>
      </c>
      <c r="C18" s="277" t="s">
        <v>403</v>
      </c>
      <c r="D18" s="277" t="s">
        <v>404</v>
      </c>
      <c r="E18" s="38" t="n">
        <v>4</v>
      </c>
      <c r="F18" s="277" t="s">
        <v>385</v>
      </c>
      <c r="G18" s="280" t="n">
        <v>4.64</v>
      </c>
      <c r="H18" s="281"/>
      <c r="I18" s="80"/>
      <c r="J18" s="277" t="n">
        <f aca="false">'Ocorrências Mensais - FAT'!G35</f>
        <v>4</v>
      </c>
      <c r="K18" s="282" t="n">
        <f aca="false">G18*J18</f>
        <v>18.56</v>
      </c>
      <c r="L18" s="49" t="n">
        <f aca="false">IF(F18="MENSAL",1,IF(F18="BIMESTRAL",2,IF(F18="TRIMESTRAL",3,IF(F18="QUADRIMESTRAL",4,IF(F18="SEMESTRAL",6,IF(F18="ANUAL",12,IF(F18="BIENAL",24,"")))))))</f>
        <v>1</v>
      </c>
      <c r="N18" s="283" t="n">
        <v>1.2</v>
      </c>
      <c r="O18" s="49" t="n">
        <f aca="false">ROUND(IF(Dados!$J$56="SIM",N18*Dados!$N$56,N18),2)</f>
        <v>1.2</v>
      </c>
      <c r="P18" s="49" t="n">
        <f aca="false">ROUND(IF(Dados!$J$57="SIM",O18*Dados!$N$57,O18),2)</f>
        <v>1.2</v>
      </c>
      <c r="Q18" s="49" t="n">
        <f aca="false">ROUND(IF(Dados!$J$58="SIM",P18*Dados!$N$58,P18),2)</f>
        <v>1.2</v>
      </c>
      <c r="R18" s="49" t="n">
        <f aca="false">ROUND(IF(Dados!$J$59="SIM",Q18*Dados!$N$59,Q18),2)</f>
        <v>1.2</v>
      </c>
      <c r="S18" s="96" t="n">
        <f aca="false">ROUND(IF(Dados!$J$60="SIM",R18*Dados!$N$60,R18),2)</f>
        <v>1.2</v>
      </c>
    </row>
    <row r="19" s="81" customFormat="true" ht="15" hidden="false" customHeight="false" outlineLevel="0" collapsed="false">
      <c r="A19" s="97" t="n">
        <v>11</v>
      </c>
      <c r="B19" s="284" t="s">
        <v>405</v>
      </c>
      <c r="C19" s="277" t="s">
        <v>387</v>
      </c>
      <c r="D19" s="277" t="s">
        <v>406</v>
      </c>
      <c r="E19" s="38" t="n">
        <v>2</v>
      </c>
      <c r="F19" s="285" t="s">
        <v>391</v>
      </c>
      <c r="G19" s="280" t="n">
        <v>16.43</v>
      </c>
      <c r="H19" s="281"/>
      <c r="I19" s="80"/>
      <c r="J19" s="277" t="n">
        <f aca="false">'Ocorrências Mensais - FAT'!G36</f>
        <v>0.166666666666667</v>
      </c>
      <c r="K19" s="282" t="n">
        <f aca="false">G19*J19</f>
        <v>2.73833333333333</v>
      </c>
      <c r="L19" s="49" t="n">
        <f aca="false">IF(F19="MENSAL",1,IF(F19="BIMESTRAL",2,IF(F19="TRIMESTRAL",3,IF(F19="QUADRIMESTRAL",4,IF(F19="SEMESTRAL",6,IF(F19="ANUAL",12,IF(F19="BIENAL",24,"")))))))</f>
        <v>12</v>
      </c>
      <c r="N19" s="283" t="n">
        <v>1.3</v>
      </c>
      <c r="O19" s="49" t="n">
        <f aca="false">ROUND(IF(Dados!$J$56="SIM",N19*Dados!$N$56,N19),2)</f>
        <v>1.3</v>
      </c>
      <c r="P19" s="49" t="n">
        <f aca="false">ROUND(IF(Dados!$J$57="SIM",O19*Dados!$N$57,O19),2)</f>
        <v>1.3</v>
      </c>
      <c r="Q19" s="49" t="n">
        <f aca="false">ROUND(IF(Dados!$J$58="SIM",P19*Dados!$N$58,P19),2)</f>
        <v>1.3</v>
      </c>
      <c r="R19" s="49" t="n">
        <f aca="false">ROUND(IF(Dados!$J$59="SIM",Q19*Dados!$N$59,Q19),2)</f>
        <v>1.3</v>
      </c>
      <c r="S19" s="96" t="n">
        <f aca="false">ROUND(IF(Dados!$J$60="SIM",R19*Dados!$N$60,R19),2)</f>
        <v>1.3</v>
      </c>
    </row>
    <row r="20" s="81" customFormat="true" ht="30.55" hidden="false" customHeight="false" outlineLevel="0" collapsed="false">
      <c r="A20" s="97" t="n">
        <v>12</v>
      </c>
      <c r="B20" s="276" t="s">
        <v>407</v>
      </c>
      <c r="C20" s="277" t="s">
        <v>387</v>
      </c>
      <c r="D20" s="277" t="s">
        <v>408</v>
      </c>
      <c r="E20" s="38" t="n">
        <v>1</v>
      </c>
      <c r="F20" s="285" t="s">
        <v>391</v>
      </c>
      <c r="G20" s="280" t="n">
        <v>123.67</v>
      </c>
      <c r="H20" s="281"/>
      <c r="I20" s="80"/>
      <c r="J20" s="277" t="n">
        <f aca="false">'Ocorrências Mensais - FAT'!G37</f>
        <v>0.0833333333333333</v>
      </c>
      <c r="K20" s="282" t="n">
        <f aca="false">G20*J20</f>
        <v>10.3058333333333</v>
      </c>
      <c r="L20" s="49" t="n">
        <f aca="false">IF(F20="MENSAL",1,IF(F20="BIMESTRAL",2,IF(F20="TRIMESTRAL",3,IF(F20="QUADRIMESTRAL",4,IF(F20="SEMESTRAL",6,IF(F20="ANUAL",12,IF(F20="BIENAL",24,"")))))))</f>
        <v>12</v>
      </c>
      <c r="N20" s="283" t="n">
        <v>1.48</v>
      </c>
      <c r="O20" s="49" t="n">
        <f aca="false">ROUND(IF(Dados!$J$56="SIM",N20*Dados!$N$56,N20),2)</f>
        <v>1.48</v>
      </c>
      <c r="P20" s="49" t="n">
        <f aca="false">ROUND(IF(Dados!$J$57="SIM",O20*Dados!$N$57,O20),2)</f>
        <v>1.48</v>
      </c>
      <c r="Q20" s="49" t="n">
        <f aca="false">ROUND(IF(Dados!$J$58="SIM",P20*Dados!$N$58,P20),2)</f>
        <v>1.48</v>
      </c>
      <c r="R20" s="49" t="n">
        <f aca="false">ROUND(IF(Dados!$J$59="SIM",Q20*Dados!$N$59,Q20),2)</f>
        <v>1.48</v>
      </c>
      <c r="S20" s="96" t="n">
        <f aca="false">ROUND(IF(Dados!$J$60="SIM",R20*Dados!$N$60,R20),2)</f>
        <v>1.48</v>
      </c>
    </row>
    <row r="21" s="81" customFormat="true" ht="79.1" hidden="false" customHeight="false" outlineLevel="0" collapsed="false">
      <c r="A21" s="275" t="n">
        <v>13</v>
      </c>
      <c r="B21" s="284" t="s">
        <v>409</v>
      </c>
      <c r="C21" s="277" t="s">
        <v>387</v>
      </c>
      <c r="D21" s="277" t="s">
        <v>410</v>
      </c>
      <c r="E21" s="38" t="n">
        <v>3</v>
      </c>
      <c r="F21" s="285" t="s">
        <v>385</v>
      </c>
      <c r="G21" s="280" t="n">
        <v>4.13</v>
      </c>
      <c r="H21" s="281"/>
      <c r="I21" s="80"/>
      <c r="J21" s="277" t="n">
        <f aca="false">'Ocorrências Mensais - FAT'!G38</f>
        <v>3</v>
      </c>
      <c r="K21" s="282" t="n">
        <f aca="false">G21*J21</f>
        <v>12.39</v>
      </c>
      <c r="L21" s="49" t="n">
        <f aca="false">IF(F21="MENSAL",1,IF(F21="BIMESTRAL",2,IF(F21="TRIMESTRAL",3,IF(F21="QUADRIMESTRAL",4,IF(F21="SEMESTRAL",6,IF(F21="ANUAL",12,IF(F21="BIENAL",24,"")))))))</f>
        <v>1</v>
      </c>
      <c r="N21" s="283" t="n">
        <v>1</v>
      </c>
      <c r="O21" s="49" t="n">
        <f aca="false">ROUND(IF(Dados!$J$56="SIM",N21*Dados!$N$56,N21),2)</f>
        <v>1</v>
      </c>
      <c r="P21" s="49" t="n">
        <f aca="false">ROUND(IF(Dados!$J$57="SIM",O21*Dados!$N$57,O21),2)</f>
        <v>1</v>
      </c>
      <c r="Q21" s="49" t="n">
        <f aca="false">ROUND(IF(Dados!$J$58="SIM",P21*Dados!$N$58,P21),2)</f>
        <v>1</v>
      </c>
      <c r="R21" s="49" t="n">
        <f aca="false">ROUND(IF(Dados!$J$59="SIM",Q21*Dados!$N$59,Q21),2)</f>
        <v>1</v>
      </c>
      <c r="S21" s="96" t="n">
        <f aca="false">ROUND(IF(Dados!$J$60="SIM",R21*Dados!$N$60,R21),2)</f>
        <v>1</v>
      </c>
    </row>
    <row r="22" s="81" customFormat="true" ht="20.85" hidden="false" customHeight="false" outlineLevel="0" collapsed="false">
      <c r="A22" s="97" t="n">
        <v>14</v>
      </c>
      <c r="B22" s="276" t="s">
        <v>411</v>
      </c>
      <c r="C22" s="277" t="s">
        <v>387</v>
      </c>
      <c r="D22" s="277" t="s">
        <v>412</v>
      </c>
      <c r="E22" s="38" t="n">
        <v>1</v>
      </c>
      <c r="F22" s="285" t="s">
        <v>413</v>
      </c>
      <c r="G22" s="280" t="n">
        <v>10.7</v>
      </c>
      <c r="H22" s="281"/>
      <c r="I22" s="80"/>
      <c r="J22" s="277" t="n">
        <f aca="false">'Ocorrências Mensais - FAT'!G39</f>
        <v>0.166666666666667</v>
      </c>
      <c r="K22" s="282" t="n">
        <f aca="false">G22*J22</f>
        <v>1.78333333333333</v>
      </c>
      <c r="L22" s="49" t="n">
        <f aca="false">IF(F22="MENSAL",1,IF(F22="BIMESTRAL",2,IF(F22="TRIMESTRAL",3,IF(F22="QUADRIMESTRAL",4,IF(F22="SEMESTRAL",6,IF(F22="ANUAL",12,IF(F22="BIENAL",24,"")))))))</f>
        <v>6</v>
      </c>
      <c r="N22" s="283" t="n">
        <v>1.4</v>
      </c>
      <c r="O22" s="49" t="n">
        <f aca="false">ROUND(IF(Dados!$J$56="SIM",N22*Dados!$N$56,N22),2)</f>
        <v>1.4</v>
      </c>
      <c r="P22" s="49" t="n">
        <f aca="false">ROUND(IF(Dados!$J$57="SIM",O22*Dados!$N$57,O22),2)</f>
        <v>1.4</v>
      </c>
      <c r="Q22" s="49" t="n">
        <f aca="false">ROUND(IF(Dados!$J$58="SIM",P22*Dados!$N$58,P22),2)</f>
        <v>1.4</v>
      </c>
      <c r="R22" s="49" t="n">
        <f aca="false">ROUND(IF(Dados!$J$59="SIM",Q22*Dados!$N$59,Q22),2)</f>
        <v>1.4</v>
      </c>
      <c r="S22" s="96" t="n">
        <f aca="false">ROUND(IF(Dados!$J$60="SIM",R22*Dados!$N$60,R22),2)</f>
        <v>1.4</v>
      </c>
    </row>
    <row r="23" s="81" customFormat="true" ht="40.25" hidden="false" customHeight="false" outlineLevel="0" collapsed="false">
      <c r="A23" s="97" t="n">
        <v>15</v>
      </c>
      <c r="B23" s="284" t="s">
        <v>414</v>
      </c>
      <c r="C23" s="277" t="s">
        <v>387</v>
      </c>
      <c r="D23" s="277" t="s">
        <v>415</v>
      </c>
      <c r="E23" s="38" t="n">
        <v>1</v>
      </c>
      <c r="F23" s="285" t="s">
        <v>391</v>
      </c>
      <c r="G23" s="280" t="n">
        <v>77.46</v>
      </c>
      <c r="H23" s="281"/>
      <c r="I23" s="80"/>
      <c r="J23" s="277" t="n">
        <f aca="false">'Ocorrências Mensais - FAT'!G40</f>
        <v>0.0833333333333333</v>
      </c>
      <c r="K23" s="282" t="n">
        <f aca="false">G23*J23</f>
        <v>6.455</v>
      </c>
      <c r="L23" s="49" t="n">
        <f aca="false">IF(F23="MENSAL",1,IF(F23="BIMESTRAL",2,IF(F23="TRIMESTRAL",3,IF(F23="QUADRIMESTRAL",4,IF(F23="SEMESTRAL",6,IF(F23="ANUAL",12,IF(F23="BIENAL",24,"")))))))</f>
        <v>12</v>
      </c>
      <c r="N23" s="283" t="n">
        <v>9.1</v>
      </c>
      <c r="O23" s="49" t="n">
        <f aca="false">ROUND(IF(Dados!$J$56="SIM",N23*Dados!$N$56,N23),2)</f>
        <v>9.1</v>
      </c>
      <c r="P23" s="49" t="n">
        <f aca="false">ROUND(IF(Dados!$J$57="SIM",O23*Dados!$N$57,O23),2)</f>
        <v>9.1</v>
      </c>
      <c r="Q23" s="49" t="n">
        <f aca="false">ROUND(IF(Dados!$J$58="SIM",P23*Dados!$N$58,P23),2)</f>
        <v>9.1</v>
      </c>
      <c r="R23" s="49" t="n">
        <f aca="false">ROUND(IF(Dados!$J$59="SIM",Q23*Dados!$N$59,Q23),2)</f>
        <v>9.1</v>
      </c>
      <c r="S23" s="96" t="n">
        <f aca="false">ROUND(IF(Dados!$J$60="SIM",R23*Dados!$N$60,R23),2)</f>
        <v>9.1</v>
      </c>
    </row>
    <row r="24" s="81" customFormat="true" ht="15" hidden="false" customHeight="false" outlineLevel="0" collapsed="false">
      <c r="A24" s="275" t="n">
        <v>16</v>
      </c>
      <c r="B24" s="276" t="s">
        <v>416</v>
      </c>
      <c r="C24" s="277" t="s">
        <v>387</v>
      </c>
      <c r="D24" s="277" t="s">
        <v>417</v>
      </c>
      <c r="E24" s="38" t="n">
        <v>1</v>
      </c>
      <c r="F24" s="285" t="s">
        <v>385</v>
      </c>
      <c r="G24" s="280" t="n">
        <v>17.64</v>
      </c>
      <c r="H24" s="281"/>
      <c r="I24" s="80"/>
      <c r="J24" s="277" t="n">
        <f aca="false">'Ocorrências Mensais - FAT'!G41</f>
        <v>1</v>
      </c>
      <c r="K24" s="282" t="n">
        <f aca="false">G24*J24</f>
        <v>17.64</v>
      </c>
      <c r="L24" s="49" t="n">
        <f aca="false">IF(F24="MENSAL",1,IF(F24="BIMESTRAL",2,IF(F24="TRIMESTRAL",3,IF(F24="QUADRIMESTRAL",4,IF(F24="SEMESTRAL",6,IF(F24="ANUAL",12,IF(F24="BIENAL",24,"")))))))</f>
        <v>1</v>
      </c>
      <c r="N24" s="283" t="n">
        <v>1</v>
      </c>
      <c r="O24" s="49" t="n">
        <f aca="false">ROUND(IF(Dados!$J$56="SIM",N24*Dados!$N$56,N24),2)</f>
        <v>1</v>
      </c>
      <c r="P24" s="49" t="n">
        <f aca="false">ROUND(IF(Dados!$J$57="SIM",O24*Dados!$N$57,O24),2)</f>
        <v>1</v>
      </c>
      <c r="Q24" s="49" t="n">
        <f aca="false">ROUND(IF(Dados!$J$58="SIM",P24*Dados!$N$58,P24),2)</f>
        <v>1</v>
      </c>
      <c r="R24" s="49" t="n">
        <f aca="false">ROUND(IF(Dados!$J$59="SIM",Q24*Dados!$N$59,Q24),2)</f>
        <v>1</v>
      </c>
      <c r="S24" s="96" t="n">
        <f aca="false">ROUND(IF(Dados!$J$60="SIM",R24*Dados!$N$60,R24),2)</f>
        <v>1</v>
      </c>
    </row>
    <row r="25" s="81" customFormat="true" ht="40.25" hidden="false" customHeight="false" outlineLevel="0" collapsed="false">
      <c r="A25" s="97" t="n">
        <v>17</v>
      </c>
      <c r="B25" s="276" t="s">
        <v>418</v>
      </c>
      <c r="C25" s="277" t="s">
        <v>380</v>
      </c>
      <c r="D25" s="277" t="s">
        <v>419</v>
      </c>
      <c r="E25" s="38" t="n">
        <v>1</v>
      </c>
      <c r="F25" s="285" t="s">
        <v>420</v>
      </c>
      <c r="G25" s="280" t="n">
        <v>35.15</v>
      </c>
      <c r="H25" s="281"/>
      <c r="I25" s="80"/>
      <c r="J25" s="277" t="n">
        <f aca="false">'Ocorrências Mensais - FAT'!G42</f>
        <v>0.333333333333333</v>
      </c>
      <c r="K25" s="282" t="n">
        <f aca="false">G25*J25</f>
        <v>11.7166666666667</v>
      </c>
      <c r="L25" s="49" t="n">
        <f aca="false">IF(F25="MENSAL",1,IF(F25="BIMESTRAL",2,IF(F25="TRIMESTRAL",3,IF(F25="QUADRIMESTRAL",4,IF(F25="SEMESTRAL",6,IF(F25="ANUAL",12,IF(F25="BIENAL",24,"")))))))</f>
        <v>3</v>
      </c>
      <c r="N25" s="283" t="n">
        <v>1.59</v>
      </c>
      <c r="O25" s="49" t="n">
        <f aca="false">ROUND(IF(Dados!$J$56="SIM",N25*Dados!$N$56,N25),2)</f>
        <v>1.59</v>
      </c>
      <c r="P25" s="49" t="n">
        <f aca="false">ROUND(IF(Dados!$J$57="SIM",O25*Dados!$N$57,O25),2)</f>
        <v>1.59</v>
      </c>
      <c r="Q25" s="49" t="n">
        <f aca="false">ROUND(IF(Dados!$J$58="SIM",P25*Dados!$N$58,P25),2)</f>
        <v>1.59</v>
      </c>
      <c r="R25" s="49" t="n">
        <f aca="false">ROUND(IF(Dados!$J$59="SIM",Q25*Dados!$N$59,Q25),2)</f>
        <v>1.59</v>
      </c>
      <c r="S25" s="96" t="n">
        <f aca="false">ROUND(IF(Dados!$J$60="SIM",R25*Dados!$N$60,R25),2)</f>
        <v>1.59</v>
      </c>
    </row>
    <row r="26" s="81" customFormat="true" ht="40.25" hidden="false" customHeight="false" outlineLevel="0" collapsed="false">
      <c r="A26" s="97" t="n">
        <v>18</v>
      </c>
      <c r="B26" s="276" t="s">
        <v>421</v>
      </c>
      <c r="C26" s="277" t="s">
        <v>387</v>
      </c>
      <c r="D26" s="277" t="s">
        <v>417</v>
      </c>
      <c r="E26" s="38" t="n">
        <v>2</v>
      </c>
      <c r="F26" s="285" t="s">
        <v>385</v>
      </c>
      <c r="G26" s="280" t="n">
        <v>6.3</v>
      </c>
      <c r="H26" s="281"/>
      <c r="I26" s="80"/>
      <c r="J26" s="277" t="n">
        <f aca="false">'Ocorrências Mensais - FAT'!G43</f>
        <v>2</v>
      </c>
      <c r="K26" s="282" t="n">
        <f aca="false">G26*J26</f>
        <v>12.6</v>
      </c>
      <c r="L26" s="49" t="n">
        <f aca="false">IF(F26="MENSAL",1,IF(F26="BIMESTRAL",2,IF(F26="TRIMESTRAL",3,IF(F26="QUADRIMESTRAL",4,IF(F26="SEMESTRAL",6,IF(F26="ANUAL",12,IF(F26="BIENAL",24,"")))))))</f>
        <v>1</v>
      </c>
      <c r="N26" s="283" t="n">
        <v>10.9</v>
      </c>
      <c r="O26" s="49" t="n">
        <f aca="false">ROUND(IF(Dados!$J$56="SIM",N26*Dados!$N$56,N26),2)</f>
        <v>10.9</v>
      </c>
      <c r="P26" s="49" t="n">
        <f aca="false">ROUND(IF(Dados!$J$57="SIM",O26*Dados!$N$57,O26),2)</f>
        <v>10.9</v>
      </c>
      <c r="Q26" s="49" t="n">
        <f aca="false">ROUND(IF(Dados!$J$58="SIM",P26*Dados!$N$58,P26),2)</f>
        <v>10.9</v>
      </c>
      <c r="R26" s="49" t="n">
        <f aca="false">ROUND(IF(Dados!$J$59="SIM",Q26*Dados!$N$59,Q26),2)</f>
        <v>10.9</v>
      </c>
      <c r="S26" s="96" t="n">
        <f aca="false">ROUND(IF(Dados!$J$60="SIM",R26*Dados!$N$60,R26),2)</f>
        <v>10.9</v>
      </c>
    </row>
    <row r="27" s="81" customFormat="true" ht="40.25" hidden="false" customHeight="false" outlineLevel="0" collapsed="false">
      <c r="A27" s="275" t="n">
        <v>19</v>
      </c>
      <c r="B27" s="276" t="s">
        <v>422</v>
      </c>
      <c r="C27" s="277" t="s">
        <v>423</v>
      </c>
      <c r="D27" s="277" t="s">
        <v>424</v>
      </c>
      <c r="E27" s="38" t="n">
        <v>2</v>
      </c>
      <c r="F27" s="285" t="s">
        <v>385</v>
      </c>
      <c r="G27" s="280" t="n">
        <v>14.16</v>
      </c>
      <c r="H27" s="281"/>
      <c r="I27" s="80"/>
      <c r="J27" s="277" t="n">
        <f aca="false">'Ocorrências Mensais - FAT'!G44</f>
        <v>2</v>
      </c>
      <c r="K27" s="282" t="n">
        <f aca="false">G27*J27</f>
        <v>28.32</v>
      </c>
      <c r="L27" s="49" t="n">
        <f aca="false">IF(F27="MENSAL",1,IF(F27="BIMESTRAL",2,IF(F27="TRIMESTRAL",3,IF(F27="QUADRIMESTRAL",4,IF(F27="SEMESTRAL",6,IF(F27="ANUAL",12,IF(F27="BIENAL",24,"")))))))</f>
        <v>1</v>
      </c>
      <c r="N27" s="283" t="n">
        <v>3</v>
      </c>
      <c r="O27" s="49" t="n">
        <f aca="false">ROUND(IF(Dados!$J$56="SIM",N27*Dados!$N$56,N27),2)</f>
        <v>3</v>
      </c>
      <c r="P27" s="49" t="n">
        <f aca="false">ROUND(IF(Dados!$J$57="SIM",O27*Dados!$N$57,O27),2)</f>
        <v>3</v>
      </c>
      <c r="Q27" s="49" t="n">
        <f aca="false">ROUND(IF(Dados!$J$58="SIM",P27*Dados!$N$58,P27),2)</f>
        <v>3</v>
      </c>
      <c r="R27" s="49" t="n">
        <f aca="false">ROUND(IF(Dados!$J$59="SIM",Q27*Dados!$N$59,Q27),2)</f>
        <v>3</v>
      </c>
      <c r="S27" s="96" t="n">
        <f aca="false">ROUND(IF(Dados!$J$60="SIM",R27*Dados!$N$60,R27),2)</f>
        <v>3</v>
      </c>
    </row>
    <row r="28" s="81" customFormat="true" ht="20.85" hidden="false" customHeight="false" outlineLevel="0" collapsed="false">
      <c r="A28" s="97" t="n">
        <v>20</v>
      </c>
      <c r="B28" s="276" t="s">
        <v>425</v>
      </c>
      <c r="C28" s="277" t="s">
        <v>387</v>
      </c>
      <c r="D28" s="277" t="s">
        <v>426</v>
      </c>
      <c r="E28" s="38" t="n">
        <v>1</v>
      </c>
      <c r="F28" s="285" t="s">
        <v>391</v>
      </c>
      <c r="G28" s="280" t="n">
        <v>224.33</v>
      </c>
      <c r="H28" s="281"/>
      <c r="I28" s="80"/>
      <c r="J28" s="277" t="n">
        <f aca="false">'Ocorrências Mensais - FAT'!G45</f>
        <v>0.0833333333333333</v>
      </c>
      <c r="K28" s="282" t="n">
        <f aca="false">G28*J28</f>
        <v>18.6941666666667</v>
      </c>
      <c r="L28" s="49" t="n">
        <f aca="false">IF(F28="MENSAL",1,IF(F28="BIMESTRAL",2,IF(F28="TRIMESTRAL",3,IF(F28="QUADRIMESTRAL",4,IF(F28="SEMESTRAL",6,IF(F28="ANUAL",12,IF(F28="BIENAL",24,"")))))))</f>
        <v>12</v>
      </c>
      <c r="N28" s="283" t="n">
        <v>1</v>
      </c>
      <c r="O28" s="49" t="n">
        <f aca="false">ROUND(IF(Dados!$J$56="SIM",N28*Dados!$N$56,N28),2)</f>
        <v>1</v>
      </c>
      <c r="P28" s="49" t="n">
        <f aca="false">ROUND(IF(Dados!$J$57="SIM",O28*Dados!$N$57,O28),2)</f>
        <v>1</v>
      </c>
      <c r="Q28" s="49" t="n">
        <f aca="false">ROUND(IF(Dados!$J$58="SIM",P28*Dados!$N$58,P28),2)</f>
        <v>1</v>
      </c>
      <c r="R28" s="49" t="n">
        <f aca="false">ROUND(IF(Dados!$J$59="SIM",Q28*Dados!$N$59,Q28),2)</f>
        <v>1</v>
      </c>
      <c r="S28" s="96" t="n">
        <f aca="false">ROUND(IF(Dados!$J$60="SIM",R28*Dados!$N$60,R28),2)</f>
        <v>1</v>
      </c>
    </row>
    <row r="29" s="81" customFormat="true" ht="20.85" hidden="false" customHeight="false" outlineLevel="0" collapsed="false">
      <c r="A29" s="97" t="n">
        <v>21</v>
      </c>
      <c r="B29" s="284" t="s">
        <v>427</v>
      </c>
      <c r="C29" s="277" t="s">
        <v>387</v>
      </c>
      <c r="D29" s="277" t="s">
        <v>424</v>
      </c>
      <c r="E29" s="38" t="n">
        <v>1</v>
      </c>
      <c r="F29" s="285" t="s">
        <v>391</v>
      </c>
      <c r="G29" s="280" t="n">
        <v>11.67</v>
      </c>
      <c r="H29" s="281"/>
      <c r="I29" s="80"/>
      <c r="J29" s="277" t="n">
        <f aca="false">'Ocorrências Mensais - FAT'!G46</f>
        <v>0.0833333333333333</v>
      </c>
      <c r="K29" s="282" t="n">
        <f aca="false">G29*J29</f>
        <v>0.9725</v>
      </c>
      <c r="L29" s="49" t="n">
        <f aca="false">IF(F29="MENSAL",1,IF(F29="BIMESTRAL",2,IF(F29="TRIMESTRAL",3,IF(F29="QUADRIMESTRAL",4,IF(F29="SEMESTRAL",6,IF(F29="ANUAL",12,IF(F29="BIENAL",24,"")))))))</f>
        <v>12</v>
      </c>
      <c r="N29" s="283" t="n">
        <v>2</v>
      </c>
      <c r="O29" s="49" t="n">
        <f aca="false">ROUND(IF(Dados!$J$56="SIM",N29*Dados!$N$56,N29),2)</f>
        <v>2</v>
      </c>
      <c r="P29" s="49" t="n">
        <f aca="false">ROUND(IF(Dados!$J$57="SIM",O29*Dados!$N$57,O29),2)</f>
        <v>2</v>
      </c>
      <c r="Q29" s="49" t="n">
        <f aca="false">ROUND(IF(Dados!$J$58="SIM",P29*Dados!$N$58,P29),2)</f>
        <v>2</v>
      </c>
      <c r="R29" s="49" t="n">
        <f aca="false">ROUND(IF(Dados!$J$59="SIM",Q29*Dados!$N$59,Q29),2)</f>
        <v>2</v>
      </c>
      <c r="S29" s="96" t="n">
        <f aca="false">ROUND(IF(Dados!$J$60="SIM",R29*Dados!$N$60,R29),2)</f>
        <v>2</v>
      </c>
    </row>
    <row r="30" s="81" customFormat="true" ht="59.7" hidden="false" customHeight="false" outlineLevel="0" collapsed="false">
      <c r="A30" s="275" t="n">
        <v>22</v>
      </c>
      <c r="B30" s="284" t="s">
        <v>428</v>
      </c>
      <c r="C30" s="277" t="s">
        <v>429</v>
      </c>
      <c r="D30" s="277" t="s">
        <v>430</v>
      </c>
      <c r="E30" s="38" t="n">
        <v>4</v>
      </c>
      <c r="F30" s="285" t="s">
        <v>382</v>
      </c>
      <c r="G30" s="280" t="n">
        <v>49.85</v>
      </c>
      <c r="H30" s="281"/>
      <c r="I30" s="80"/>
      <c r="J30" s="277" t="n">
        <f aca="false">'Ocorrências Mensais - FAT'!G47</f>
        <v>2</v>
      </c>
      <c r="K30" s="282" t="n">
        <f aca="false">G30*J30</f>
        <v>99.7</v>
      </c>
      <c r="L30" s="49" t="n">
        <f aca="false">IF(F30="MENSAL",1,IF(F30="BIMESTRAL",2,IF(F30="TRIMESTRAL",3,IF(F30="QUADRIMESTRAL",4,IF(F30="SEMESTRAL",6,IF(F30="ANUAL",12,IF(F30="BIENAL",24,"")))))))</f>
        <v>2</v>
      </c>
      <c r="N30" s="283" t="n">
        <v>20</v>
      </c>
      <c r="O30" s="49" t="n">
        <f aca="false">ROUND(IF(Dados!$J$56="SIM",N30*Dados!$N$56,N30),2)</f>
        <v>20</v>
      </c>
      <c r="P30" s="49" t="n">
        <f aca="false">ROUND(IF(Dados!$J$57="SIM",O30*Dados!$N$57,O30),2)</f>
        <v>20</v>
      </c>
      <c r="Q30" s="49" t="n">
        <f aca="false">ROUND(IF(Dados!$J$58="SIM",P30*Dados!$N$58,P30),2)</f>
        <v>20</v>
      </c>
      <c r="R30" s="49" t="n">
        <f aca="false">ROUND(IF(Dados!$J$59="SIM",Q30*Dados!$N$59,Q30),2)</f>
        <v>20</v>
      </c>
      <c r="S30" s="96" t="n">
        <f aca="false">ROUND(IF(Dados!$J$60="SIM",R30*Dados!$N$60,R30),2)</f>
        <v>20</v>
      </c>
    </row>
    <row r="31" s="81" customFormat="true" ht="69.4" hidden="false" customHeight="false" outlineLevel="0" collapsed="false">
      <c r="A31" s="97" t="n">
        <v>23</v>
      </c>
      <c r="B31" s="284" t="s">
        <v>431</v>
      </c>
      <c r="C31" s="277" t="s">
        <v>432</v>
      </c>
      <c r="D31" s="277" t="s">
        <v>430</v>
      </c>
      <c r="E31" s="38" t="n">
        <v>8</v>
      </c>
      <c r="F31" s="285" t="s">
        <v>433</v>
      </c>
      <c r="G31" s="280" t="n">
        <v>42.33</v>
      </c>
      <c r="H31" s="281"/>
      <c r="I31" s="80"/>
      <c r="J31" s="277" t="n">
        <f aca="false">'Ocorrências Mensais - FAT'!G48</f>
        <v>2</v>
      </c>
      <c r="K31" s="282" t="n">
        <f aca="false">G31*J31</f>
        <v>84.66</v>
      </c>
      <c r="L31" s="49" t="n">
        <f aca="false">IF(F31="MENSAL",1,IF(F31="BIMESTRAL",2,IF(F31="TRIMESTRAL",3,IF(F31="QUADRIMESTRAL",4,IF(F31="SEMESTRAL",6,IF(F31="ANUAL",12,IF(F31="BIENAL",24,"")))))))</f>
        <v>4</v>
      </c>
      <c r="N31" s="283" t="n">
        <v>6.3</v>
      </c>
      <c r="O31" s="49" t="n">
        <f aca="false">ROUND(IF(Dados!$J$56="SIM",N31*Dados!$N$56,N31),2)</f>
        <v>6.3</v>
      </c>
      <c r="P31" s="49" t="n">
        <f aca="false">ROUND(IF(Dados!$J$57="SIM",O31*Dados!$N$57,O31),2)</f>
        <v>6.3</v>
      </c>
      <c r="Q31" s="49" t="n">
        <f aca="false">ROUND(IF(Dados!$J$58="SIM",P31*Dados!$N$58,P31),2)</f>
        <v>6.3</v>
      </c>
      <c r="R31" s="49" t="n">
        <f aca="false">ROUND(IF(Dados!$J$59="SIM",Q31*Dados!$N$59,Q31),2)</f>
        <v>6.3</v>
      </c>
      <c r="S31" s="96" t="n">
        <f aca="false">ROUND(IF(Dados!$J$60="SIM",R31*Dados!$N$60,R31),2)</f>
        <v>6.3</v>
      </c>
    </row>
    <row r="32" s="81" customFormat="true" ht="30.55" hidden="false" customHeight="false" outlineLevel="0" collapsed="false">
      <c r="A32" s="97" t="n">
        <v>24</v>
      </c>
      <c r="B32" s="276" t="s">
        <v>434</v>
      </c>
      <c r="C32" s="277" t="s">
        <v>387</v>
      </c>
      <c r="D32" s="277" t="s">
        <v>435</v>
      </c>
      <c r="E32" s="38" t="n">
        <v>2</v>
      </c>
      <c r="F32" s="285" t="s">
        <v>391</v>
      </c>
      <c r="G32" s="280" t="n">
        <v>14.95</v>
      </c>
      <c r="H32" s="281"/>
      <c r="I32" s="80"/>
      <c r="J32" s="277" t="n">
        <f aca="false">'Ocorrências Mensais - FAT'!G49</f>
        <v>0.166666666666667</v>
      </c>
      <c r="K32" s="282" t="n">
        <f aca="false">G32*J32</f>
        <v>2.49166666666667</v>
      </c>
      <c r="L32" s="49" t="n">
        <f aca="false">IF(F32="MENSAL",1,IF(F32="BIMESTRAL",2,IF(F32="TRIMESTRAL",3,IF(F32="QUADRIMESTRAL",4,IF(F32="SEMESTRAL",6,IF(F32="ANUAL",12,IF(F32="BIENAL",24,"")))))))</f>
        <v>12</v>
      </c>
      <c r="N32" s="283" t="n">
        <v>8.99</v>
      </c>
      <c r="O32" s="49" t="n">
        <f aca="false">ROUND(IF(Dados!$J$56="SIM",N32*Dados!$N$56,N32),2)</f>
        <v>8.99</v>
      </c>
      <c r="P32" s="49" t="n">
        <f aca="false">ROUND(IF(Dados!$J$57="SIM",O32*Dados!$N$57,O32),2)</f>
        <v>8.99</v>
      </c>
      <c r="Q32" s="49" t="n">
        <f aca="false">ROUND(IF(Dados!$J$58="SIM",P32*Dados!$N$58,P32),2)</f>
        <v>8.99</v>
      </c>
      <c r="R32" s="49" t="n">
        <f aca="false">ROUND(IF(Dados!$J$59="SIM",Q32*Dados!$N$59,Q32),2)</f>
        <v>8.99</v>
      </c>
      <c r="S32" s="96" t="n">
        <f aca="false">ROUND(IF(Dados!$J$60="SIM",R32*Dados!$N$60,R32),2)</f>
        <v>8.99</v>
      </c>
    </row>
    <row r="33" s="81" customFormat="true" ht="15" hidden="false" customHeight="false" outlineLevel="0" collapsed="false">
      <c r="A33" s="275" t="n">
        <v>25</v>
      </c>
      <c r="B33" s="276" t="s">
        <v>436</v>
      </c>
      <c r="C33" s="277" t="s">
        <v>403</v>
      </c>
      <c r="D33" s="277" t="s">
        <v>437</v>
      </c>
      <c r="E33" s="38" t="n">
        <v>4</v>
      </c>
      <c r="F33" s="285" t="s">
        <v>413</v>
      </c>
      <c r="G33" s="280" t="n">
        <v>10.25</v>
      </c>
      <c r="H33" s="281"/>
      <c r="I33" s="80"/>
      <c r="J33" s="277" t="n">
        <f aca="false">'Ocorrências Mensais - FAT'!G50</f>
        <v>0.666666666666667</v>
      </c>
      <c r="K33" s="282" t="n">
        <f aca="false">G33*J33</f>
        <v>6.83333333333333</v>
      </c>
      <c r="L33" s="49" t="n">
        <f aca="false">IF(F33="MENSAL",1,IF(F33="BIMESTRAL",2,IF(F33="TRIMESTRAL",3,IF(F33="QUADRIMESTRAL",4,IF(F33="SEMESTRAL",6,IF(F33="ANUAL",12,IF(F33="BIENAL",24,"")))))))</f>
        <v>6</v>
      </c>
      <c r="N33" s="283" t="n">
        <v>5</v>
      </c>
      <c r="O33" s="49" t="n">
        <f aca="false">ROUND(IF(Dados!$J$56="SIM",N33*Dados!$N$56,N33),2)</f>
        <v>5</v>
      </c>
      <c r="P33" s="49" t="n">
        <f aca="false">ROUND(IF(Dados!$J$57="SIM",O33*Dados!$N$57,O33),2)</f>
        <v>5</v>
      </c>
      <c r="Q33" s="49" t="n">
        <f aca="false">ROUND(IF(Dados!$J$58="SIM",P33*Dados!$N$58,P33),2)</f>
        <v>5</v>
      </c>
      <c r="R33" s="49" t="n">
        <f aca="false">ROUND(IF(Dados!$J$59="SIM",Q33*Dados!$N$59,Q33),2)</f>
        <v>5</v>
      </c>
      <c r="S33" s="96" t="n">
        <f aca="false">ROUND(IF(Dados!$J$60="SIM",R33*Dados!$N$60,R33),2)</f>
        <v>5</v>
      </c>
    </row>
    <row r="34" s="81" customFormat="true" ht="20.85" hidden="false" customHeight="false" outlineLevel="0" collapsed="false">
      <c r="A34" s="97" t="n">
        <v>26</v>
      </c>
      <c r="B34" s="276" t="s">
        <v>438</v>
      </c>
      <c r="C34" s="277" t="s">
        <v>439</v>
      </c>
      <c r="D34" s="277" t="s">
        <v>440</v>
      </c>
      <c r="E34" s="38" t="n">
        <v>1</v>
      </c>
      <c r="F34" s="285" t="s">
        <v>391</v>
      </c>
      <c r="G34" s="280" t="n">
        <v>16.27</v>
      </c>
      <c r="H34" s="281"/>
      <c r="I34" s="80"/>
      <c r="J34" s="277" t="n">
        <f aca="false">'Ocorrências Mensais - FAT'!G51</f>
        <v>0.0833333333333333</v>
      </c>
      <c r="K34" s="282" t="n">
        <f aca="false">G34*J34</f>
        <v>1.35583333333333</v>
      </c>
      <c r="L34" s="49" t="n">
        <f aca="false">IF(F34="MENSAL",1,IF(F34="BIMESTRAL",2,IF(F34="TRIMESTRAL",3,IF(F34="QUADRIMESTRAL",4,IF(F34="SEMESTRAL",6,IF(F34="ANUAL",12,IF(F34="BIENAL",24,"")))))))</f>
        <v>12</v>
      </c>
      <c r="N34" s="283" t="n">
        <v>1.5</v>
      </c>
      <c r="O34" s="49" t="n">
        <f aca="false">ROUND(IF(Dados!$J$56="SIM",N34*Dados!$N$56,N34),2)</f>
        <v>1.5</v>
      </c>
      <c r="P34" s="49" t="n">
        <f aca="false">ROUND(IF(Dados!$J$57="SIM",O34*Dados!$N$57,O34),2)</f>
        <v>1.5</v>
      </c>
      <c r="Q34" s="49" t="n">
        <f aca="false">ROUND(IF(Dados!$J$58="SIM",P34*Dados!$N$58,P34),2)</f>
        <v>1.5</v>
      </c>
      <c r="R34" s="49" t="n">
        <f aca="false">ROUND(IF(Dados!$J$59="SIM",Q34*Dados!$N$59,Q34),2)</f>
        <v>1.5</v>
      </c>
      <c r="S34" s="96" t="n">
        <f aca="false">ROUND(IF(Dados!$J$60="SIM",R34*Dados!$N$60,R34),2)</f>
        <v>1.5</v>
      </c>
    </row>
    <row r="35" s="81" customFormat="true" ht="15" hidden="false" customHeight="false" outlineLevel="0" collapsed="false">
      <c r="A35" s="97" t="n">
        <v>27</v>
      </c>
      <c r="B35" s="276" t="s">
        <v>441</v>
      </c>
      <c r="C35" s="277" t="s">
        <v>442</v>
      </c>
      <c r="D35" s="277" t="s">
        <v>443</v>
      </c>
      <c r="E35" s="38" t="n">
        <v>1</v>
      </c>
      <c r="F35" s="285" t="s">
        <v>391</v>
      </c>
      <c r="G35" s="280" t="n">
        <v>6.02</v>
      </c>
      <c r="H35" s="281"/>
      <c r="I35" s="80"/>
      <c r="J35" s="277" t="n">
        <f aca="false">'Ocorrências Mensais - FAT'!G52</f>
        <v>0.0833333333333333</v>
      </c>
      <c r="K35" s="282" t="n">
        <f aca="false">G35*J35</f>
        <v>0.501666666666667</v>
      </c>
      <c r="L35" s="49" t="n">
        <f aca="false">IF(F35="MENSAL",1,IF(F35="BIMESTRAL",2,IF(F35="TRIMESTRAL",3,IF(F35="QUADRIMESTRAL",4,IF(F35="SEMESTRAL",6,IF(F35="ANUAL",12,IF(F35="BIENAL",24,"")))))))</f>
        <v>12</v>
      </c>
      <c r="N35" s="283" t="n">
        <v>3.2</v>
      </c>
      <c r="O35" s="49" t="n">
        <f aca="false">ROUND(IF(Dados!$J$56="SIM",N35*Dados!$N$56,N35),2)</f>
        <v>3.2</v>
      </c>
      <c r="P35" s="49" t="n">
        <f aca="false">ROUND(IF(Dados!$J$57="SIM",O35*Dados!$N$57,O35),2)</f>
        <v>3.2</v>
      </c>
      <c r="Q35" s="49" t="n">
        <f aca="false">ROUND(IF(Dados!$J$58="SIM",P35*Dados!$N$58,P35),2)</f>
        <v>3.2</v>
      </c>
      <c r="R35" s="49" t="n">
        <f aca="false">ROUND(IF(Dados!$J$59="SIM",Q35*Dados!$N$59,Q35),2)</f>
        <v>3.2</v>
      </c>
      <c r="S35" s="96" t="n">
        <f aca="false">ROUND(IF(Dados!$J$60="SIM",R35*Dados!$N$60,R35),2)</f>
        <v>3.2</v>
      </c>
    </row>
    <row r="36" s="81" customFormat="true" ht="20.85" hidden="false" customHeight="false" outlineLevel="0" collapsed="false">
      <c r="A36" s="275" t="n">
        <v>28</v>
      </c>
      <c r="B36" s="276" t="s">
        <v>444</v>
      </c>
      <c r="C36" s="277" t="s">
        <v>380</v>
      </c>
      <c r="D36" s="277" t="s">
        <v>445</v>
      </c>
      <c r="E36" s="38" t="n">
        <v>1</v>
      </c>
      <c r="F36" s="285" t="s">
        <v>382</v>
      </c>
      <c r="G36" s="280" t="n">
        <v>20.52</v>
      </c>
      <c r="H36" s="281"/>
      <c r="I36" s="80"/>
      <c r="J36" s="277" t="n">
        <f aca="false">'Ocorrências Mensais - FAT'!G53</f>
        <v>0.5</v>
      </c>
      <c r="K36" s="282" t="n">
        <f aca="false">G36*J36</f>
        <v>10.26</v>
      </c>
      <c r="L36" s="49" t="n">
        <f aca="false">IF(F36="MENSAL",1,IF(F36="BIMESTRAL",2,IF(F36="TRIMESTRAL",3,IF(F36="QUADRIMESTRAL",4,IF(F36="SEMESTRAL",6,IF(F36="ANUAL",12,IF(F36="BIENAL",24,"")))))))</f>
        <v>2</v>
      </c>
      <c r="N36" s="283" t="n">
        <v>3.99</v>
      </c>
      <c r="O36" s="49" t="n">
        <f aca="false">ROUND(IF(Dados!$J$56="SIM",N36*Dados!$N$56,N36),2)</f>
        <v>3.99</v>
      </c>
      <c r="P36" s="49" t="n">
        <f aca="false">ROUND(IF(Dados!$J$57="SIM",O36*Dados!$N$57,O36),2)</f>
        <v>3.99</v>
      </c>
      <c r="Q36" s="49" t="n">
        <f aca="false">ROUND(IF(Dados!$J$58="SIM",P36*Dados!$N$58,P36),2)</f>
        <v>3.99</v>
      </c>
      <c r="R36" s="49" t="n">
        <f aca="false">ROUND(IF(Dados!$J$59="SIM",Q36*Dados!$N$59,Q36),2)</f>
        <v>3.99</v>
      </c>
      <c r="S36" s="96" t="n">
        <f aca="false">ROUND(IF(Dados!$J$60="SIM",R36*Dados!$N$60,R36),2)</f>
        <v>3.99</v>
      </c>
    </row>
    <row r="37" s="81" customFormat="true" ht="20.85" hidden="false" customHeight="false" outlineLevel="0" collapsed="false">
      <c r="A37" s="97" t="n">
        <v>29</v>
      </c>
      <c r="B37" s="284" t="s">
        <v>446</v>
      </c>
      <c r="C37" s="277" t="s">
        <v>387</v>
      </c>
      <c r="D37" s="277" t="s">
        <v>447</v>
      </c>
      <c r="E37" s="38" t="n">
        <v>10</v>
      </c>
      <c r="F37" s="285" t="s">
        <v>413</v>
      </c>
      <c r="G37" s="280" t="n">
        <v>10.85</v>
      </c>
      <c r="H37" s="281"/>
      <c r="I37" s="80"/>
      <c r="J37" s="277" t="n">
        <f aca="false">'Ocorrências Mensais - FAT'!G54</f>
        <v>1.66666666666667</v>
      </c>
      <c r="K37" s="282" t="n">
        <f aca="false">G37*J37</f>
        <v>18.0833333333333</v>
      </c>
      <c r="L37" s="49" t="n">
        <f aca="false">IF(F37="MENSAL",1,IF(F37="BIMESTRAL",2,IF(F37="TRIMESTRAL",3,IF(F37="QUADRIMESTRAL",4,IF(F37="SEMESTRAL",6,IF(F37="ANUAL",12,IF(F37="BIENAL",24,"")))))))</f>
        <v>6</v>
      </c>
      <c r="N37" s="283" t="n">
        <v>1.4</v>
      </c>
      <c r="O37" s="49" t="n">
        <f aca="false">ROUND(IF(Dados!$J$56="SIM",N37*Dados!$N$56,N37),2)</f>
        <v>1.4</v>
      </c>
      <c r="P37" s="49" t="n">
        <f aca="false">ROUND(IF(Dados!$J$57="SIM",O37*Dados!$N$57,O37),2)</f>
        <v>1.4</v>
      </c>
      <c r="Q37" s="49" t="n">
        <f aca="false">ROUND(IF(Dados!$J$58="SIM",P37*Dados!$N$58,P37),2)</f>
        <v>1.4</v>
      </c>
      <c r="R37" s="49" t="n">
        <f aca="false">ROUND(IF(Dados!$J$59="SIM",Q37*Dados!$N$59,Q37),2)</f>
        <v>1.4</v>
      </c>
      <c r="S37" s="96" t="n">
        <f aca="false">ROUND(IF(Dados!$J$60="SIM",R37*Dados!$N$60,R37),2)</f>
        <v>1.4</v>
      </c>
    </row>
    <row r="38" s="81" customFormat="true" ht="30.55" hidden="false" customHeight="false" outlineLevel="0" collapsed="false">
      <c r="A38" s="97" t="n">
        <v>30</v>
      </c>
      <c r="B38" s="284" t="s">
        <v>448</v>
      </c>
      <c r="C38" s="277" t="s">
        <v>449</v>
      </c>
      <c r="D38" s="277" t="s">
        <v>450</v>
      </c>
      <c r="E38" s="38" t="n">
        <v>1</v>
      </c>
      <c r="F38" s="285" t="s">
        <v>385</v>
      </c>
      <c r="G38" s="280" t="n">
        <v>59.17</v>
      </c>
      <c r="H38" s="281"/>
      <c r="I38" s="80"/>
      <c r="J38" s="277" t="n">
        <f aca="false">'Ocorrências Mensais - FAT'!G55</f>
        <v>1</v>
      </c>
      <c r="K38" s="282" t="n">
        <f aca="false">G38*J38</f>
        <v>59.17</v>
      </c>
      <c r="L38" s="49" t="n">
        <f aca="false">IF(F38="MENSAL",1,IF(F38="BIMESTRAL",2,IF(F38="TRIMESTRAL",3,IF(F38="QUADRIMESTRAL",4,IF(F38="SEMESTRAL",6,IF(F38="ANUAL",12,IF(F38="BIENAL",24,"")))))))</f>
        <v>1</v>
      </c>
      <c r="N38" s="283"/>
      <c r="O38" s="49"/>
      <c r="P38" s="49"/>
      <c r="Q38" s="49"/>
      <c r="R38" s="49"/>
      <c r="S38" s="96"/>
    </row>
    <row r="39" s="81" customFormat="true" ht="30.55" hidden="false" customHeight="false" outlineLevel="0" collapsed="false">
      <c r="A39" s="275" t="n">
        <v>31</v>
      </c>
      <c r="B39" s="284" t="s">
        <v>451</v>
      </c>
      <c r="C39" s="277" t="s">
        <v>449</v>
      </c>
      <c r="D39" s="277" t="s">
        <v>452</v>
      </c>
      <c r="E39" s="38" t="n">
        <v>2</v>
      </c>
      <c r="F39" s="285" t="s">
        <v>385</v>
      </c>
      <c r="G39" s="280" t="n">
        <v>16.1</v>
      </c>
      <c r="H39" s="281"/>
      <c r="I39" s="80"/>
      <c r="J39" s="277" t="n">
        <f aca="false">'Ocorrências Mensais - FAT'!G56</f>
        <v>2</v>
      </c>
      <c r="K39" s="282" t="n">
        <f aca="false">G39*J39</f>
        <v>32.2</v>
      </c>
      <c r="L39" s="49"/>
      <c r="N39" s="283"/>
      <c r="O39" s="49"/>
      <c r="P39" s="49"/>
      <c r="Q39" s="49"/>
      <c r="R39" s="49"/>
      <c r="S39" s="96"/>
    </row>
    <row r="40" s="81" customFormat="true" ht="20.85" hidden="false" customHeight="false" outlineLevel="0" collapsed="false">
      <c r="A40" s="97" t="n">
        <v>32</v>
      </c>
      <c r="B40" s="284" t="s">
        <v>453</v>
      </c>
      <c r="C40" s="277" t="s">
        <v>387</v>
      </c>
      <c r="D40" s="277" t="s">
        <v>393</v>
      </c>
      <c r="E40" s="38" t="n">
        <v>1</v>
      </c>
      <c r="F40" s="285" t="s">
        <v>391</v>
      </c>
      <c r="G40" s="280" t="n">
        <v>21.58</v>
      </c>
      <c r="H40" s="281"/>
      <c r="I40" s="80"/>
      <c r="J40" s="277" t="n">
        <f aca="false">'Ocorrências Mensais - FAT'!G57</f>
        <v>0.0833333333333333</v>
      </c>
      <c r="K40" s="282" t="n">
        <f aca="false">G40*J40</f>
        <v>1.79833333333333</v>
      </c>
      <c r="L40" s="49"/>
      <c r="N40" s="283"/>
      <c r="O40" s="49"/>
      <c r="P40" s="49"/>
      <c r="Q40" s="49"/>
      <c r="R40" s="49"/>
      <c r="S40" s="96"/>
    </row>
    <row r="41" s="81" customFormat="true" ht="20.85" hidden="false" customHeight="false" outlineLevel="0" collapsed="false">
      <c r="A41" s="97" t="n">
        <v>33</v>
      </c>
      <c r="B41" s="284" t="s">
        <v>454</v>
      </c>
      <c r="C41" s="277" t="s">
        <v>387</v>
      </c>
      <c r="D41" s="277" t="s">
        <v>435</v>
      </c>
      <c r="E41" s="38" t="n">
        <v>1</v>
      </c>
      <c r="F41" s="285" t="s">
        <v>391</v>
      </c>
      <c r="G41" s="280" t="n">
        <v>15.98</v>
      </c>
      <c r="H41" s="281"/>
      <c r="I41" s="80"/>
      <c r="J41" s="277" t="n">
        <f aca="false">'Ocorrências Mensais - FAT'!G58</f>
        <v>0.0833333333333333</v>
      </c>
      <c r="K41" s="282" t="n">
        <f aca="false">G41*J41</f>
        <v>1.33166666666667</v>
      </c>
      <c r="L41" s="49"/>
      <c r="N41" s="283"/>
      <c r="O41" s="49"/>
      <c r="P41" s="49"/>
      <c r="Q41" s="49"/>
      <c r="R41" s="49"/>
      <c r="S41" s="96"/>
    </row>
    <row r="42" s="81" customFormat="true" ht="20.85" hidden="false" customHeight="false" outlineLevel="0" collapsed="false">
      <c r="A42" s="275" t="n">
        <v>34</v>
      </c>
      <c r="B42" s="284" t="s">
        <v>455</v>
      </c>
      <c r="C42" s="277" t="s">
        <v>387</v>
      </c>
      <c r="D42" s="277" t="s">
        <v>393</v>
      </c>
      <c r="E42" s="38" t="n">
        <v>1</v>
      </c>
      <c r="F42" s="285" t="s">
        <v>391</v>
      </c>
      <c r="G42" s="280" t="n">
        <v>13.84</v>
      </c>
      <c r="H42" s="281"/>
      <c r="I42" s="80"/>
      <c r="J42" s="277" t="n">
        <f aca="false">'Ocorrências Mensais - FAT'!G59</f>
        <v>0.0833333333333333</v>
      </c>
      <c r="K42" s="282" t="n">
        <f aca="false">G42*J42</f>
        <v>1.15333333333333</v>
      </c>
      <c r="L42" s="49"/>
      <c r="N42" s="283"/>
      <c r="O42" s="49"/>
      <c r="P42" s="49"/>
      <c r="Q42" s="49"/>
      <c r="R42" s="49"/>
      <c r="S42" s="96"/>
    </row>
    <row r="43" s="81" customFormat="true" ht="59.7" hidden="false" customHeight="false" outlineLevel="0" collapsed="false">
      <c r="A43" s="97" t="n">
        <v>35</v>
      </c>
      <c r="B43" s="276" t="s">
        <v>456</v>
      </c>
      <c r="C43" s="277" t="s">
        <v>387</v>
      </c>
      <c r="D43" s="277" t="s">
        <v>415</v>
      </c>
      <c r="E43" s="38" t="n">
        <v>2</v>
      </c>
      <c r="F43" s="285" t="s">
        <v>391</v>
      </c>
      <c r="G43" s="280" t="n">
        <v>580.22</v>
      </c>
      <c r="H43" s="281"/>
      <c r="I43" s="80"/>
      <c r="J43" s="277" t="n">
        <f aca="false">'Ocorrências Mensais - FAT'!G60</f>
        <v>0.166666666666667</v>
      </c>
      <c r="K43" s="282" t="n">
        <f aca="false">G43*J43</f>
        <v>96.7033333333333</v>
      </c>
      <c r="L43" s="49" t="n">
        <f aca="false">IF(F43="MENSAL",1,IF(F43="BIMESTRAL",2,IF(F43="TRIMESTRAL",3,IF(F43="QUADRIMESTRAL",4,IF(F43="SEMESTRAL",6,IF(F43="ANUAL",12,IF(F43="BIENAL",24,"")))))))</f>
        <v>12</v>
      </c>
      <c r="N43" s="283" t="n">
        <v>2.04</v>
      </c>
      <c r="O43" s="49" t="n">
        <f aca="false">ROUND(IF(Dados!$J$56="SIM",N43*Dados!$N$56,N43),2)</f>
        <v>2.04</v>
      </c>
      <c r="P43" s="49" t="n">
        <f aca="false">ROUND(IF(Dados!$J$57="SIM",O43*Dados!$N$57,O43),2)</f>
        <v>2.04</v>
      </c>
      <c r="Q43" s="49" t="n">
        <f aca="false">ROUND(IF(Dados!$J$58="SIM",P43*Dados!$N$58,P43),2)</f>
        <v>2.04</v>
      </c>
      <c r="R43" s="49" t="n">
        <f aca="false">ROUND(IF(Dados!$J$59="SIM",Q43*Dados!$N$59,Q43),2)</f>
        <v>2.04</v>
      </c>
      <c r="S43" s="96" t="n">
        <f aca="false">ROUND(IF(Dados!$J$60="SIM",R43*Dados!$N$60,R43),2)</f>
        <v>2.04</v>
      </c>
    </row>
    <row r="44" customFormat="false" ht="15" hidden="false" customHeight="false" outlineLevel="0" collapsed="false">
      <c r="A44" s="287"/>
      <c r="B44" s="287"/>
      <c r="C44" s="287"/>
      <c r="D44" s="287"/>
      <c r="E44" s="287"/>
      <c r="F44" s="287"/>
      <c r="G44" s="287"/>
      <c r="H44" s="288"/>
      <c r="I44" s="70"/>
      <c r="J44" s="289" t="s">
        <v>193</v>
      </c>
      <c r="K44" s="290" t="n">
        <f aca="false">SUM(K9:K43)</f>
        <v>743.7275</v>
      </c>
      <c r="N44" s="291"/>
      <c r="O44" s="75"/>
      <c r="P44" s="75"/>
      <c r="Q44" s="75"/>
      <c r="R44" s="75"/>
      <c r="S44" s="75"/>
    </row>
    <row r="45" customFormat="false" ht="15" hidden="false" customHeight="false" outlineLevel="0" collapsed="false">
      <c r="A45" s="292"/>
      <c r="H45" s="293"/>
      <c r="N45" s="291"/>
      <c r="O45" s="75"/>
      <c r="P45" s="75"/>
      <c r="Q45" s="75"/>
      <c r="R45" s="75"/>
      <c r="S45" s="75"/>
    </row>
    <row r="46" customFormat="false" ht="18.75" hidden="false" customHeight="true" outlineLevel="0" collapsed="false">
      <c r="A46" s="262" t="s">
        <v>457</v>
      </c>
      <c r="B46" s="262"/>
      <c r="C46" s="262"/>
      <c r="D46" s="262"/>
      <c r="E46" s="262"/>
      <c r="F46" s="262"/>
      <c r="G46" s="262"/>
      <c r="H46" s="262"/>
      <c r="I46" s="81"/>
      <c r="J46" s="81"/>
      <c r="L46" s="81"/>
      <c r="N46" s="74" t="s">
        <v>371</v>
      </c>
      <c r="O46" s="74"/>
      <c r="P46" s="74"/>
      <c r="Q46" s="74"/>
      <c r="R46" s="74"/>
      <c r="S46" s="74"/>
    </row>
    <row r="47" customFormat="false" ht="15" hidden="false" customHeight="true" outlineLevel="0" collapsed="false">
      <c r="A47" s="294"/>
      <c r="B47" s="80"/>
      <c r="C47" s="80"/>
      <c r="D47" s="80"/>
      <c r="E47" s="80"/>
      <c r="F47" s="80"/>
      <c r="G47" s="80"/>
      <c r="H47" s="295"/>
      <c r="I47" s="81"/>
      <c r="J47" s="81"/>
      <c r="L47" s="81"/>
      <c r="N47" s="74"/>
      <c r="O47" s="74"/>
      <c r="P47" s="74"/>
      <c r="Q47" s="74"/>
      <c r="R47" s="74"/>
      <c r="S47" s="74"/>
    </row>
    <row r="48" customFormat="false" ht="15" hidden="false" customHeight="true" outlineLevel="0" collapsed="false">
      <c r="A48" s="266" t="s">
        <v>59</v>
      </c>
      <c r="B48" s="267" t="s">
        <v>372</v>
      </c>
      <c r="C48" s="267"/>
      <c r="D48" s="267"/>
      <c r="E48" s="268"/>
      <c r="F48" s="268"/>
      <c r="G48" s="268"/>
      <c r="H48" s="269" t="s">
        <v>373</v>
      </c>
      <c r="I48" s="81"/>
      <c r="J48" s="270" t="s">
        <v>374</v>
      </c>
      <c r="K48" s="270"/>
      <c r="L48" s="270"/>
      <c r="N48" s="74"/>
      <c r="O48" s="74"/>
      <c r="P48" s="74"/>
      <c r="Q48" s="74"/>
      <c r="R48" s="74"/>
      <c r="S48" s="74"/>
    </row>
    <row r="49" customFormat="false" ht="30.55" hidden="false" customHeight="false" outlineLevel="0" collapsed="false">
      <c r="A49" s="266"/>
      <c r="B49" s="267" t="s">
        <v>64</v>
      </c>
      <c r="C49" s="271" t="s">
        <v>65</v>
      </c>
      <c r="D49" s="271" t="s">
        <v>458</v>
      </c>
      <c r="E49" s="272" t="s">
        <v>375</v>
      </c>
      <c r="F49" s="273" t="s">
        <v>71</v>
      </c>
      <c r="G49" s="271" t="s">
        <v>376</v>
      </c>
      <c r="H49" s="269"/>
      <c r="I49" s="81"/>
      <c r="J49" s="296" t="s">
        <v>69</v>
      </c>
      <c r="K49" s="296" t="s">
        <v>68</v>
      </c>
      <c r="L49" s="272" t="s">
        <v>377</v>
      </c>
      <c r="N49" s="274" t="s">
        <v>378</v>
      </c>
      <c r="O49" s="31" t="s">
        <v>278</v>
      </c>
      <c r="P49" s="31" t="s">
        <v>279</v>
      </c>
      <c r="Q49" s="31" t="s">
        <v>280</v>
      </c>
      <c r="R49" s="31" t="s">
        <v>281</v>
      </c>
      <c r="S49" s="33" t="s">
        <v>282</v>
      </c>
    </row>
    <row r="50" customFormat="false" ht="40.25" hidden="false" customHeight="false" outlineLevel="0" collapsed="false">
      <c r="A50" s="38" t="n">
        <v>1</v>
      </c>
      <c r="B50" s="276" t="s">
        <v>459</v>
      </c>
      <c r="C50" s="277" t="s">
        <v>387</v>
      </c>
      <c r="D50" s="277" t="s">
        <v>460</v>
      </c>
      <c r="E50" s="38" t="n">
        <v>1</v>
      </c>
      <c r="F50" s="277" t="s">
        <v>382</v>
      </c>
      <c r="G50" s="280" t="n">
        <v>10.73</v>
      </c>
      <c r="H50" s="297"/>
      <c r="I50" s="81"/>
      <c r="J50" s="277" t="n">
        <f aca="false">'Ocorrências Mensais - FAT'!G69</f>
        <v>0.5</v>
      </c>
      <c r="K50" s="282" t="n">
        <f aca="false">G50*J50</f>
        <v>5.365</v>
      </c>
      <c r="L50" s="49" t="n">
        <f aca="false">IF(F50="MENSAL",1,IF(F50="BIMESTRAL",2,IF(F50="TRIMESTRAL",3,IF(F50="QUADRIMESTRAL",4,IF(F50="SEMESTRAL",6,IF(F50="ANUAL",12,IF(F50="BIENAL",24,"")))))))</f>
        <v>2</v>
      </c>
      <c r="N50" s="298" t="n">
        <v>3.1</v>
      </c>
      <c r="O50" s="49" t="n">
        <f aca="false">ROUND(IF(Dados!$J$56="SIM",N50*Dados!$N$56,N50),2)</f>
        <v>3.1</v>
      </c>
      <c r="P50" s="49" t="n">
        <f aca="false">ROUND(IF(Dados!$J$57="SIM",O50*Dados!$N$57,O50),2)</f>
        <v>3.1</v>
      </c>
      <c r="Q50" s="49" t="n">
        <f aca="false">ROUND(IF(Dados!$J$58="SIM",P50*Dados!$N$58,P50),2)</f>
        <v>3.1</v>
      </c>
      <c r="R50" s="49" t="n">
        <f aca="false">ROUND(IF(Dados!$J$59="SIM",Q50*Dados!$N$59,Q50),2)</f>
        <v>3.1</v>
      </c>
      <c r="S50" s="96" t="n">
        <f aca="false">ROUND(IF(Dados!$J$60="SIM",R50*Dados!$N$60,R50),2)</f>
        <v>3.1</v>
      </c>
    </row>
    <row r="51" customFormat="false" ht="40.25" hidden="false" customHeight="false" outlineLevel="0" collapsed="false">
      <c r="A51" s="38" t="n">
        <v>2</v>
      </c>
      <c r="B51" s="276" t="s">
        <v>461</v>
      </c>
      <c r="C51" s="277" t="s">
        <v>387</v>
      </c>
      <c r="D51" s="277" t="s">
        <v>462</v>
      </c>
      <c r="E51" s="38" t="n">
        <v>5</v>
      </c>
      <c r="F51" s="277" t="s">
        <v>385</v>
      </c>
      <c r="G51" s="280" t="n">
        <v>4.62</v>
      </c>
      <c r="H51" s="297"/>
      <c r="I51" s="81"/>
      <c r="J51" s="277" t="n">
        <f aca="false">'Ocorrências Mensais - FAT'!G70</f>
        <v>5</v>
      </c>
      <c r="K51" s="282" t="n">
        <f aca="false">G51*J51</f>
        <v>23.1</v>
      </c>
      <c r="L51" s="49" t="n">
        <f aca="false">IF(F51="MENSAL",1,IF(F51="BIMESTRAL",2,IF(F51="TRIMESTRAL",3,IF(F51="QUADRIMESTRAL",4,IF(F51="SEMESTRAL",6,IF(F51="ANUAL",12,IF(F51="BIENAL",24,"")))))))</f>
        <v>1</v>
      </c>
      <c r="N51" s="298" t="n">
        <v>4.04</v>
      </c>
      <c r="O51" s="49" t="n">
        <f aca="false">ROUND(IF(Dados!$J$56="SIM",N51*Dados!$N$56,N51),2)</f>
        <v>4.04</v>
      </c>
      <c r="P51" s="49" t="n">
        <f aca="false">ROUND(IF(Dados!$J$57="SIM",O51*Dados!$N$57,O51),2)</f>
        <v>4.04</v>
      </c>
      <c r="Q51" s="49" t="n">
        <f aca="false">ROUND(IF(Dados!$J$58="SIM",P51*Dados!$N$58,P51),2)</f>
        <v>4.04</v>
      </c>
      <c r="R51" s="49" t="n">
        <f aca="false">ROUND(IF(Dados!$J$59="SIM",Q51*Dados!$N$59,Q51),2)</f>
        <v>4.04</v>
      </c>
      <c r="S51" s="96" t="n">
        <f aca="false">ROUND(IF(Dados!$J$60="SIM",R51*Dados!$N$60,R51),2)</f>
        <v>4.04</v>
      </c>
    </row>
    <row r="52" customFormat="false" ht="40.25" hidden="false" customHeight="false" outlineLevel="0" collapsed="false">
      <c r="A52" s="38" t="n">
        <v>3</v>
      </c>
      <c r="B52" s="284" t="s">
        <v>402</v>
      </c>
      <c r="C52" s="277" t="s">
        <v>387</v>
      </c>
      <c r="D52" s="277" t="s">
        <v>404</v>
      </c>
      <c r="E52" s="38" t="n">
        <v>1</v>
      </c>
      <c r="F52" s="277" t="s">
        <v>385</v>
      </c>
      <c r="G52" s="280" t="n">
        <v>4.64</v>
      </c>
      <c r="H52" s="297"/>
      <c r="I52" s="81"/>
      <c r="J52" s="277" t="n">
        <f aca="false">'Ocorrências Mensais - FAT'!G71</f>
        <v>1</v>
      </c>
      <c r="K52" s="282" t="n">
        <f aca="false">G52*J52</f>
        <v>4.64</v>
      </c>
      <c r="L52" s="49" t="n">
        <f aca="false">IF(F52="MENSAL",1,IF(F52="BIMESTRAL",2,IF(F52="TRIMESTRAL",3,IF(F52="QUADRIMESTRAL",4,IF(F52="SEMESTRAL",6,IF(F52="ANUAL",12,IF(F52="BIENAL",24,"")))))))</f>
        <v>1</v>
      </c>
      <c r="N52" s="298" t="n">
        <v>1.5</v>
      </c>
      <c r="O52" s="49" t="n">
        <f aca="false">ROUND(IF(Dados!$J$56="SIM",N52*Dados!$N$56,N52),2)</f>
        <v>1.5</v>
      </c>
      <c r="P52" s="49" t="n">
        <f aca="false">ROUND(IF(Dados!$J$57="SIM",O52*Dados!$N$57,O52),2)</f>
        <v>1.5</v>
      </c>
      <c r="Q52" s="49" t="n">
        <f aca="false">ROUND(IF(Dados!$J$58="SIM",P52*Dados!$N$58,P52),2)</f>
        <v>1.5</v>
      </c>
      <c r="R52" s="49" t="n">
        <f aca="false">ROUND(IF(Dados!$J$59="SIM",Q52*Dados!$N$59,Q52),2)</f>
        <v>1.5</v>
      </c>
      <c r="S52" s="96" t="n">
        <f aca="false">ROUND(IF(Dados!$J$60="SIM",R52*Dados!$N$60,R52),2)</f>
        <v>1.5</v>
      </c>
    </row>
    <row r="53" customFormat="false" ht="30.55" hidden="false" customHeight="false" outlineLevel="0" collapsed="false">
      <c r="A53" s="38" t="n">
        <v>4</v>
      </c>
      <c r="B53" s="284" t="s">
        <v>463</v>
      </c>
      <c r="C53" s="277" t="s">
        <v>449</v>
      </c>
      <c r="D53" s="277" t="s">
        <v>443</v>
      </c>
      <c r="E53" s="38" t="n">
        <v>1</v>
      </c>
      <c r="F53" s="277" t="s">
        <v>420</v>
      </c>
      <c r="G53" s="280" t="n">
        <v>2.67</v>
      </c>
      <c r="H53" s="297"/>
      <c r="I53" s="81"/>
      <c r="J53" s="277" t="n">
        <f aca="false">'Ocorrências Mensais - FAT'!G72</f>
        <v>0.333333333333333</v>
      </c>
      <c r="K53" s="282" t="n">
        <f aca="false">G53*J53</f>
        <v>0.89</v>
      </c>
      <c r="L53" s="49" t="n">
        <f aca="false">IF(F53="MENSAL",1,IF(F53="BIMESTRAL",2,IF(F53="TRIMESTRAL",3,IF(F53="QUADRIMESTRAL",4,IF(F53="SEMESTRAL",6,IF(F53="ANUAL",12,IF(F53="BIENAL",24,"")))))))</f>
        <v>3</v>
      </c>
      <c r="N53" s="298" t="n">
        <v>1.2</v>
      </c>
      <c r="O53" s="49" t="n">
        <f aca="false">ROUND(IF(Dados!$J$56="SIM",N53*Dados!$N$56,N53),2)</f>
        <v>1.2</v>
      </c>
      <c r="P53" s="49" t="n">
        <f aca="false">ROUND(IF(Dados!$J$57="SIM",O53*Dados!$N$57,O53),2)</f>
        <v>1.2</v>
      </c>
      <c r="Q53" s="49" t="n">
        <f aca="false">ROUND(IF(Dados!$J$58="SIM",P53*Dados!$N$58,P53),2)</f>
        <v>1.2</v>
      </c>
      <c r="R53" s="49" t="n">
        <f aca="false">ROUND(IF(Dados!$J$59="SIM",Q53*Dados!$N$59,Q53),2)</f>
        <v>1.2</v>
      </c>
      <c r="S53" s="96" t="n">
        <f aca="false">ROUND(IF(Dados!$J$60="SIM",R53*Dados!$N$60,R53),2)</f>
        <v>1.2</v>
      </c>
    </row>
    <row r="54" customFormat="false" ht="49.95" hidden="false" customHeight="false" outlineLevel="0" collapsed="false">
      <c r="A54" s="38" t="n">
        <v>5</v>
      </c>
      <c r="B54" s="284" t="s">
        <v>464</v>
      </c>
      <c r="C54" s="277" t="s">
        <v>449</v>
      </c>
      <c r="D54" s="277" t="s">
        <v>465</v>
      </c>
      <c r="E54" s="38" t="n">
        <v>8</v>
      </c>
      <c r="F54" s="277" t="s">
        <v>385</v>
      </c>
      <c r="G54" s="280" t="n">
        <v>5.23</v>
      </c>
      <c r="H54" s="297"/>
      <c r="I54" s="81"/>
      <c r="J54" s="277" t="n">
        <f aca="false">'Ocorrências Mensais - FAT'!G73</f>
        <v>8</v>
      </c>
      <c r="K54" s="282" t="n">
        <f aca="false">G54*J54</f>
        <v>41.84</v>
      </c>
      <c r="L54" s="49" t="n">
        <f aca="false">IF(F54="MENSAL",1,IF(F54="BIMESTRAL",2,IF(F54="TRIMESTRAL",3,IF(F54="QUADRIMESTRAL",4,IF(F54="SEMESTRAL",6,IF(F54="ANUAL",12,IF(F54="BIENAL",24,"")))))))</f>
        <v>1</v>
      </c>
      <c r="N54" s="298" t="n">
        <v>1.5</v>
      </c>
      <c r="O54" s="49" t="n">
        <f aca="false">ROUND(IF(Dados!$J$56="SIM",N54*Dados!$N$56,N54),2)</f>
        <v>1.5</v>
      </c>
      <c r="P54" s="49" t="n">
        <f aca="false">ROUND(IF(Dados!$J$57="SIM",O54*Dados!$N$57,O54),2)</f>
        <v>1.5</v>
      </c>
      <c r="Q54" s="49" t="n">
        <f aca="false">ROUND(IF(Dados!$J$58="SIM",P54*Dados!$N$58,P54),2)</f>
        <v>1.5</v>
      </c>
      <c r="R54" s="49" t="n">
        <f aca="false">ROUND(IF(Dados!$J$59="SIM",Q54*Dados!$N$59,Q54),2)</f>
        <v>1.5</v>
      </c>
      <c r="S54" s="96" t="n">
        <f aca="false">ROUND(IF(Dados!$J$60="SIM",R54*Dados!$N$60,R54),2)</f>
        <v>1.5</v>
      </c>
    </row>
    <row r="55" customFormat="false" ht="15" hidden="false" customHeight="false" outlineLevel="0" collapsed="false">
      <c r="A55" s="38" t="n">
        <v>6</v>
      </c>
      <c r="B55" s="284" t="s">
        <v>466</v>
      </c>
      <c r="C55" s="277" t="s">
        <v>387</v>
      </c>
      <c r="D55" s="277" t="s">
        <v>467</v>
      </c>
      <c r="E55" s="38" t="n">
        <v>1</v>
      </c>
      <c r="F55" s="277" t="s">
        <v>382</v>
      </c>
      <c r="G55" s="280" t="n">
        <v>6.89</v>
      </c>
      <c r="H55" s="297"/>
      <c r="I55" s="81"/>
      <c r="J55" s="277" t="n">
        <f aca="false">'Ocorrências Mensais - FAT'!G74</f>
        <v>0.5</v>
      </c>
      <c r="K55" s="282" t="n">
        <f aca="false">G55*J55</f>
        <v>3.445</v>
      </c>
      <c r="L55" s="49"/>
      <c r="N55" s="298"/>
      <c r="O55" s="49"/>
      <c r="P55" s="49"/>
      <c r="Q55" s="49"/>
      <c r="R55" s="49"/>
      <c r="S55" s="96"/>
    </row>
    <row r="56" customFormat="false" ht="15" hidden="false" customHeight="false" outlineLevel="0" collapsed="false">
      <c r="A56" s="38" t="n">
        <v>7</v>
      </c>
      <c r="B56" s="284" t="s">
        <v>468</v>
      </c>
      <c r="C56" s="277" t="s">
        <v>387</v>
      </c>
      <c r="D56" s="277" t="s">
        <v>437</v>
      </c>
      <c r="E56" s="38" t="n">
        <v>4</v>
      </c>
      <c r="F56" s="277" t="s">
        <v>413</v>
      </c>
      <c r="G56" s="280" t="n">
        <v>10.25</v>
      </c>
      <c r="H56" s="297"/>
      <c r="I56" s="81"/>
      <c r="J56" s="277" t="n">
        <f aca="false">'Ocorrências Mensais - FAT'!G75</f>
        <v>0.666666666666667</v>
      </c>
      <c r="K56" s="282" t="n">
        <f aca="false">G56*J56</f>
        <v>6.83333333333333</v>
      </c>
      <c r="L56" s="49"/>
      <c r="N56" s="298"/>
      <c r="O56" s="49"/>
      <c r="P56" s="49"/>
      <c r="Q56" s="49"/>
      <c r="R56" s="49"/>
      <c r="S56" s="96"/>
    </row>
    <row r="57" customFormat="false" ht="15" hidden="false" customHeight="false" outlineLevel="0" collapsed="false">
      <c r="A57" s="287"/>
      <c r="B57" s="287"/>
      <c r="C57" s="287"/>
      <c r="D57" s="287"/>
      <c r="E57" s="287"/>
      <c r="F57" s="287"/>
      <c r="G57" s="287"/>
      <c r="H57" s="299"/>
      <c r="I57" s="81"/>
      <c r="J57" s="300" t="s">
        <v>193</v>
      </c>
      <c r="K57" s="301" t="n">
        <f aca="false">SUM(K50:K56)</f>
        <v>86.1133333333333</v>
      </c>
      <c r="L57" s="81"/>
      <c r="N57" s="3"/>
      <c r="O57" s="3"/>
      <c r="P57" s="3"/>
      <c r="Q57" s="3"/>
      <c r="R57" s="3"/>
      <c r="S57" s="3"/>
    </row>
    <row r="58" customFormat="false" ht="15" hidden="false" customHeight="false" outlineLevel="0" collapsed="false">
      <c r="A58" s="292"/>
      <c r="N58" s="3"/>
      <c r="O58" s="3"/>
      <c r="P58" s="3"/>
      <c r="Q58" s="3"/>
      <c r="R58" s="3"/>
      <c r="S58" s="3"/>
    </row>
  </sheetData>
  <sheetProtection algorithmName="SHA-512" hashValue="ueGugU2JlFN6RVWXSaUlz/OoNXzuQOJ1MUAj1KfmwNPOWpVDf8FeW7dKyXNGYPCjlkVKUmKWYUlzqcSGYL4ptA==" saltValue="MoepIPr85Tt7QgPomLvI1A==" spinCount="100000" sheet="true" objects="true" scenarios="true"/>
  <mergeCells count="15">
    <mergeCell ref="A4:H4"/>
    <mergeCell ref="A5:H5"/>
    <mergeCell ref="N5:S7"/>
    <mergeCell ref="A6:A8"/>
    <mergeCell ref="B6:D7"/>
    <mergeCell ref="H6:H8"/>
    <mergeCell ref="J7:L7"/>
    <mergeCell ref="A44:G44"/>
    <mergeCell ref="A46:H46"/>
    <mergeCell ref="N46:S48"/>
    <mergeCell ref="A48:A49"/>
    <mergeCell ref="B48:D48"/>
    <mergeCell ref="H48:H49"/>
    <mergeCell ref="J48:L48"/>
    <mergeCell ref="A57:G57"/>
  </mergeCells>
  <dataValidations count="1">
    <dataValidation allowBlank="true" errorStyle="stop" operator="between" showDropDown="false" showErrorMessage="true" showInputMessage="true" sqref="F11:F43 F50:F56" type="list">
      <formula1>"Mensal,Bimestral,Trimestral,Quadrimestral,Semestral,Anual,Bienal"</formula1>
      <formula2>0</formula2>
    </dataValidation>
  </dataValidation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9"/>
  <sheetViews>
    <sheetView showFormulas="false" showGridLines="false" showRowColHeaders="true" showZeros="true" rightToLeft="false" tabSelected="false" showOutlineSymbols="true" defaultGridColor="true" view="normal" topLeftCell="A1" colorId="64" zoomScale="100" zoomScaleNormal="100" zoomScalePageLayoutView="140" workbookViewId="0">
      <selection pane="topLeft" activeCell="C8" activeCellId="0" sqref="C8"/>
    </sheetView>
  </sheetViews>
  <sheetFormatPr defaultColWidth="8.71484375" defaultRowHeight="15" zeroHeight="false" outlineLevelRow="0" outlineLevelCol="0"/>
  <cols>
    <col collapsed="false" customWidth="true" hidden="false" outlineLevel="0" max="1" min="1" style="81" width="5.57"/>
    <col collapsed="false" customWidth="true" hidden="false" outlineLevel="0" max="2" min="2" style="81" width="64.71"/>
    <col collapsed="false" customWidth="true" hidden="false" outlineLevel="0" max="3" min="3" style="81" width="7.86"/>
    <col collapsed="false" customWidth="true" hidden="false" outlineLevel="0" max="6" min="4" style="81" width="13.71"/>
    <col collapsed="false" customWidth="true" hidden="false" outlineLevel="0" max="255" min="7" style="0" width="9"/>
    <col collapsed="false" customWidth="true" hidden="false" outlineLevel="0" max="256" min="256" style="0" width="5.57"/>
    <col collapsed="false" customWidth="true" hidden="false" outlineLevel="0" max="257" min="257" style="0" width="45.14"/>
    <col collapsed="false" customWidth="true" hidden="false" outlineLevel="0" max="258" min="258" style="0" width="6.29"/>
    <col collapsed="false" customWidth="true" hidden="false" outlineLevel="0" max="262" min="259" style="0" width="13.71"/>
    <col collapsed="false" customWidth="true" hidden="false" outlineLevel="0" max="511" min="263" style="0" width="9"/>
    <col collapsed="false" customWidth="true" hidden="false" outlineLevel="0" max="512" min="512" style="0" width="5.57"/>
    <col collapsed="false" customWidth="true" hidden="false" outlineLevel="0" max="513" min="513" style="0" width="45.14"/>
    <col collapsed="false" customWidth="true" hidden="false" outlineLevel="0" max="514" min="514" style="0" width="6.29"/>
    <col collapsed="false" customWidth="true" hidden="false" outlineLevel="0" max="518" min="515" style="0" width="13.71"/>
    <col collapsed="false" customWidth="true" hidden="false" outlineLevel="0" max="767" min="519" style="0" width="9"/>
    <col collapsed="false" customWidth="true" hidden="false" outlineLevel="0" max="768" min="768" style="0" width="5.57"/>
    <col collapsed="false" customWidth="true" hidden="false" outlineLevel="0" max="769" min="769" style="0" width="45.14"/>
    <col collapsed="false" customWidth="true" hidden="false" outlineLevel="0" max="770" min="770" style="0" width="6.29"/>
    <col collapsed="false" customWidth="true" hidden="false" outlineLevel="0" max="774" min="771" style="0" width="13.71"/>
    <col collapsed="false" customWidth="true" hidden="false" outlineLevel="0" max="1024" min="775" style="0" width="9"/>
  </cols>
  <sheetData>
    <row r="1" s="81" customFormat="true" ht="11.25" hidden="false" customHeight="true" outlineLevel="0" collapsed="false">
      <c r="A1" s="197"/>
      <c r="B1" s="118" t="str">
        <f aca="false">INSTRUÇÕES!B1</f>
        <v>Tribunal Regional Federal da 6ª Região</v>
      </c>
      <c r="C1" s="302"/>
      <c r="D1" s="303"/>
      <c r="E1" s="303"/>
      <c r="F1" s="304"/>
    </row>
    <row r="2" s="81" customFormat="true" ht="11.25" hidden="false" customHeight="true" outlineLevel="0" collapsed="false">
      <c r="A2" s="199"/>
      <c r="B2" s="120" t="str">
        <f aca="false">INSTRUÇÕES!B2</f>
        <v>Seção Judiciária de Minas Gerais</v>
      </c>
      <c r="C2" s="305"/>
      <c r="D2" s="306"/>
      <c r="E2" s="306"/>
      <c r="F2" s="307"/>
    </row>
    <row r="3" s="81" customFormat="true" ht="10.5" hidden="false" customHeight="true" outlineLevel="0" collapsed="false">
      <c r="A3" s="201"/>
      <c r="B3" s="120" t="str">
        <f aca="false">INSTRUÇÕES!B3</f>
        <v>Subseção Judiciária de Passos</v>
      </c>
      <c r="C3" s="305"/>
      <c r="D3" s="306"/>
      <c r="E3" s="306"/>
      <c r="F3" s="307"/>
    </row>
    <row r="4" s="81" customFormat="true" ht="21.75" hidden="false" customHeight="true" outlineLevel="0" collapsed="false">
      <c r="A4" s="308" t="s">
        <v>469</v>
      </c>
      <c r="B4" s="308"/>
      <c r="C4" s="308"/>
      <c r="D4" s="308"/>
      <c r="E4" s="308"/>
      <c r="F4" s="308"/>
    </row>
    <row r="5" s="81" customFormat="true" ht="26.25" hidden="false" customHeight="true" outlineLevel="0" collapsed="false">
      <c r="A5" s="309" t="s">
        <v>370</v>
      </c>
      <c r="B5" s="309"/>
      <c r="C5" s="309"/>
      <c r="D5" s="309"/>
      <c r="E5" s="309"/>
      <c r="F5" s="309"/>
    </row>
    <row r="6" s="81" customFormat="true" ht="15" hidden="false" customHeight="false" outlineLevel="0" collapsed="false">
      <c r="A6" s="310"/>
      <c r="B6" s="311"/>
      <c r="C6" s="311"/>
      <c r="D6" s="311" t="s">
        <v>470</v>
      </c>
      <c r="E6" s="311"/>
      <c r="F6" s="312"/>
    </row>
    <row r="7" s="81" customFormat="true" ht="15" hidden="false" customHeight="false" outlineLevel="0" collapsed="false">
      <c r="A7" s="313" t="s">
        <v>471</v>
      </c>
      <c r="B7" s="267" t="s">
        <v>472</v>
      </c>
      <c r="C7" s="267" t="s">
        <v>473</v>
      </c>
      <c r="D7" s="314" t="s">
        <v>474</v>
      </c>
      <c r="E7" s="314" t="s">
        <v>475</v>
      </c>
      <c r="F7" s="315" t="s">
        <v>476</v>
      </c>
    </row>
    <row r="8" s="81" customFormat="true" ht="41.25" hidden="false" customHeight="true" outlineLevel="0" collapsed="false">
      <c r="A8" s="316" t="n">
        <v>1</v>
      </c>
      <c r="B8" s="317" t="s">
        <v>477</v>
      </c>
      <c r="C8" s="318" t="n">
        <v>2</v>
      </c>
      <c r="D8" s="319" t="n">
        <v>50.05</v>
      </c>
      <c r="E8" s="320" t="n">
        <f aca="false">ROUND((D8*C8),2)</f>
        <v>100.1</v>
      </c>
      <c r="F8" s="321" t="n">
        <f aca="false">ROUND(E8/12,2)</f>
        <v>8.34</v>
      </c>
    </row>
    <row r="9" s="81" customFormat="true" ht="15.75" hidden="false" customHeight="true" outlineLevel="0" collapsed="false">
      <c r="A9" s="322" t="s">
        <v>478</v>
      </c>
      <c r="B9" s="322"/>
      <c r="C9" s="322"/>
      <c r="D9" s="322"/>
      <c r="E9" s="322"/>
      <c r="F9" s="323" t="n">
        <f aca="false">F8</f>
        <v>8.34</v>
      </c>
    </row>
  </sheetData>
  <sheetProtection algorithmName="SHA-512" hashValue="apJsqo5WO/f1MKujpaWqXuldG7SgBuqCXYGoFSUu67PJE64HyAbhvNiVDQNnwFPam2xuE2zDJjzXDtch/XEpkA==" saltValue="ULyc5wBgqJgCHBahLi4N2g==" spinCount="100000" sheet="true" objects="true" scenarios="true"/>
  <mergeCells count="3">
    <mergeCell ref="A4:F4"/>
    <mergeCell ref="A5:F5"/>
    <mergeCell ref="A9:E9"/>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15"/>
  <sheetViews>
    <sheetView showFormulas="false" showGridLines="false" showRowColHeaders="true" showZeros="true" rightToLeft="false" tabSelected="false" showOutlineSymbols="true" defaultGridColor="true" view="normal" topLeftCell="A1" colorId="64" zoomScale="100" zoomScaleNormal="100" zoomScalePageLayoutView="110" workbookViewId="0">
      <selection pane="topLeft" activeCell="F10" activeCellId="0" sqref="F10"/>
    </sheetView>
  </sheetViews>
  <sheetFormatPr defaultColWidth="8.71484375" defaultRowHeight="15" zeroHeight="false" outlineLevelRow="0" outlineLevelCol="0"/>
  <cols>
    <col collapsed="false" customWidth="true" hidden="false" outlineLevel="0" max="1" min="1" style="81" width="5.57"/>
    <col collapsed="false" customWidth="true" hidden="false" outlineLevel="0" max="2" min="2" style="81" width="64.71"/>
    <col collapsed="false" customWidth="true" hidden="false" outlineLevel="0" max="3" min="3" style="81" width="7.86"/>
    <col collapsed="false" customWidth="true" hidden="false" outlineLevel="0" max="7" min="4" style="81" width="13.71"/>
    <col collapsed="false" customWidth="true" hidden="false" outlineLevel="0" max="256" min="8" style="0" width="9"/>
    <col collapsed="false" customWidth="true" hidden="false" outlineLevel="0" max="257" min="257" style="0" width="5.57"/>
    <col collapsed="false" customWidth="true" hidden="false" outlineLevel="0" max="258" min="258" style="0" width="45.14"/>
    <col collapsed="false" customWidth="true" hidden="false" outlineLevel="0" max="259" min="259" style="0" width="6.29"/>
    <col collapsed="false" customWidth="true" hidden="false" outlineLevel="0" max="263" min="260" style="0" width="13.71"/>
    <col collapsed="false" customWidth="true" hidden="false" outlineLevel="0" max="512" min="264" style="0" width="9"/>
    <col collapsed="false" customWidth="true" hidden="false" outlineLevel="0" max="513" min="513" style="0" width="5.57"/>
    <col collapsed="false" customWidth="true" hidden="false" outlineLevel="0" max="514" min="514" style="0" width="45.14"/>
    <col collapsed="false" customWidth="true" hidden="false" outlineLevel="0" max="515" min="515" style="0" width="6.29"/>
    <col collapsed="false" customWidth="true" hidden="false" outlineLevel="0" max="519" min="516" style="0" width="13.71"/>
    <col collapsed="false" customWidth="true" hidden="false" outlineLevel="0" max="768" min="520" style="0" width="9"/>
    <col collapsed="false" customWidth="true" hidden="false" outlineLevel="0" max="769" min="769" style="0" width="5.57"/>
    <col collapsed="false" customWidth="true" hidden="false" outlineLevel="0" max="770" min="770" style="0" width="45.14"/>
    <col collapsed="false" customWidth="true" hidden="false" outlineLevel="0" max="771" min="771" style="0" width="6.29"/>
    <col collapsed="false" customWidth="true" hidden="false" outlineLevel="0" max="775" min="772" style="0" width="13.71"/>
    <col collapsed="false" customWidth="true" hidden="false" outlineLevel="0" max="1025" min="776" style="0" width="9"/>
  </cols>
  <sheetData>
    <row r="1" s="81" customFormat="true" ht="11.25" hidden="false" customHeight="true" outlineLevel="0" collapsed="false">
      <c r="A1" s="197"/>
      <c r="B1" s="118" t="str">
        <f aca="false">INSTRUÇÕES!B1</f>
        <v>Tribunal Regional Federal da 6ª Região</v>
      </c>
      <c r="C1" s="302"/>
      <c r="D1" s="303"/>
      <c r="E1" s="303"/>
      <c r="F1" s="303"/>
      <c r="G1" s="304"/>
    </row>
    <row r="2" s="81" customFormat="true" ht="11.25" hidden="false" customHeight="true" outlineLevel="0" collapsed="false">
      <c r="A2" s="199"/>
      <c r="B2" s="120" t="str">
        <f aca="false">INSTRUÇÕES!B2</f>
        <v>Seção Judiciária de Minas Gerais</v>
      </c>
      <c r="C2" s="305"/>
      <c r="D2" s="306"/>
      <c r="E2" s="306"/>
      <c r="F2" s="306"/>
      <c r="G2" s="307"/>
    </row>
    <row r="3" s="81" customFormat="true" ht="10.5" hidden="false" customHeight="true" outlineLevel="0" collapsed="false">
      <c r="A3" s="201"/>
      <c r="B3" s="120" t="str">
        <f aca="false">INSTRUÇÕES!B3</f>
        <v>Subseção Judiciária de Passos</v>
      </c>
      <c r="C3" s="305"/>
      <c r="D3" s="306"/>
      <c r="E3" s="306"/>
      <c r="F3" s="306"/>
      <c r="G3" s="307"/>
    </row>
    <row r="4" s="81" customFormat="true" ht="21.75" hidden="false" customHeight="true" outlineLevel="0" collapsed="false">
      <c r="A4" s="308" t="s">
        <v>479</v>
      </c>
      <c r="B4" s="308"/>
      <c r="C4" s="308"/>
      <c r="D4" s="308"/>
      <c r="E4" s="308"/>
      <c r="F4" s="308"/>
      <c r="G4" s="308"/>
    </row>
    <row r="5" s="81" customFormat="true" ht="26.25" hidden="false" customHeight="true" outlineLevel="0" collapsed="false">
      <c r="A5" s="309" t="s">
        <v>370</v>
      </c>
      <c r="B5" s="309"/>
      <c r="C5" s="309"/>
      <c r="D5" s="309"/>
      <c r="E5" s="309"/>
      <c r="F5" s="309"/>
      <c r="G5" s="309"/>
    </row>
    <row r="6" s="81" customFormat="true" ht="15" hidden="false" customHeight="false" outlineLevel="0" collapsed="false">
      <c r="A6" s="310"/>
      <c r="B6" s="311"/>
      <c r="C6" s="311"/>
      <c r="D6" s="311" t="s">
        <v>470</v>
      </c>
      <c r="E6" s="311"/>
      <c r="G6" s="312" t="n">
        <v>0.1</v>
      </c>
    </row>
    <row r="7" s="81" customFormat="true" ht="15" hidden="false" customHeight="false" outlineLevel="0" collapsed="false">
      <c r="A7" s="324" t="s">
        <v>480</v>
      </c>
      <c r="B7" s="324"/>
      <c r="C7" s="324"/>
      <c r="D7" s="324"/>
      <c r="E7" s="324"/>
      <c r="F7" s="324"/>
      <c r="G7" s="324"/>
    </row>
    <row r="8" s="81" customFormat="true" ht="15" hidden="false" customHeight="false" outlineLevel="0" collapsed="false">
      <c r="A8" s="324" t="s">
        <v>481</v>
      </c>
      <c r="B8" s="324"/>
      <c r="C8" s="324"/>
      <c r="D8" s="324"/>
      <c r="E8" s="324"/>
      <c r="F8" s="324"/>
      <c r="G8" s="324"/>
    </row>
    <row r="9" s="81" customFormat="true" ht="20.85" hidden="false" customHeight="false" outlineLevel="0" collapsed="false">
      <c r="A9" s="313" t="s">
        <v>471</v>
      </c>
      <c r="B9" s="267" t="s">
        <v>472</v>
      </c>
      <c r="C9" s="267" t="s">
        <v>473</v>
      </c>
      <c r="D9" s="314" t="s">
        <v>474</v>
      </c>
      <c r="E9" s="314" t="s">
        <v>475</v>
      </c>
      <c r="F9" s="314" t="s">
        <v>482</v>
      </c>
      <c r="G9" s="315" t="s">
        <v>476</v>
      </c>
    </row>
    <row r="10" s="81" customFormat="true" ht="49.95" hidden="false" customHeight="false" outlineLevel="0" collapsed="false">
      <c r="A10" s="325" t="n">
        <v>1</v>
      </c>
      <c r="B10" s="326" t="s">
        <v>483</v>
      </c>
      <c r="C10" s="49" t="n">
        <v>1</v>
      </c>
      <c r="D10" s="319" t="n">
        <v>435.39</v>
      </c>
      <c r="E10" s="49" t="n">
        <f aca="false">ROUND((D10*C10),2)</f>
        <v>435.39</v>
      </c>
      <c r="F10" s="49" t="n">
        <f aca="false">ROUND(E10*$G$6,2)</f>
        <v>43.54</v>
      </c>
      <c r="G10" s="282" t="n">
        <f aca="false">ROUND(F10/12,2)</f>
        <v>3.63</v>
      </c>
    </row>
    <row r="11" s="81" customFormat="true" ht="30.55" hidden="false" customHeight="false" outlineLevel="0" collapsed="false">
      <c r="A11" s="325" t="n">
        <v>2</v>
      </c>
      <c r="B11" s="326" t="s">
        <v>484</v>
      </c>
      <c r="C11" s="49" t="n">
        <v>1</v>
      </c>
      <c r="D11" s="319" t="n">
        <v>187.76</v>
      </c>
      <c r="E11" s="49" t="n">
        <f aca="false">ROUND((D11*C11),2)</f>
        <v>187.76</v>
      </c>
      <c r="F11" s="49" t="n">
        <f aca="false">ROUND(E11*$G$6,2)</f>
        <v>18.78</v>
      </c>
      <c r="G11" s="282" t="n">
        <f aca="false">ROUND(F11/12,2)</f>
        <v>1.57</v>
      </c>
    </row>
    <row r="12" s="81" customFormat="true" ht="15" hidden="false" customHeight="false" outlineLevel="0" collapsed="false">
      <c r="A12" s="325" t="n">
        <v>3</v>
      </c>
      <c r="B12" s="326" t="s">
        <v>485</v>
      </c>
      <c r="C12" s="49" t="n">
        <v>1</v>
      </c>
      <c r="D12" s="319" t="n">
        <v>33.76</v>
      </c>
      <c r="E12" s="49" t="n">
        <f aca="false">ROUND((D12*C12),2)</f>
        <v>33.76</v>
      </c>
      <c r="F12" s="49" t="n">
        <f aca="false">ROUND(E12*$G$6,2)</f>
        <v>3.38</v>
      </c>
      <c r="G12" s="282" t="n">
        <f aca="false">ROUND(F12/12,2)</f>
        <v>0.28</v>
      </c>
    </row>
    <row r="13" s="81" customFormat="true" ht="20.85" hidden="false" customHeight="false" outlineLevel="0" collapsed="false">
      <c r="A13" s="325" t="n">
        <v>4</v>
      </c>
      <c r="B13" s="326" t="s">
        <v>486</v>
      </c>
      <c r="C13" s="49" t="n">
        <v>1</v>
      </c>
      <c r="D13" s="319" t="n">
        <v>538.23</v>
      </c>
      <c r="E13" s="49" t="n">
        <f aca="false">ROUND((D13*C13),2)</f>
        <v>538.23</v>
      </c>
      <c r="F13" s="49" t="n">
        <f aca="false">ROUND(E13*$G$6,2)</f>
        <v>53.82</v>
      </c>
      <c r="G13" s="282" t="n">
        <f aca="false">ROUND(F13/12,2)</f>
        <v>4.49</v>
      </c>
    </row>
    <row r="14" s="81" customFormat="true" ht="40.25" hidden="false" customHeight="false" outlineLevel="0" collapsed="false">
      <c r="A14" s="325" t="n">
        <v>5</v>
      </c>
      <c r="B14" s="326" t="s">
        <v>487</v>
      </c>
      <c r="C14" s="49" t="n">
        <v>1</v>
      </c>
      <c r="D14" s="319" t="n">
        <v>513.96</v>
      </c>
      <c r="E14" s="49" t="n">
        <f aca="false">ROUND((D14*C14),2)</f>
        <v>513.96</v>
      </c>
      <c r="F14" s="49" t="n">
        <f aca="false">ROUND(E14*$G$6,2)</f>
        <v>51.4</v>
      </c>
      <c r="G14" s="282" t="n">
        <f aca="false">ROUND(F14/12,2)</f>
        <v>4.28</v>
      </c>
    </row>
    <row r="15" s="81" customFormat="true" ht="15" hidden="false" customHeight="false" outlineLevel="0" collapsed="false">
      <c r="A15" s="327" t="s">
        <v>488</v>
      </c>
      <c r="B15" s="327"/>
      <c r="C15" s="327"/>
      <c r="D15" s="327"/>
      <c r="E15" s="327"/>
      <c r="F15" s="327"/>
      <c r="G15" s="328" t="n">
        <f aca="false">SUM(G10:G14)</f>
        <v>14.25</v>
      </c>
    </row>
  </sheetData>
  <sheetProtection algorithmName="SHA-512" hashValue="l7BF7Ky51/yNjDrif17vsB7Hu7qtxmV13J4/9Y7PQgcCHtfuAQUG82sNL95ZJdNSX126euaEa7YGu+rQ9j5NLg==" saltValue="3ZXaTrtEITLzkcMR0o8u1w==" spinCount="100000" sheet="true" objects="true" scenarios="true"/>
  <mergeCells count="5">
    <mergeCell ref="A4:G4"/>
    <mergeCell ref="A5:G5"/>
    <mergeCell ref="A7:G7"/>
    <mergeCell ref="A8:G8"/>
    <mergeCell ref="A15:F15"/>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7"/>
  <sheetViews>
    <sheetView showFormulas="false" showGridLines="false" showRowColHeaders="true" showZeros="true" rightToLeft="false" tabSelected="false" showOutlineSymbols="true" defaultGridColor="true" view="normal" topLeftCell="A4" colorId="64" zoomScale="100" zoomScaleNormal="100" zoomScalePageLayoutView="140" workbookViewId="0">
      <selection pane="topLeft" activeCell="D10" activeCellId="0" sqref="D10"/>
    </sheetView>
  </sheetViews>
  <sheetFormatPr defaultColWidth="8.71484375" defaultRowHeight="15" zeroHeight="false" outlineLevelRow="0" outlineLevelCol="0"/>
  <cols>
    <col collapsed="false" customWidth="true" hidden="false" outlineLevel="0" max="1" min="1" style="3" width="17.15"/>
    <col collapsed="false" customWidth="true" hidden="false" outlineLevel="0" max="2" min="2" style="2" width="17.15"/>
    <col collapsed="false" customWidth="true" hidden="false" outlineLevel="0" max="3" min="3" style="329" width="6.14"/>
    <col collapsed="false" customWidth="true" hidden="false" outlineLevel="0" max="4" min="4" style="1" width="70.42"/>
    <col collapsed="false" customWidth="true" hidden="false" outlineLevel="0" max="5" min="5" style="1" width="19.14"/>
    <col collapsed="false" customWidth="true" hidden="false" outlineLevel="0" max="6" min="6" style="329" width="14.86"/>
    <col collapsed="false" customWidth="true" hidden="false" outlineLevel="0" max="7" min="7" style="330" width="12.42"/>
    <col collapsed="false" customWidth="true" hidden="false" outlineLevel="0" max="8" min="8" style="331" width="12.86"/>
    <col collapsed="false" customWidth="true" hidden="false" outlineLevel="0" max="9" min="9" style="0" width="9"/>
    <col collapsed="false" customWidth="true" hidden="true" outlineLevel="0" max="10" min="10" style="332" width="16.43"/>
    <col collapsed="false" customWidth="true" hidden="true" outlineLevel="0" max="15" min="11" style="332" width="11.29"/>
    <col collapsed="false" customWidth="true" hidden="false" outlineLevel="0" max="254" min="16" style="0" width="9"/>
    <col collapsed="false" customWidth="true" hidden="false" outlineLevel="0" max="255" min="255" style="0" width="13.29"/>
    <col collapsed="false" customWidth="true" hidden="false" outlineLevel="0" max="256" min="256" style="0" width="7.71"/>
    <col collapsed="false" customWidth="true" hidden="false" outlineLevel="0" max="257" min="257" style="0" width="6.14"/>
    <col collapsed="false" customWidth="true" hidden="false" outlineLevel="0" max="258" min="258" style="0" width="56.15"/>
    <col collapsed="false" customWidth="true" hidden="false" outlineLevel="0" max="259" min="259" style="0" width="9.29"/>
    <col collapsed="false" customWidth="true" hidden="false" outlineLevel="0" max="261" min="260" style="0" width="12.42"/>
    <col collapsed="false" customWidth="true" hidden="false" outlineLevel="0" max="262" min="262" style="0" width="10.85"/>
    <col collapsed="false" customWidth="true" hidden="false" outlineLevel="0" max="265" min="263" style="0" width="9"/>
    <col collapsed="false" customWidth="true" hidden="false" outlineLevel="0" max="266" min="266" style="0" width="11.43"/>
    <col collapsed="false" customWidth="true" hidden="false" outlineLevel="0" max="271" min="267" style="0" width="11.29"/>
    <col collapsed="false" customWidth="true" hidden="false" outlineLevel="0" max="510" min="272" style="0" width="9"/>
    <col collapsed="false" customWidth="true" hidden="false" outlineLevel="0" max="511" min="511" style="0" width="13.29"/>
    <col collapsed="false" customWidth="true" hidden="false" outlineLevel="0" max="512" min="512" style="0" width="7.71"/>
    <col collapsed="false" customWidth="true" hidden="false" outlineLevel="0" max="513" min="513" style="0" width="6.14"/>
    <col collapsed="false" customWidth="true" hidden="false" outlineLevel="0" max="514" min="514" style="0" width="56.15"/>
    <col collapsed="false" customWidth="true" hidden="false" outlineLevel="0" max="515" min="515" style="0" width="9.29"/>
    <col collapsed="false" customWidth="true" hidden="false" outlineLevel="0" max="517" min="516" style="0" width="12.42"/>
    <col collapsed="false" customWidth="true" hidden="false" outlineLevel="0" max="518" min="518" style="0" width="10.85"/>
    <col collapsed="false" customWidth="true" hidden="false" outlineLevel="0" max="521" min="519" style="0" width="9"/>
    <col collapsed="false" customWidth="true" hidden="false" outlineLevel="0" max="522" min="522" style="0" width="11.43"/>
    <col collapsed="false" customWidth="true" hidden="false" outlineLevel="0" max="527" min="523" style="0" width="11.29"/>
    <col collapsed="false" customWidth="true" hidden="false" outlineLevel="0" max="766" min="528" style="0" width="9"/>
    <col collapsed="false" customWidth="true" hidden="false" outlineLevel="0" max="767" min="767" style="0" width="13.29"/>
    <col collapsed="false" customWidth="true" hidden="false" outlineLevel="0" max="768" min="768" style="0" width="7.71"/>
    <col collapsed="false" customWidth="true" hidden="false" outlineLevel="0" max="769" min="769" style="0" width="6.14"/>
    <col collapsed="false" customWidth="true" hidden="false" outlineLevel="0" max="770" min="770" style="0" width="56.15"/>
    <col collapsed="false" customWidth="true" hidden="false" outlineLevel="0" max="771" min="771" style="0" width="9.29"/>
    <col collapsed="false" customWidth="true" hidden="false" outlineLevel="0" max="773" min="772" style="0" width="12.42"/>
    <col collapsed="false" customWidth="true" hidden="false" outlineLevel="0" max="774" min="774" style="0" width="10.85"/>
    <col collapsed="false" customWidth="true" hidden="false" outlineLevel="0" max="777" min="775" style="0" width="9"/>
    <col collapsed="false" customWidth="true" hidden="false" outlineLevel="0" max="778" min="778" style="0" width="11.43"/>
    <col collapsed="false" customWidth="true" hidden="false" outlineLevel="0" max="783" min="779" style="0" width="11.29"/>
    <col collapsed="false" customWidth="true" hidden="false" outlineLevel="0" max="1022" min="784" style="0" width="9"/>
    <col collapsed="false" customWidth="true" hidden="false" outlineLevel="0" max="1023" min="1023" style="0" width="13.29"/>
    <col collapsed="false" customWidth="true" hidden="false" outlineLevel="0" max="1025" min="1024" style="0" width="7.71"/>
  </cols>
  <sheetData>
    <row r="1" s="1" customFormat="true" ht="12.75" hidden="false" customHeight="true" outlineLevel="0" collapsed="false">
      <c r="A1" s="333"/>
      <c r="B1" s="334" t="str">
        <f aca="false">INSTRUÇÕES!B1</f>
        <v>Tribunal Regional Federal da 6ª Região</v>
      </c>
      <c r="C1" s="335"/>
      <c r="D1" s="336"/>
      <c r="E1" s="337"/>
      <c r="F1" s="338"/>
      <c r="G1" s="339"/>
      <c r="H1" s="340"/>
      <c r="J1" s="341" t="s">
        <v>371</v>
      </c>
      <c r="K1" s="341"/>
      <c r="L1" s="341"/>
      <c r="M1" s="341"/>
      <c r="N1" s="341"/>
      <c r="O1" s="341"/>
    </row>
    <row r="2" s="1" customFormat="true" ht="12.75" hidden="false" customHeight="true" outlineLevel="0" collapsed="false">
      <c r="A2" s="342"/>
      <c r="B2" s="343" t="str">
        <f aca="false">INSTRUÇÕES!B2</f>
        <v>Seção Judiciária de Minas Gerais</v>
      </c>
      <c r="C2" s="344"/>
      <c r="D2" s="345"/>
      <c r="F2" s="329"/>
      <c r="G2" s="330"/>
      <c r="H2" s="346"/>
      <c r="J2" s="341"/>
      <c r="K2" s="341"/>
      <c r="L2" s="341"/>
      <c r="M2" s="341"/>
      <c r="N2" s="341"/>
      <c r="O2" s="341"/>
    </row>
    <row r="3" s="136" customFormat="true" ht="15" hidden="false" customHeight="false" outlineLevel="0" collapsed="false">
      <c r="A3" s="342"/>
      <c r="B3" s="347" t="str">
        <f aca="false">INSTRUÇÕES!B3</f>
        <v>Subseção Judiciária de Passos</v>
      </c>
      <c r="C3" s="348"/>
      <c r="D3" s="349"/>
      <c r="F3" s="350"/>
      <c r="G3" s="351"/>
      <c r="H3" s="352"/>
      <c r="J3" s="341"/>
      <c r="K3" s="341"/>
      <c r="L3" s="341"/>
      <c r="M3" s="341"/>
      <c r="N3" s="341"/>
      <c r="O3" s="341"/>
    </row>
    <row r="4" s="306" customFormat="true" ht="15" hidden="false" customHeight="false" outlineLevel="0" collapsed="false">
      <c r="A4" s="353" t="s">
        <v>489</v>
      </c>
      <c r="B4" s="353"/>
      <c r="C4" s="353"/>
      <c r="D4" s="353"/>
      <c r="E4" s="353"/>
      <c r="F4" s="353"/>
      <c r="G4" s="353"/>
      <c r="H4" s="353"/>
      <c r="J4" s="341"/>
      <c r="K4" s="341"/>
      <c r="L4" s="341"/>
      <c r="M4" s="341"/>
      <c r="N4" s="341"/>
      <c r="O4" s="341"/>
    </row>
    <row r="5" s="1" customFormat="true" ht="27" hidden="false" customHeight="true" outlineLevel="0" collapsed="false">
      <c r="A5" s="354" t="s">
        <v>370</v>
      </c>
      <c r="B5" s="354"/>
      <c r="C5" s="354"/>
      <c r="D5" s="354"/>
      <c r="E5" s="354"/>
      <c r="F5" s="354"/>
      <c r="G5" s="354"/>
      <c r="H5" s="354"/>
      <c r="J5" s="355" t="s">
        <v>378</v>
      </c>
      <c r="K5" s="74" t="s">
        <v>278</v>
      </c>
      <c r="L5" s="74" t="s">
        <v>279</v>
      </c>
      <c r="M5" s="74" t="s">
        <v>280</v>
      </c>
      <c r="N5" s="74" t="s">
        <v>281</v>
      </c>
      <c r="O5" s="74" t="s">
        <v>282</v>
      </c>
    </row>
    <row r="6" s="1" customFormat="true" ht="15.75" hidden="false" customHeight="true" outlineLevel="0" collapsed="false">
      <c r="A6" s="356" t="s">
        <v>490</v>
      </c>
      <c r="B6" s="356"/>
      <c r="C6" s="356"/>
      <c r="D6" s="356"/>
      <c r="E6" s="356"/>
      <c r="F6" s="356"/>
      <c r="G6" s="356"/>
      <c r="H6" s="356"/>
      <c r="J6" s="355"/>
      <c r="K6" s="74"/>
      <c r="L6" s="74"/>
      <c r="M6" s="74"/>
      <c r="N6" s="74"/>
      <c r="O6" s="74"/>
    </row>
    <row r="7" s="1" customFormat="true" ht="15.75" hidden="false" customHeight="true" outlineLevel="0" collapsed="false">
      <c r="A7" s="357"/>
      <c r="B7" s="358"/>
      <c r="C7" s="359"/>
      <c r="D7" s="358"/>
      <c r="E7" s="358"/>
      <c r="F7" s="359"/>
      <c r="G7" s="360"/>
      <c r="H7" s="361"/>
      <c r="J7" s="355"/>
      <c r="K7" s="74"/>
      <c r="L7" s="74"/>
      <c r="M7" s="74"/>
      <c r="N7" s="74"/>
      <c r="O7" s="74"/>
    </row>
    <row r="8" s="1" customFormat="true" ht="20.85" hidden="false" customHeight="false" outlineLevel="0" collapsed="false">
      <c r="A8" s="362" t="s">
        <v>491</v>
      </c>
      <c r="B8" s="363" t="s">
        <v>256</v>
      </c>
      <c r="C8" s="364" t="s">
        <v>492</v>
      </c>
      <c r="D8" s="325" t="s">
        <v>493</v>
      </c>
      <c r="E8" s="325" t="s">
        <v>494</v>
      </c>
      <c r="F8" s="365" t="s">
        <v>495</v>
      </c>
      <c r="G8" s="366" t="s">
        <v>496</v>
      </c>
      <c r="H8" s="367" t="s">
        <v>193</v>
      </c>
      <c r="J8" s="355"/>
      <c r="K8" s="74"/>
      <c r="L8" s="74"/>
      <c r="M8" s="74"/>
      <c r="N8" s="74"/>
      <c r="O8" s="74"/>
      <c r="P8" s="187"/>
    </row>
    <row r="9" s="136" customFormat="true" ht="117" hidden="false" customHeight="true" outlineLevel="0" collapsed="false">
      <c r="A9" s="368" t="s">
        <v>497</v>
      </c>
      <c r="B9" s="49" t="s">
        <v>498</v>
      </c>
      <c r="C9" s="369" t="n">
        <v>1</v>
      </c>
      <c r="D9" s="276" t="s">
        <v>499</v>
      </c>
      <c r="E9" s="277" t="s">
        <v>500</v>
      </c>
      <c r="F9" s="370" t="n">
        <f aca="false">1*2</f>
        <v>2</v>
      </c>
      <c r="G9" s="371" t="n">
        <v>47.42</v>
      </c>
      <c r="H9" s="372" t="n">
        <f aca="false">ROUND(F9*G9,2)</f>
        <v>94.84</v>
      </c>
      <c r="J9" s="373" t="n">
        <v>25.8</v>
      </c>
      <c r="K9" s="49" t="n">
        <f aca="false">ROUND(IF(Dados!$I$60="SIM",J9*Dados!$N$60,J9),2)</f>
        <v>25.8</v>
      </c>
      <c r="L9" s="49" t="n">
        <f aca="false">ROUND(IF(Dados!$I$61="SIM",K9*Dados!$N$61,K9),2)</f>
        <v>25.8</v>
      </c>
      <c r="M9" s="49" t="n">
        <f aca="false">ROUND(IF(Dados!$I$62="SIM",L9*Dados!$N$62,L9),2)</f>
        <v>25.8</v>
      </c>
      <c r="N9" s="49" t="n">
        <f aca="false">ROUND(IF(Dados!$I$63="SIM",M9*Dados!$N$63,M9),2)</f>
        <v>25.8</v>
      </c>
      <c r="O9" s="49" t="n">
        <f aca="false">ROUND(IF(Dados!$I$64="SIM",N9*Dados!$N$64,N9),2)</f>
        <v>25.8</v>
      </c>
    </row>
    <row r="10" s="136" customFormat="true" ht="30.55" hidden="false" customHeight="true" outlineLevel="0" collapsed="false">
      <c r="A10" s="374" t="s">
        <v>501</v>
      </c>
      <c r="B10" s="49" t="s">
        <v>502</v>
      </c>
      <c r="C10" s="369" t="n">
        <v>2</v>
      </c>
      <c r="D10" s="375" t="s">
        <v>503</v>
      </c>
      <c r="E10" s="278" t="s">
        <v>504</v>
      </c>
      <c r="F10" s="370" t="n">
        <f aca="false">2*2</f>
        <v>4</v>
      </c>
      <c r="G10" s="371" t="n">
        <v>74.43</v>
      </c>
      <c r="H10" s="372" t="n">
        <f aca="false">ROUND(F10*G10,2)</f>
        <v>297.72</v>
      </c>
      <c r="J10" s="373" t="n">
        <v>19.99</v>
      </c>
      <c r="K10" s="49" t="n">
        <f aca="false">ROUND(IF(Dados!$I$60="SIM",J10*Dados!$N$60,J10),2)</f>
        <v>19.99</v>
      </c>
      <c r="L10" s="49" t="n">
        <f aca="false">ROUND(IF(Dados!$I$61="SIM",K10*Dados!$N$61,K10),2)</f>
        <v>19.99</v>
      </c>
      <c r="M10" s="49" t="n">
        <f aca="false">ROUND(IF(Dados!$I$62="SIM",L10*Dados!$N$62,L10),2)</f>
        <v>19.99</v>
      </c>
      <c r="N10" s="49" t="n">
        <f aca="false">ROUND(IF(Dados!$I$63="SIM",M10*Dados!$N$63,M10),2)</f>
        <v>19.99</v>
      </c>
      <c r="O10" s="49" t="n">
        <f aca="false">ROUND(IF(Dados!$I$64="SIM",N10*Dados!$N$64,N10),2)</f>
        <v>19.99</v>
      </c>
    </row>
    <row r="11" s="136" customFormat="true" ht="37.5" hidden="false" customHeight="true" outlineLevel="0" collapsed="false">
      <c r="A11" s="374"/>
      <c r="B11" s="49" t="s">
        <v>505</v>
      </c>
      <c r="C11" s="369" t="n">
        <v>1</v>
      </c>
      <c r="D11" s="375" t="s">
        <v>506</v>
      </c>
      <c r="E11" s="278" t="s">
        <v>507</v>
      </c>
      <c r="F11" s="370" t="n">
        <f aca="false">1*2</f>
        <v>2</v>
      </c>
      <c r="G11" s="371" t="n">
        <v>72.13</v>
      </c>
      <c r="H11" s="372" t="n">
        <f aca="false">ROUND(F11*G11,2)</f>
        <v>144.26</v>
      </c>
      <c r="J11" s="373"/>
      <c r="K11" s="49"/>
      <c r="L11" s="49"/>
      <c r="M11" s="49"/>
      <c r="N11" s="49"/>
      <c r="O11" s="49"/>
    </row>
    <row r="12" s="136" customFormat="true" ht="37.5" hidden="false" customHeight="true" outlineLevel="0" collapsed="false">
      <c r="A12" s="376" t="n">
        <f aca="false">Dados!B7+Dados!B8</f>
        <v>2</v>
      </c>
      <c r="B12" s="49" t="s">
        <v>508</v>
      </c>
      <c r="C12" s="369" t="n">
        <v>3</v>
      </c>
      <c r="D12" s="377" t="s">
        <v>509</v>
      </c>
      <c r="E12" s="277" t="s">
        <v>500</v>
      </c>
      <c r="F12" s="370" t="n">
        <f aca="false">3*2</f>
        <v>6</v>
      </c>
      <c r="G12" s="371" t="n">
        <v>60.93</v>
      </c>
      <c r="H12" s="372" t="n">
        <f aca="false">ROUND(F12*G12,2)</f>
        <v>365.58</v>
      </c>
      <c r="J12" s="373" t="n">
        <v>39.9</v>
      </c>
      <c r="K12" s="49" t="n">
        <f aca="false">ROUND(IF(Dados!$I$60="SIM",J12*Dados!$N$60,J12),2)</f>
        <v>39.9</v>
      </c>
      <c r="L12" s="49" t="n">
        <f aca="false">ROUND(IF(Dados!$I$61="SIM",K12*Dados!$N$61,K12),2)</f>
        <v>39.9</v>
      </c>
      <c r="M12" s="49" t="n">
        <f aca="false">ROUND(IF(Dados!$I$62="SIM",L12*Dados!$N$62,L12),2)</f>
        <v>39.9</v>
      </c>
      <c r="N12" s="49" t="n">
        <f aca="false">ROUND(IF(Dados!$I$63="SIM",M12*Dados!$N$63,M12),2)</f>
        <v>39.9</v>
      </c>
      <c r="O12" s="49" t="n">
        <f aca="false">ROUND(IF(Dados!$I$64="SIM",N12*Dados!$N$64,N12),2)</f>
        <v>39.9</v>
      </c>
    </row>
    <row r="13" s="136" customFormat="true" ht="15" hidden="false" customHeight="false" outlineLevel="0" collapsed="false">
      <c r="A13" s="378" t="s">
        <v>510</v>
      </c>
      <c r="B13" s="378"/>
      <c r="C13" s="378"/>
      <c r="D13" s="378"/>
      <c r="E13" s="378"/>
      <c r="F13" s="378"/>
      <c r="G13" s="378"/>
      <c r="H13" s="379" t="n">
        <f aca="false">SUM(H9:H12)</f>
        <v>902.4</v>
      </c>
      <c r="J13" s="3"/>
      <c r="K13" s="3"/>
      <c r="L13" s="3"/>
      <c r="M13" s="3"/>
      <c r="N13" s="3"/>
      <c r="O13" s="3"/>
    </row>
    <row r="14" s="136" customFormat="true" ht="15" hidden="false" customHeight="false" outlineLevel="0" collapsed="false">
      <c r="A14" s="380" t="s">
        <v>511</v>
      </c>
      <c r="B14" s="380"/>
      <c r="C14" s="380"/>
      <c r="D14" s="380"/>
      <c r="E14" s="380"/>
      <c r="F14" s="380"/>
      <c r="G14" s="381"/>
      <c r="H14" s="382" t="n">
        <f aca="false">ROUND(H13/$A$12/12,2)</f>
        <v>37.6</v>
      </c>
      <c r="J14" s="3"/>
      <c r="K14" s="3"/>
      <c r="L14" s="3"/>
      <c r="M14" s="3"/>
      <c r="N14" s="3"/>
      <c r="O14" s="3"/>
    </row>
    <row r="15" s="136" customFormat="true" ht="15" hidden="false" customHeight="false" outlineLevel="0" collapsed="false">
      <c r="A15" s="292"/>
      <c r="B15" s="72"/>
      <c r="C15" s="383"/>
      <c r="D15" s="70"/>
      <c r="E15" s="70"/>
      <c r="F15" s="383"/>
      <c r="G15" s="384"/>
      <c r="H15" s="385"/>
      <c r="J15" s="3"/>
      <c r="K15" s="3"/>
      <c r="L15" s="3"/>
      <c r="M15" s="3"/>
      <c r="N15" s="3"/>
      <c r="O15" s="3"/>
    </row>
    <row r="16" s="136" customFormat="true" ht="40.25" hidden="false" customHeight="false" outlineLevel="0" collapsed="false">
      <c r="A16" s="362" t="s">
        <v>491</v>
      </c>
      <c r="B16" s="363" t="s">
        <v>256</v>
      </c>
      <c r="C16" s="364" t="s">
        <v>492</v>
      </c>
      <c r="D16" s="325" t="s">
        <v>493</v>
      </c>
      <c r="E16" s="325" t="s">
        <v>494</v>
      </c>
      <c r="F16" s="365" t="s">
        <v>495</v>
      </c>
      <c r="G16" s="366" t="s">
        <v>496</v>
      </c>
      <c r="H16" s="367" t="s">
        <v>193</v>
      </c>
      <c r="J16" s="386" t="s">
        <v>378</v>
      </c>
      <c r="K16" s="387" t="s">
        <v>278</v>
      </c>
      <c r="L16" s="387" t="s">
        <v>279</v>
      </c>
      <c r="M16" s="387" t="s">
        <v>280</v>
      </c>
      <c r="N16" s="387" t="s">
        <v>281</v>
      </c>
      <c r="O16" s="387" t="s">
        <v>282</v>
      </c>
    </row>
    <row r="17" s="136" customFormat="true" ht="35.05" hidden="false" customHeight="false" outlineLevel="0" collapsed="false">
      <c r="A17" s="374" t="s">
        <v>512</v>
      </c>
      <c r="B17" s="49" t="s">
        <v>513</v>
      </c>
      <c r="C17" s="369" t="n">
        <v>1</v>
      </c>
      <c r="D17" s="388" t="s">
        <v>514</v>
      </c>
      <c r="E17" s="278" t="s">
        <v>515</v>
      </c>
      <c r="F17" s="370" t="n">
        <v>1</v>
      </c>
      <c r="G17" s="371" t="n">
        <v>57.11</v>
      </c>
      <c r="H17" s="372" t="n">
        <f aca="false">ROUND(F17*G17,2)</f>
        <v>57.11</v>
      </c>
      <c r="J17" s="373" t="n">
        <v>29.9</v>
      </c>
      <c r="K17" s="49" t="n">
        <f aca="false">ROUND(IF(Dados!$I$60="SIM",J17*Dados!$N$60,J17),2)</f>
        <v>29.9</v>
      </c>
      <c r="L17" s="49" t="n">
        <f aca="false">ROUND(IF(Dados!$I$61="SIM",K17*Dados!$N$61,K17),2)</f>
        <v>29.9</v>
      </c>
      <c r="M17" s="49" t="n">
        <f aca="false">ROUND(IF(Dados!$I$62="SIM",L17*Dados!$N$62,L17),2)</f>
        <v>29.9</v>
      </c>
      <c r="N17" s="49" t="n">
        <f aca="false">ROUND(IF(Dados!$I$63="SIM",M17*Dados!$N$63,M17),2)</f>
        <v>29.9</v>
      </c>
      <c r="O17" s="49" t="n">
        <f aca="false">ROUND(IF(Dados!$I$64="SIM",N17*Dados!$N$64,N17),2)</f>
        <v>29.9</v>
      </c>
    </row>
    <row r="18" s="136" customFormat="true" ht="20.85" hidden="false" customHeight="false" outlineLevel="0" collapsed="false">
      <c r="A18" s="389"/>
      <c r="B18" s="49" t="s">
        <v>516</v>
      </c>
      <c r="C18" s="369" t="n">
        <v>1</v>
      </c>
      <c r="D18" s="390" t="s">
        <v>517</v>
      </c>
      <c r="E18" s="278" t="s">
        <v>515</v>
      </c>
      <c r="F18" s="370" t="n">
        <v>1</v>
      </c>
      <c r="G18" s="371" t="n">
        <v>30.82</v>
      </c>
      <c r="H18" s="372" t="n">
        <f aca="false">ROUND(F18*G18,2)</f>
        <v>30.82</v>
      </c>
      <c r="J18" s="391"/>
      <c r="K18" s="75"/>
      <c r="L18" s="75"/>
      <c r="M18" s="75"/>
      <c r="N18" s="75"/>
      <c r="O18" s="75"/>
    </row>
    <row r="19" s="136" customFormat="true" ht="36" hidden="false" customHeight="true" outlineLevel="0" collapsed="false">
      <c r="A19" s="392" t="n">
        <f aca="false">Dados!B8</f>
        <v>1</v>
      </c>
      <c r="B19" s="393" t="s">
        <v>510</v>
      </c>
      <c r="C19" s="393"/>
      <c r="D19" s="393"/>
      <c r="E19" s="393"/>
      <c r="F19" s="393"/>
      <c r="G19" s="393"/>
      <c r="H19" s="394" t="n">
        <f aca="false">SUM(H17:H18)</f>
        <v>87.93</v>
      </c>
      <c r="J19" s="3"/>
      <c r="K19" s="3"/>
      <c r="L19" s="3"/>
      <c r="M19" s="3"/>
      <c r="N19" s="3"/>
      <c r="O19" s="3"/>
    </row>
    <row r="20" s="136" customFormat="true" ht="15" hidden="false" customHeight="false" outlineLevel="0" collapsed="false">
      <c r="A20" s="380" t="s">
        <v>518</v>
      </c>
      <c r="B20" s="380"/>
      <c r="C20" s="380"/>
      <c r="D20" s="380"/>
      <c r="E20" s="380"/>
      <c r="F20" s="380"/>
      <c r="G20" s="381"/>
      <c r="H20" s="382" t="n">
        <f aca="false">ROUND(H19/A19/12,2)</f>
        <v>7.33</v>
      </c>
      <c r="J20" s="3"/>
      <c r="K20" s="3"/>
      <c r="L20" s="3"/>
      <c r="M20" s="3"/>
      <c r="N20" s="3"/>
      <c r="O20" s="3"/>
    </row>
    <row r="21" s="136" customFormat="true" ht="15" hidden="false" customHeight="false" outlineLevel="0" collapsed="false">
      <c r="A21" s="310"/>
      <c r="B21" s="395"/>
      <c r="C21" s="396"/>
      <c r="D21" s="395"/>
      <c r="E21" s="395"/>
      <c r="F21" s="396"/>
      <c r="G21" s="397"/>
      <c r="H21" s="398"/>
      <c r="J21" s="3"/>
      <c r="K21" s="3"/>
      <c r="L21" s="3"/>
      <c r="M21" s="3"/>
      <c r="N21" s="3"/>
      <c r="O21" s="3"/>
    </row>
    <row r="22" customFormat="false" ht="40.25" hidden="false" customHeight="false" outlineLevel="0" collapsed="false">
      <c r="A22" s="362" t="s">
        <v>491</v>
      </c>
      <c r="B22" s="363" t="s">
        <v>256</v>
      </c>
      <c r="C22" s="364" t="s">
        <v>492</v>
      </c>
      <c r="D22" s="325" t="s">
        <v>493</v>
      </c>
      <c r="E22" s="325" t="s">
        <v>494</v>
      </c>
      <c r="F22" s="365" t="s">
        <v>495</v>
      </c>
      <c r="G22" s="399" t="s">
        <v>496</v>
      </c>
      <c r="H22" s="367" t="s">
        <v>193</v>
      </c>
      <c r="J22" s="386" t="s">
        <v>378</v>
      </c>
      <c r="K22" s="387" t="s">
        <v>278</v>
      </c>
      <c r="L22" s="387" t="s">
        <v>279</v>
      </c>
      <c r="M22" s="387" t="s">
        <v>280</v>
      </c>
      <c r="N22" s="387" t="s">
        <v>281</v>
      </c>
      <c r="O22" s="387" t="s">
        <v>282</v>
      </c>
    </row>
    <row r="23" customFormat="false" ht="246.75" hidden="false" customHeight="true" outlineLevel="0" collapsed="false">
      <c r="A23" s="368" t="s">
        <v>190</v>
      </c>
      <c r="B23" s="49" t="s">
        <v>519</v>
      </c>
      <c r="C23" s="369" t="n">
        <v>3</v>
      </c>
      <c r="D23" s="400" t="s">
        <v>520</v>
      </c>
      <c r="E23" s="277" t="s">
        <v>500</v>
      </c>
      <c r="F23" s="370" t="n">
        <f aca="false">3*4</f>
        <v>12</v>
      </c>
      <c r="G23" s="371" t="n">
        <v>103.32</v>
      </c>
      <c r="H23" s="372" t="n">
        <f aca="false">ROUND(F23*G23,2)</f>
        <v>1239.84</v>
      </c>
      <c r="J23" s="373" t="n">
        <v>39.9</v>
      </c>
      <c r="K23" s="49" t="n">
        <f aca="false">ROUND(IF(Dados!$I$60="SIM",J23*Dados!$N$60,J23),2)</f>
        <v>39.9</v>
      </c>
      <c r="L23" s="49" t="n">
        <f aca="false">ROUND(IF(Dados!$I$61="SIM",K23*Dados!$N$61,K23),2)</f>
        <v>39.9</v>
      </c>
      <c r="M23" s="49" t="n">
        <f aca="false">ROUND(IF(Dados!$I$62="SIM",L23*Dados!$N$62,L23),2)</f>
        <v>39.9</v>
      </c>
      <c r="N23" s="49" t="n">
        <f aca="false">ROUND(IF(Dados!$I$63="SIM",M23*Dados!$N$63,M23),2)</f>
        <v>39.9</v>
      </c>
      <c r="O23" s="49" t="n">
        <f aca="false">ROUND(IF(Dados!$I$64="SIM",N23*Dados!$N$64,N23),2)</f>
        <v>39.9</v>
      </c>
    </row>
    <row r="24" customFormat="false" ht="156.7" hidden="false" customHeight="false" outlineLevel="0" collapsed="false">
      <c r="A24" s="374" t="s">
        <v>501</v>
      </c>
      <c r="B24" s="49" t="s">
        <v>521</v>
      </c>
      <c r="C24" s="369" t="n">
        <v>2</v>
      </c>
      <c r="D24" s="401" t="s">
        <v>522</v>
      </c>
      <c r="E24" s="278" t="s">
        <v>504</v>
      </c>
      <c r="F24" s="370" t="n">
        <f aca="false">2*4</f>
        <v>8</v>
      </c>
      <c r="G24" s="371" t="n">
        <v>100.44</v>
      </c>
      <c r="H24" s="372" t="n">
        <f aca="false">ROUND(F24*G24,2)</f>
        <v>803.52</v>
      </c>
      <c r="J24" s="373" t="n">
        <v>19.99</v>
      </c>
      <c r="K24" s="49" t="n">
        <f aca="false">ROUND(IF(Dados!$I$60="SIM",J24*Dados!$N$60,J24),2)</f>
        <v>19.99</v>
      </c>
      <c r="L24" s="49" t="n">
        <f aca="false">ROUND(IF(Dados!$I$61="SIM",K24*Dados!$N$61,K24),2)</f>
        <v>19.99</v>
      </c>
      <c r="M24" s="49" t="n">
        <f aca="false">ROUND(IF(Dados!$I$62="SIM",L24*Dados!$N$62,L24),2)</f>
        <v>19.99</v>
      </c>
      <c r="N24" s="49" t="n">
        <f aca="false">ROUND(IF(Dados!$I$63="SIM",M24*Dados!$N$63,M24),2)</f>
        <v>19.99</v>
      </c>
      <c r="O24" s="49" t="n">
        <f aca="false">ROUND(IF(Dados!$I$64="SIM",N24*Dados!$N$64,N24),2)</f>
        <v>19.99</v>
      </c>
    </row>
    <row r="25" customFormat="false" ht="91.5" hidden="false" customHeight="true" outlineLevel="0" collapsed="false">
      <c r="A25" s="402" t="n">
        <f aca="false">Dados!B10+Dados!B9</f>
        <v>4</v>
      </c>
      <c r="B25" s="49" t="s">
        <v>523</v>
      </c>
      <c r="C25" s="369" t="n">
        <v>1</v>
      </c>
      <c r="D25" s="403" t="s">
        <v>524</v>
      </c>
      <c r="E25" s="277" t="s">
        <v>507</v>
      </c>
      <c r="F25" s="370" t="n">
        <f aca="false">1*4</f>
        <v>4</v>
      </c>
      <c r="G25" s="371" t="n">
        <v>81.35</v>
      </c>
      <c r="H25" s="372" t="n">
        <f aca="false">ROUND(F25*G25,2)</f>
        <v>325.4</v>
      </c>
      <c r="J25" s="373"/>
      <c r="K25" s="49"/>
      <c r="L25" s="49"/>
      <c r="M25" s="49"/>
      <c r="N25" s="49"/>
      <c r="O25" s="49"/>
    </row>
    <row r="26" customFormat="false" ht="15" hidden="false" customHeight="false" outlineLevel="0" collapsed="false">
      <c r="A26" s="404" t="s">
        <v>510</v>
      </c>
      <c r="B26" s="404"/>
      <c r="C26" s="404"/>
      <c r="D26" s="404"/>
      <c r="E26" s="404"/>
      <c r="F26" s="404"/>
      <c r="G26" s="404"/>
      <c r="H26" s="405" t="n">
        <f aca="false">SUM(H23:H25)</f>
        <v>2368.76</v>
      </c>
      <c r="N26" s="3"/>
      <c r="O26" s="3"/>
      <c r="P26" s="136"/>
    </row>
    <row r="27" customFormat="false" ht="15" hidden="false" customHeight="false" outlineLevel="0" collapsed="false">
      <c r="A27" s="380" t="s">
        <v>525</v>
      </c>
      <c r="B27" s="380"/>
      <c r="C27" s="380"/>
      <c r="D27" s="380"/>
      <c r="E27" s="380"/>
      <c r="F27" s="380"/>
      <c r="G27" s="381"/>
      <c r="H27" s="382" t="n">
        <f aca="false">ROUND(H26/A25/12,2)</f>
        <v>49.35</v>
      </c>
    </row>
  </sheetData>
  <sheetProtection algorithmName="SHA-512" hashValue="E+u/hqYDPknF+Sya+C+RBGmxQSf3QGy1RwEq/vaYnBB/ZeTIMNQkjvNKAQ6tXVT65OFNherwG1Xlf+ACVvc3VQ==" saltValue="GWvOmur6cJSWB8TDPBUJ5w==" spinCount="100000" sheet="true" objects="true" scenarios="true"/>
  <mergeCells count="17">
    <mergeCell ref="J1:O4"/>
    <mergeCell ref="A4:H4"/>
    <mergeCell ref="A5:H5"/>
    <mergeCell ref="J5:J8"/>
    <mergeCell ref="K5:K8"/>
    <mergeCell ref="L5:L8"/>
    <mergeCell ref="M5:M8"/>
    <mergeCell ref="N5:N8"/>
    <mergeCell ref="O5:O8"/>
    <mergeCell ref="A6:H6"/>
    <mergeCell ref="A10:A11"/>
    <mergeCell ref="A13:G13"/>
    <mergeCell ref="A14:F14"/>
    <mergeCell ref="B19:G19"/>
    <mergeCell ref="A20:F20"/>
    <mergeCell ref="A26:G26"/>
    <mergeCell ref="A27:F27"/>
  </mergeCells>
  <printOptions headings="false" gridLines="false" gridLinesSet="true" horizontalCentered="true" verticalCentered="true"/>
  <pageMargins left="0.511805555555556" right="0.511805555555556" top="0.7875" bottom="0.7875" header="0.511811023622047" footer="0.511811023622047"/>
  <pageSetup paperSize="9" scale="58"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7"/>
  <sheetViews>
    <sheetView showFormulas="false" showGridLines="false" showRowColHeaders="true" showZeros="true" rightToLeft="false" tabSelected="false" showOutlineSymbols="true" defaultGridColor="true" view="normal" topLeftCell="A1" colorId="64" zoomScale="100" zoomScaleNormal="100" zoomScalePageLayoutView="110" workbookViewId="0">
      <selection pane="topLeft" activeCell="G12" activeCellId="0" sqref="G12"/>
    </sheetView>
  </sheetViews>
  <sheetFormatPr defaultColWidth="8.71484375" defaultRowHeight="15" zeroHeight="false" outlineLevelRow="0" outlineLevelCol="0"/>
  <cols>
    <col collapsed="false" customWidth="true" hidden="false" outlineLevel="0" max="1" min="1" style="81" width="10.57"/>
    <col collapsed="false" customWidth="true" hidden="false" outlineLevel="0" max="2" min="2" style="81" width="27.71"/>
    <col collapsed="false" customWidth="true" hidden="false" outlineLevel="0" max="3" min="3" style="81" width="14.42"/>
    <col collapsed="false" customWidth="true" hidden="false" outlineLevel="0" max="5" min="4" style="81" width="15"/>
    <col collapsed="false" customWidth="true" hidden="false" outlineLevel="0" max="6" min="6" style="406" width="16.71"/>
    <col collapsed="false" customWidth="true" hidden="false" outlineLevel="0" max="8" min="7" style="406" width="13.15"/>
    <col collapsed="false" customWidth="true" hidden="false" outlineLevel="0" max="10" min="9" style="406" width="12.57"/>
    <col collapsed="false" customWidth="true" hidden="false" outlineLevel="0" max="257" min="11" style="81" width="9.14"/>
    <col collapsed="false" customWidth="true" hidden="false" outlineLevel="0" max="258" min="258" style="81" width="10.57"/>
    <col collapsed="false" customWidth="true" hidden="false" outlineLevel="0" max="259" min="259" style="81" width="27.71"/>
    <col collapsed="false" customWidth="true" hidden="false" outlineLevel="0" max="260" min="260" style="81" width="14.42"/>
    <col collapsed="false" customWidth="true" hidden="false" outlineLevel="0" max="262" min="261" style="81" width="15"/>
    <col collapsed="false" customWidth="true" hidden="false" outlineLevel="0" max="263" min="263" style="81" width="16.71"/>
    <col collapsed="false" customWidth="true" hidden="false" outlineLevel="0" max="264" min="264" style="81" width="13.15"/>
    <col collapsed="false" customWidth="true" hidden="false" outlineLevel="0" max="266" min="265" style="81" width="12.57"/>
    <col collapsed="false" customWidth="true" hidden="false" outlineLevel="0" max="513" min="267" style="81" width="9.14"/>
    <col collapsed="false" customWidth="true" hidden="false" outlineLevel="0" max="514" min="514" style="81" width="10.57"/>
    <col collapsed="false" customWidth="true" hidden="false" outlineLevel="0" max="515" min="515" style="81" width="27.71"/>
    <col collapsed="false" customWidth="true" hidden="false" outlineLevel="0" max="516" min="516" style="81" width="14.42"/>
    <col collapsed="false" customWidth="true" hidden="false" outlineLevel="0" max="518" min="517" style="81" width="15"/>
    <col collapsed="false" customWidth="true" hidden="false" outlineLevel="0" max="519" min="519" style="81" width="16.71"/>
    <col collapsed="false" customWidth="true" hidden="false" outlineLevel="0" max="520" min="520" style="81" width="13.15"/>
    <col collapsed="false" customWidth="true" hidden="false" outlineLevel="0" max="522" min="521" style="81" width="12.57"/>
    <col collapsed="false" customWidth="true" hidden="false" outlineLevel="0" max="769" min="523" style="81" width="9.14"/>
    <col collapsed="false" customWidth="true" hidden="false" outlineLevel="0" max="770" min="770" style="81" width="10.57"/>
    <col collapsed="false" customWidth="true" hidden="false" outlineLevel="0" max="771" min="771" style="81" width="27.71"/>
    <col collapsed="false" customWidth="true" hidden="false" outlineLevel="0" max="772" min="772" style="81" width="14.42"/>
    <col collapsed="false" customWidth="true" hidden="false" outlineLevel="0" max="774" min="773" style="81" width="15"/>
    <col collapsed="false" customWidth="true" hidden="false" outlineLevel="0" max="775" min="775" style="81" width="16.71"/>
    <col collapsed="false" customWidth="true" hidden="false" outlineLevel="0" max="776" min="776" style="81" width="13.15"/>
    <col collapsed="false" customWidth="true" hidden="false" outlineLevel="0" max="778" min="777" style="81" width="12.57"/>
    <col collapsed="false" customWidth="true" hidden="false" outlineLevel="0" max="1025" min="779" style="81" width="9.14"/>
  </cols>
  <sheetData>
    <row r="1" customFormat="false" ht="15" hidden="false" customHeight="false" outlineLevel="0" collapsed="false">
      <c r="A1" s="407"/>
      <c r="B1" s="118" t="str">
        <f aca="false">INSTRUÇÕES!B1</f>
        <v>Tribunal Regional Federal da 6ª Região</v>
      </c>
      <c r="C1" s="408"/>
      <c r="D1" s="408"/>
      <c r="E1" s="408"/>
      <c r="F1" s="409"/>
      <c r="G1" s="410"/>
      <c r="H1" s="410"/>
      <c r="I1" s="409"/>
      <c r="J1" s="411"/>
    </row>
    <row r="2" customFormat="false" ht="15" hidden="false" customHeight="false" outlineLevel="0" collapsed="false">
      <c r="A2" s="412"/>
      <c r="B2" s="120" t="str">
        <f aca="false">INSTRUÇÕES!B2</f>
        <v>Seção Judiciária de Minas Gerais</v>
      </c>
      <c r="C2" s="70"/>
      <c r="D2" s="70"/>
      <c r="E2" s="70"/>
      <c r="F2" s="413"/>
      <c r="I2" s="413"/>
      <c r="J2" s="414"/>
    </row>
    <row r="3" customFormat="false" ht="15" hidden="false" customHeight="false" outlineLevel="0" collapsed="false">
      <c r="A3" s="201"/>
      <c r="B3" s="415" t="str">
        <f aca="false">INSTRUÇÕES!B3</f>
        <v>Subseção Judiciária de Passos</v>
      </c>
      <c r="C3" s="70"/>
      <c r="D3" s="70"/>
      <c r="E3" s="70"/>
      <c r="F3" s="413"/>
      <c r="I3" s="413"/>
      <c r="J3" s="414"/>
    </row>
    <row r="4" customFormat="false" ht="19.5" hidden="false" customHeight="true" outlineLevel="0" collapsed="false">
      <c r="A4" s="416" t="s">
        <v>526</v>
      </c>
      <c r="B4" s="416"/>
      <c r="C4" s="416"/>
      <c r="D4" s="416"/>
      <c r="E4" s="416"/>
      <c r="F4" s="416"/>
      <c r="G4" s="416"/>
      <c r="H4" s="416"/>
      <c r="I4" s="416"/>
      <c r="J4" s="416"/>
    </row>
    <row r="5" customFormat="false" ht="19.5" hidden="false" customHeight="true" outlineLevel="0" collapsed="false">
      <c r="A5" s="417" t="s">
        <v>294</v>
      </c>
      <c r="B5" s="417"/>
      <c r="C5" s="417"/>
      <c r="D5" s="417"/>
      <c r="E5" s="417"/>
      <c r="F5" s="417"/>
      <c r="G5" s="417"/>
      <c r="H5" s="417"/>
      <c r="I5" s="417"/>
      <c r="J5" s="417"/>
    </row>
    <row r="6" customFormat="false" ht="36" hidden="false" customHeight="true" outlineLevel="0" collapsed="false">
      <c r="A6" s="418" t="str">
        <f aca="false">Dados!A4</f>
        <v>Sindicato utilizado - SINSERHT x SINTAPPI. Vigência: 2024/2025. Sendo a data base da categoria 01° de Abril. Com número de registro no MTE MG002103/2024.</v>
      </c>
      <c r="B6" s="418"/>
      <c r="C6" s="418"/>
      <c r="D6" s="418"/>
      <c r="E6" s="418"/>
      <c r="F6" s="418"/>
      <c r="G6" s="418"/>
      <c r="H6" s="418"/>
      <c r="I6" s="418"/>
      <c r="J6" s="418"/>
    </row>
    <row r="7" customFormat="false" ht="19.5" hidden="false" customHeight="true" outlineLevel="0" collapsed="false">
      <c r="A7" s="419" t="str">
        <f aca="false">Dados!C7</f>
        <v>Servente de Limpeza 40% Insalubridade</v>
      </c>
      <c r="B7" s="419"/>
      <c r="C7" s="419"/>
      <c r="D7" s="419"/>
      <c r="E7" s="419"/>
      <c r="F7" s="420" t="s">
        <v>527</v>
      </c>
      <c r="G7" s="420" t="s">
        <v>528</v>
      </c>
      <c r="H7" s="420" t="s">
        <v>529</v>
      </c>
      <c r="I7" s="420" t="s">
        <v>530</v>
      </c>
      <c r="J7" s="420" t="s">
        <v>531</v>
      </c>
    </row>
    <row r="8" customFormat="false" ht="19.5" hidden="false" customHeight="true" outlineLevel="0" collapsed="false">
      <c r="A8" s="421" t="s">
        <v>532</v>
      </c>
      <c r="B8" s="421"/>
      <c r="C8" s="421"/>
      <c r="D8" s="421"/>
      <c r="E8" s="422" t="s">
        <v>470</v>
      </c>
      <c r="F8" s="420"/>
      <c r="G8" s="420"/>
      <c r="H8" s="420"/>
      <c r="I8" s="420"/>
      <c r="J8" s="420"/>
    </row>
    <row r="9" customFormat="false" ht="19.5" hidden="false" customHeight="true" outlineLevel="0" collapsed="false">
      <c r="A9" s="423" t="s">
        <v>533</v>
      </c>
      <c r="B9" s="423"/>
      <c r="C9" s="423"/>
      <c r="D9" s="423"/>
      <c r="E9" s="423"/>
      <c r="F9" s="423"/>
      <c r="G9" s="423"/>
      <c r="H9" s="423"/>
      <c r="I9" s="423"/>
      <c r="J9" s="423"/>
    </row>
    <row r="10" customFormat="false" ht="24" hidden="false" customHeight="true" outlineLevel="0" collapsed="false">
      <c r="A10" s="210" t="s">
        <v>471</v>
      </c>
      <c r="B10" s="424" t="s">
        <v>534</v>
      </c>
      <c r="C10" s="424"/>
      <c r="D10" s="425" t="s">
        <v>535</v>
      </c>
      <c r="E10" s="426" t="s">
        <v>536</v>
      </c>
      <c r="F10" s="427" t="s">
        <v>474</v>
      </c>
      <c r="G10" s="427"/>
      <c r="H10" s="427"/>
      <c r="I10" s="427"/>
      <c r="J10" s="427"/>
    </row>
    <row r="11" customFormat="false" ht="19.5" hidden="false" customHeight="true" outlineLevel="0" collapsed="false">
      <c r="A11" s="428" t="n">
        <v>1</v>
      </c>
      <c r="B11" s="429" t="str">
        <f aca="false">A7</f>
        <v>Servente de Limpeza 40% Insalubridade</v>
      </c>
      <c r="C11" s="429"/>
      <c r="D11" s="38" t="n">
        <f aca="false">Dados!D7</f>
        <v>200</v>
      </c>
      <c r="E11" s="430" t="n">
        <f aca="false">Dados!E7</f>
        <v>1526.8</v>
      </c>
      <c r="F11" s="431" t="n">
        <f aca="false">ROUND(E11/220*D11,2)</f>
        <v>1388</v>
      </c>
      <c r="G11" s="431" t="n">
        <f aca="false">F11</f>
        <v>1388</v>
      </c>
      <c r="H11" s="431"/>
      <c r="I11" s="431"/>
      <c r="J11" s="432"/>
    </row>
    <row r="12" customFormat="false" ht="19.5" hidden="false" customHeight="true" outlineLevel="0" collapsed="false">
      <c r="A12" s="428"/>
      <c r="B12" s="326" t="s">
        <v>537</v>
      </c>
      <c r="C12" s="326"/>
      <c r="D12" s="433" t="n">
        <f aca="false">Dados!G7</f>
        <v>0.4</v>
      </c>
      <c r="E12" s="430" t="n">
        <f aca="false">Dados!G27</f>
        <v>1412</v>
      </c>
      <c r="F12" s="431" t="n">
        <f aca="false">D12*E12</f>
        <v>564.8</v>
      </c>
      <c r="G12" s="431" t="n">
        <f aca="false">F12</f>
        <v>564.8</v>
      </c>
      <c r="H12" s="431"/>
      <c r="I12" s="431"/>
      <c r="J12" s="432" t="n">
        <f aca="false">F12</f>
        <v>564.8</v>
      </c>
    </row>
    <row r="13" customFormat="false" ht="20.25" hidden="false" customHeight="true" outlineLevel="0" collapsed="false">
      <c r="A13" s="428"/>
      <c r="B13" s="434" t="s">
        <v>538</v>
      </c>
      <c r="C13" s="435" t="n">
        <f aca="false">Dados!I7</f>
        <v>0</v>
      </c>
      <c r="D13" s="435" t="n">
        <f aca="false">Dados!J7</f>
        <v>0</v>
      </c>
      <c r="E13" s="436" t="n">
        <f aca="false">Dados!K9</f>
        <v>0</v>
      </c>
      <c r="F13" s="437" t="n">
        <f aca="false">ROUND((E13*D13*C13),2)</f>
        <v>0</v>
      </c>
      <c r="G13" s="437" t="n">
        <f aca="false">F13</f>
        <v>0</v>
      </c>
      <c r="H13" s="437"/>
      <c r="I13" s="437"/>
      <c r="J13" s="438"/>
    </row>
    <row r="14" customFormat="false" ht="19.5" hidden="false" customHeight="true" outlineLevel="0" collapsed="false">
      <c r="A14" s="428"/>
      <c r="B14" s="327" t="s">
        <v>539</v>
      </c>
      <c r="C14" s="327"/>
      <c r="D14" s="327"/>
      <c r="E14" s="327"/>
      <c r="F14" s="439" t="n">
        <f aca="false">SUM(F11:F13)</f>
        <v>1952.8</v>
      </c>
      <c r="G14" s="439" t="n">
        <f aca="false">SUM(G11:G13)</f>
        <v>1952.8</v>
      </c>
      <c r="H14" s="439" t="n">
        <f aca="false">SUM(H11:H13)</f>
        <v>0</v>
      </c>
      <c r="I14" s="439" t="n">
        <f aca="false">SUM(I11:I13)</f>
        <v>0</v>
      </c>
      <c r="J14" s="440" t="n">
        <f aca="false">SUM(J11:J13)</f>
        <v>564.8</v>
      </c>
    </row>
    <row r="15" customFormat="false" ht="19.5" hidden="false" customHeight="true" outlineLevel="0" collapsed="false">
      <c r="A15" s="428"/>
      <c r="B15" s="441" t="s">
        <v>540</v>
      </c>
      <c r="C15" s="441"/>
      <c r="D15" s="441"/>
      <c r="E15" s="442" t="n">
        <f aca="false">Encargos!$C$57</f>
        <v>0.7905</v>
      </c>
      <c r="F15" s="431" t="n">
        <f aca="false">ROUND((E15*F14),2)</f>
        <v>1543.69</v>
      </c>
      <c r="G15" s="431" t="n">
        <f aca="false">F15</f>
        <v>1543.69</v>
      </c>
      <c r="H15" s="431"/>
      <c r="I15" s="431"/>
      <c r="J15" s="432" t="n">
        <f aca="false">ROUND((E15*J14),2)</f>
        <v>446.47</v>
      </c>
    </row>
    <row r="16" customFormat="false" ht="19.5" hidden="false" customHeight="true" outlineLevel="0" collapsed="false">
      <c r="A16" s="443" t="s">
        <v>541</v>
      </c>
      <c r="B16" s="443"/>
      <c r="C16" s="443"/>
      <c r="D16" s="443"/>
      <c r="E16" s="443"/>
      <c r="F16" s="444" t="n">
        <f aca="false">SUM(F14:F15)</f>
        <v>3496.49</v>
      </c>
      <c r="G16" s="444" t="n">
        <f aca="false">SUM(G14:G15)</f>
        <v>3496.49</v>
      </c>
      <c r="H16" s="444" t="n">
        <f aca="false">SUM(H14:H15)</f>
        <v>0</v>
      </c>
      <c r="I16" s="444" t="n">
        <f aca="false">SUM(I14:I15)</f>
        <v>0</v>
      </c>
      <c r="J16" s="445" t="n">
        <f aca="false">SUM(J14:J15)</f>
        <v>1011.27</v>
      </c>
    </row>
    <row r="17" customFormat="false" ht="19.5" hidden="false" customHeight="true" outlineLevel="0" collapsed="false">
      <c r="A17" s="446" t="s">
        <v>542</v>
      </c>
      <c r="B17" s="446"/>
      <c r="C17" s="446"/>
      <c r="D17" s="446"/>
      <c r="E17" s="446"/>
      <c r="F17" s="446"/>
      <c r="G17" s="446"/>
      <c r="H17" s="446"/>
      <c r="I17" s="446"/>
      <c r="J17" s="446"/>
    </row>
    <row r="18" customFormat="false" ht="19.5" hidden="false" customHeight="true" outlineLevel="0" collapsed="false">
      <c r="A18" s="275" t="s">
        <v>543</v>
      </c>
      <c r="B18" s="275"/>
      <c r="C18" s="49" t="s">
        <v>473</v>
      </c>
      <c r="D18" s="447" t="s">
        <v>544</v>
      </c>
      <c r="E18" s="447"/>
      <c r="F18" s="432" t="s">
        <v>474</v>
      </c>
      <c r="G18" s="432"/>
      <c r="H18" s="432"/>
      <c r="I18" s="432"/>
      <c r="J18" s="432"/>
    </row>
    <row r="19" customFormat="false" ht="19.5" hidden="false" customHeight="true" outlineLevel="0" collapsed="false">
      <c r="A19" s="448" t="s">
        <v>545</v>
      </c>
      <c r="B19" s="448"/>
      <c r="C19" s="282"/>
      <c r="D19" s="282"/>
      <c r="E19" s="282"/>
      <c r="F19" s="431" t="n">
        <f aca="false">Dados!$N$7</f>
        <v>37.6</v>
      </c>
      <c r="G19" s="431" t="n">
        <f aca="false">F19</f>
        <v>37.6</v>
      </c>
      <c r="H19" s="431"/>
      <c r="I19" s="431"/>
      <c r="J19" s="432"/>
    </row>
    <row r="20" customFormat="false" ht="19.5" hidden="false" customHeight="true" outlineLevel="0" collapsed="false">
      <c r="A20" s="448" t="s">
        <v>546</v>
      </c>
      <c r="B20" s="448"/>
      <c r="C20" s="282"/>
      <c r="D20" s="282"/>
      <c r="E20" s="282"/>
      <c r="F20" s="431" t="n">
        <f aca="false">Dados!$G$30</f>
        <v>7.2</v>
      </c>
      <c r="G20" s="431" t="n">
        <f aca="false">F20</f>
        <v>7.2</v>
      </c>
      <c r="H20" s="431"/>
      <c r="I20" s="431"/>
      <c r="J20" s="432"/>
    </row>
    <row r="21" customFormat="false" ht="23.25" hidden="false" customHeight="true" outlineLevel="0" collapsed="false">
      <c r="A21" s="449" t="s">
        <v>224</v>
      </c>
      <c r="B21" s="449"/>
      <c r="C21" s="282"/>
      <c r="D21" s="282"/>
      <c r="E21" s="282"/>
      <c r="F21" s="431" t="n">
        <f aca="false">Dados!G31</f>
        <v>0</v>
      </c>
      <c r="G21" s="431" t="n">
        <f aca="false">F21</f>
        <v>0</v>
      </c>
      <c r="H21" s="431"/>
      <c r="I21" s="431"/>
      <c r="J21" s="432"/>
    </row>
    <row r="22" customFormat="false" ht="19.5" hidden="false" customHeight="true" outlineLevel="0" collapsed="false">
      <c r="A22" s="448" t="s">
        <v>225</v>
      </c>
      <c r="B22" s="448"/>
      <c r="C22" s="450" t="n">
        <f aca="false">Dados!$G$34</f>
        <v>22</v>
      </c>
      <c r="D22" s="450" t="n">
        <f aca="false">Dados!$G$33</f>
        <v>2</v>
      </c>
      <c r="E22" s="282" t="n">
        <f aca="false">Dados!$G$32</f>
        <v>3.9</v>
      </c>
      <c r="F22" s="431" t="n">
        <f aca="false">IF(ROUND((E22*D22*C22)-(F11*Dados!$G$35),2)&lt;0,0,ROUND((E22*D22*C22)-(F11*Dados!$G$35),2))</f>
        <v>88.32</v>
      </c>
      <c r="G22" s="431" t="n">
        <f aca="false">F22</f>
        <v>88.32</v>
      </c>
      <c r="H22" s="431"/>
      <c r="I22" s="431" t="n">
        <f aca="false">F22</f>
        <v>88.32</v>
      </c>
      <c r="J22" s="432"/>
    </row>
    <row r="23" customFormat="false" ht="19.5" hidden="false" customHeight="true" outlineLevel="0" collapsed="false">
      <c r="A23" s="448" t="s">
        <v>234</v>
      </c>
      <c r="B23" s="448"/>
      <c r="C23" s="450" t="n">
        <f aca="false">Dados!$G$37</f>
        <v>22</v>
      </c>
      <c r="D23" s="451" t="n">
        <f aca="false">Dados!$G$38</f>
        <v>0.2</v>
      </c>
      <c r="E23" s="282" t="n">
        <f aca="false">Dados!$G$36</f>
        <v>27</v>
      </c>
      <c r="F23" s="320" t="n">
        <f aca="false">ROUND((IF(D11&gt;150,((C23*E23)-(C23*(D23*E23))),0)),2)</f>
        <v>475.2</v>
      </c>
      <c r="G23" s="431" t="n">
        <f aca="false">F23</f>
        <v>475.2</v>
      </c>
      <c r="H23" s="431" t="n">
        <f aca="false">$F$23</f>
        <v>475.2</v>
      </c>
      <c r="I23" s="320"/>
      <c r="J23" s="432"/>
    </row>
    <row r="24" customFormat="false" ht="19.5" hidden="false" customHeight="true" outlineLevel="0" collapsed="false">
      <c r="A24" s="448" t="s">
        <v>184</v>
      </c>
      <c r="B24" s="448"/>
      <c r="C24" s="450"/>
      <c r="D24" s="450"/>
      <c r="E24" s="282"/>
      <c r="F24" s="320" t="n">
        <f aca="false">Dados!Q7</f>
        <v>4.17</v>
      </c>
      <c r="G24" s="431" t="n">
        <f aca="false">F24</f>
        <v>4.17</v>
      </c>
      <c r="H24" s="431"/>
      <c r="I24" s="320"/>
      <c r="J24" s="432"/>
    </row>
    <row r="25" customFormat="false" ht="19.5" hidden="false" customHeight="true" outlineLevel="0" collapsed="false">
      <c r="A25" s="448" t="s">
        <v>237</v>
      </c>
      <c r="B25" s="448"/>
      <c r="C25" s="450"/>
      <c r="D25" s="450"/>
      <c r="E25" s="282"/>
      <c r="F25" s="320" t="n">
        <f aca="false">Dados!$G$40</f>
        <v>0</v>
      </c>
      <c r="G25" s="431"/>
      <c r="H25" s="431"/>
      <c r="I25" s="320"/>
      <c r="J25" s="432"/>
    </row>
    <row r="26" customFormat="false" ht="19.5" hidden="false" customHeight="true" outlineLevel="0" collapsed="false">
      <c r="A26" s="448" t="s">
        <v>547</v>
      </c>
      <c r="B26" s="448"/>
      <c r="C26" s="450"/>
      <c r="D26" s="282"/>
      <c r="E26" s="282"/>
      <c r="F26" s="431" t="n">
        <f aca="false">Dados!$O$7</f>
        <v>371.86</v>
      </c>
      <c r="G26" s="431"/>
      <c r="H26" s="431"/>
      <c r="I26" s="431"/>
      <c r="J26" s="432"/>
      <c r="L26" s="70"/>
    </row>
    <row r="27" customFormat="false" ht="19.5" hidden="false" customHeight="true" outlineLevel="0" collapsed="false">
      <c r="A27" s="448" t="s">
        <v>548</v>
      </c>
      <c r="B27" s="452"/>
      <c r="C27" s="450"/>
      <c r="D27" s="282"/>
      <c r="E27" s="282"/>
      <c r="F27" s="431"/>
      <c r="G27" s="431"/>
      <c r="H27" s="431"/>
      <c r="I27" s="431"/>
      <c r="J27" s="432"/>
    </row>
    <row r="28" customFormat="false" ht="19.5" hidden="false" customHeight="true" outlineLevel="0" collapsed="false">
      <c r="A28" s="453" t="s">
        <v>549</v>
      </c>
      <c r="B28" s="453"/>
      <c r="C28" s="454"/>
      <c r="D28" s="455"/>
      <c r="E28" s="455"/>
      <c r="F28" s="437" t="n">
        <f aca="false">Dados!$R$7</f>
        <v>7.125</v>
      </c>
      <c r="G28" s="437" t="n">
        <f aca="false">F28</f>
        <v>7.125</v>
      </c>
      <c r="H28" s="437"/>
      <c r="I28" s="437"/>
      <c r="J28" s="438"/>
    </row>
    <row r="29" customFormat="false" ht="19.5" hidden="false" customHeight="true" outlineLevel="0" collapsed="false">
      <c r="A29" s="456" t="s">
        <v>550</v>
      </c>
      <c r="B29" s="456"/>
      <c r="C29" s="456"/>
      <c r="D29" s="456"/>
      <c r="E29" s="456"/>
      <c r="F29" s="444" t="n">
        <f aca="false">SUM(F19:F28)</f>
        <v>991.475</v>
      </c>
      <c r="G29" s="444" t="n">
        <f aca="false">SUM(G19:G28)</f>
        <v>619.615</v>
      </c>
      <c r="H29" s="444" t="n">
        <f aca="false">SUM(H19:H28)</f>
        <v>475.2</v>
      </c>
      <c r="I29" s="444" t="n">
        <f aca="false">SUM(I19:I28)</f>
        <v>88.32</v>
      </c>
      <c r="J29" s="445" t="n">
        <f aca="false">SUM(J19:J28)</f>
        <v>0</v>
      </c>
    </row>
    <row r="30" customFormat="false" ht="19.5" hidden="false" customHeight="true" outlineLevel="0" collapsed="false">
      <c r="A30" s="456" t="s">
        <v>551</v>
      </c>
      <c r="B30" s="456"/>
      <c r="C30" s="456"/>
      <c r="D30" s="456"/>
      <c r="E30" s="456"/>
      <c r="F30" s="444" t="n">
        <f aca="false">F16+F29</f>
        <v>4487.965</v>
      </c>
      <c r="G30" s="444" t="n">
        <f aca="false">G16+G29</f>
        <v>4116.105</v>
      </c>
      <c r="H30" s="444" t="n">
        <f aca="false">H16+H29</f>
        <v>475.2</v>
      </c>
      <c r="I30" s="444" t="n">
        <f aca="false">I16+I29</f>
        <v>88.32</v>
      </c>
      <c r="J30" s="445" t="n">
        <f aca="false">J16+J29</f>
        <v>1011.27</v>
      </c>
    </row>
    <row r="31" customFormat="false" ht="19.5" hidden="false" customHeight="true" outlineLevel="0" collapsed="false">
      <c r="A31" s="423" t="s">
        <v>552</v>
      </c>
      <c r="B31" s="423"/>
      <c r="C31" s="423"/>
      <c r="D31" s="423"/>
      <c r="E31" s="423"/>
      <c r="F31" s="423"/>
      <c r="G31" s="423"/>
      <c r="H31" s="423"/>
      <c r="I31" s="423"/>
      <c r="J31" s="423"/>
    </row>
    <row r="32" customFormat="false" ht="19.5" hidden="false" customHeight="true" outlineLevel="0" collapsed="false">
      <c r="A32" s="275" t="s">
        <v>553</v>
      </c>
      <c r="B32" s="275"/>
      <c r="C32" s="275"/>
      <c r="D32" s="285" t="s">
        <v>554</v>
      </c>
      <c r="E32" s="457" t="s">
        <v>474</v>
      </c>
      <c r="F32" s="457"/>
      <c r="G32" s="457"/>
      <c r="H32" s="457"/>
      <c r="I32" s="457"/>
      <c r="J32" s="457"/>
    </row>
    <row r="33" customFormat="false" ht="19.5" hidden="false" customHeight="true" outlineLevel="0" collapsed="false">
      <c r="A33" s="458" t="s">
        <v>555</v>
      </c>
      <c r="B33" s="459"/>
      <c r="C33" s="459"/>
      <c r="D33" s="433" t="n">
        <f aca="false">Dados!$G$43</f>
        <v>0.03</v>
      </c>
      <c r="E33" s="460"/>
      <c r="F33" s="431" t="n">
        <f aca="false">ROUND((F30*$D$33),2)</f>
        <v>134.64</v>
      </c>
      <c r="G33" s="431" t="n">
        <f aca="false">ROUND((G30*$D$33),2)</f>
        <v>123.48</v>
      </c>
      <c r="H33" s="431" t="n">
        <f aca="false">ROUND((H30*$D$33),2)</f>
        <v>14.26</v>
      </c>
      <c r="I33" s="431" t="n">
        <f aca="false">ROUND((I30*$D$33),2)</f>
        <v>2.65</v>
      </c>
      <c r="J33" s="432" t="n">
        <f aca="false">ROUND((J30*$D$33),2)</f>
        <v>30.34</v>
      </c>
    </row>
    <row r="34" customFormat="false" ht="19.5" hidden="false" customHeight="true" outlineLevel="0" collapsed="false">
      <c r="A34" s="461" t="s">
        <v>556</v>
      </c>
      <c r="B34" s="461"/>
      <c r="C34" s="461"/>
      <c r="D34" s="433"/>
      <c r="E34" s="460"/>
      <c r="F34" s="431" t="n">
        <f aca="false">F30+F33</f>
        <v>4622.605</v>
      </c>
      <c r="G34" s="431" t="n">
        <f aca="false">G30+G33</f>
        <v>4239.585</v>
      </c>
      <c r="H34" s="431" t="n">
        <f aca="false">H30+H33</f>
        <v>489.46</v>
      </c>
      <c r="I34" s="431" t="n">
        <f aca="false">I30+I33</f>
        <v>90.97</v>
      </c>
      <c r="J34" s="432" t="n">
        <f aca="false">J30+J33</f>
        <v>1041.61</v>
      </c>
    </row>
    <row r="35" customFormat="false" ht="19.5" hidden="false" customHeight="true" outlineLevel="0" collapsed="false">
      <c r="A35" s="462" t="s">
        <v>242</v>
      </c>
      <c r="B35" s="463"/>
      <c r="C35" s="463"/>
      <c r="D35" s="435" t="n">
        <f aca="false">Dados!$G$44</f>
        <v>0.0679</v>
      </c>
      <c r="E35" s="464"/>
      <c r="F35" s="437" t="n">
        <f aca="false">ROUND((F34*$D$35),2)</f>
        <v>313.87</v>
      </c>
      <c r="G35" s="437" t="n">
        <f aca="false">ROUND((G34*$D$35),2)</f>
        <v>287.87</v>
      </c>
      <c r="H35" s="437" t="n">
        <f aca="false">ROUND((H34*$D$35),2)</f>
        <v>33.23</v>
      </c>
      <c r="I35" s="437" t="n">
        <f aca="false">ROUND((I34*$D$35),2)</f>
        <v>6.18</v>
      </c>
      <c r="J35" s="438" t="n">
        <f aca="false">ROUND((J34*$D$35),2)</f>
        <v>70.73</v>
      </c>
    </row>
    <row r="36" customFormat="false" ht="19.5" hidden="false" customHeight="true" outlineLevel="0" collapsed="false">
      <c r="A36" s="465" t="s">
        <v>557</v>
      </c>
      <c r="B36" s="466"/>
      <c r="C36" s="466"/>
      <c r="D36" s="467" t="n">
        <f aca="false">SUM(D33:D35)</f>
        <v>0.0979</v>
      </c>
      <c r="E36" s="468"/>
      <c r="F36" s="444" t="n">
        <f aca="false">F33+F35</f>
        <v>448.51</v>
      </c>
      <c r="G36" s="444" t="n">
        <f aca="false">G33+G35</f>
        <v>411.35</v>
      </c>
      <c r="H36" s="444" t="n">
        <f aca="false">H33+H35</f>
        <v>47.49</v>
      </c>
      <c r="I36" s="444" t="n">
        <f aca="false">I33+I35</f>
        <v>8.83</v>
      </c>
      <c r="J36" s="445" t="n">
        <f aca="false">J33+J35</f>
        <v>101.07</v>
      </c>
    </row>
    <row r="37" customFormat="false" ht="19.5" hidden="false" customHeight="true" outlineLevel="0" collapsed="false">
      <c r="A37" s="469" t="s">
        <v>558</v>
      </c>
      <c r="B37" s="469"/>
      <c r="C37" s="469"/>
      <c r="D37" s="469"/>
      <c r="E37" s="469"/>
      <c r="F37" s="470" t="n">
        <f aca="false">F30+F36</f>
        <v>4936.475</v>
      </c>
      <c r="G37" s="470" t="n">
        <f aca="false">G30+G36</f>
        <v>4527.455</v>
      </c>
      <c r="H37" s="470" t="n">
        <f aca="false">H30+H36</f>
        <v>522.69</v>
      </c>
      <c r="I37" s="470" t="n">
        <f aca="false">I30+I36</f>
        <v>97.15</v>
      </c>
      <c r="J37" s="471" t="n">
        <f aca="false">J30+J36</f>
        <v>1112.34</v>
      </c>
    </row>
    <row r="38" customFormat="false" ht="19.5" hidden="false" customHeight="true" outlineLevel="0" collapsed="false">
      <c r="A38" s="472" t="s">
        <v>559</v>
      </c>
      <c r="B38" s="472"/>
      <c r="C38" s="472"/>
      <c r="D38" s="472"/>
      <c r="E38" s="472"/>
      <c r="F38" s="472"/>
      <c r="G38" s="472"/>
      <c r="H38" s="472"/>
      <c r="I38" s="472"/>
      <c r="J38" s="472"/>
    </row>
    <row r="39" customFormat="false" ht="19.5" hidden="false" customHeight="true" outlineLevel="0" collapsed="false">
      <c r="A39" s="448" t="s">
        <v>248</v>
      </c>
      <c r="B39" s="448"/>
      <c r="C39" s="448"/>
      <c r="D39" s="433" t="n">
        <f aca="false">Dados!G51</f>
        <v>0.076</v>
      </c>
      <c r="E39" s="431"/>
      <c r="F39" s="431" t="n">
        <f aca="false">ROUND(($F$45*D39),2)</f>
        <v>427.55</v>
      </c>
      <c r="G39" s="431" t="n">
        <f aca="false">ROUND((G45*$D$39),2)</f>
        <v>392.12</v>
      </c>
      <c r="H39" s="431" t="n">
        <f aca="false">ROUND((H45*$D$39),2)</f>
        <v>45.27</v>
      </c>
      <c r="I39" s="431" t="n">
        <f aca="false">ROUND((I45*$D$39),2)</f>
        <v>8.41</v>
      </c>
      <c r="J39" s="432" t="n">
        <f aca="false">ROUND((J45*$D$39),2)</f>
        <v>96.34</v>
      </c>
    </row>
    <row r="40" customFormat="false" ht="19.5" hidden="false" customHeight="true" outlineLevel="0" collapsed="false">
      <c r="A40" s="448" t="s">
        <v>250</v>
      </c>
      <c r="B40" s="448"/>
      <c r="C40" s="448"/>
      <c r="D40" s="433" t="n">
        <f aca="false">Dados!G52</f>
        <v>0.0165</v>
      </c>
      <c r="E40" s="431"/>
      <c r="F40" s="431" t="n">
        <f aca="false">ROUND((F45*$D$40),2)</f>
        <v>92.82</v>
      </c>
      <c r="G40" s="431" t="n">
        <f aca="false">ROUND((G45*$D$40),2)</f>
        <v>85.13</v>
      </c>
      <c r="H40" s="431" t="n">
        <f aca="false">ROUND((H45*$D$40),2)</f>
        <v>9.83</v>
      </c>
      <c r="I40" s="431" t="n">
        <f aca="false">ROUND((I45*$D$40),2)</f>
        <v>1.83</v>
      </c>
      <c r="J40" s="432" t="n">
        <f aca="false">ROUND((J45*$D$40),2)</f>
        <v>20.92</v>
      </c>
    </row>
    <row r="41" customFormat="false" ht="19.5" hidden="false" customHeight="true" outlineLevel="0" collapsed="false">
      <c r="A41" s="448" t="s">
        <v>251</v>
      </c>
      <c r="B41" s="448"/>
      <c r="C41" s="448"/>
      <c r="D41" s="433" t="n">
        <f aca="false">Dados!G53</f>
        <v>0.03</v>
      </c>
      <c r="E41" s="431"/>
      <c r="F41" s="431" t="n">
        <f aca="false">ROUND((F45*$D$41),2)</f>
        <v>168.77</v>
      </c>
      <c r="G41" s="431" t="n">
        <f aca="false">ROUND((G45*$D$41),2)</f>
        <v>154.78</v>
      </c>
      <c r="H41" s="431" t="n">
        <f aca="false">ROUND((H45*$D$41),2)</f>
        <v>17.87</v>
      </c>
      <c r="I41" s="431" t="n">
        <f aca="false">ROUND((I45*$D$41),2)</f>
        <v>3.32</v>
      </c>
      <c r="J41" s="432" t="n">
        <f aca="false">ROUND((J45*$D$41),2)</f>
        <v>38.03</v>
      </c>
    </row>
    <row r="42" customFormat="false" ht="19.5" hidden="false" customHeight="true" outlineLevel="0" collapsed="false">
      <c r="A42" s="448" t="s">
        <v>237</v>
      </c>
      <c r="B42" s="448"/>
      <c r="C42" s="448"/>
      <c r="D42" s="433" t="n">
        <f aca="false">Dados!G54</f>
        <v>0</v>
      </c>
      <c r="E42" s="431"/>
      <c r="F42" s="431" t="n">
        <f aca="false">ROUND((F45*$D$42),2)</f>
        <v>0</v>
      </c>
      <c r="G42" s="431" t="n">
        <f aca="false">ROUND((G45*$D$42),2)</f>
        <v>0</v>
      </c>
      <c r="H42" s="431" t="n">
        <f aca="false">ROUND((H45*$D$42),2)</f>
        <v>0</v>
      </c>
      <c r="I42" s="431" t="n">
        <f aca="false">ROUND((I45*$D$42),2)</f>
        <v>0</v>
      </c>
      <c r="J42" s="432" t="n">
        <f aca="false">ROUND((J45*$D$42),2)</f>
        <v>0</v>
      </c>
    </row>
    <row r="43" customFormat="false" ht="19.5" hidden="false" customHeight="true" outlineLevel="0" collapsed="false">
      <c r="A43" s="473" t="s">
        <v>560</v>
      </c>
      <c r="B43" s="473"/>
      <c r="C43" s="473"/>
      <c r="D43" s="474" t="n">
        <f aca="false">SUM(D39:D42)</f>
        <v>0.1225</v>
      </c>
      <c r="E43" s="475"/>
      <c r="F43" s="476" t="n">
        <f aca="false">SUM(F39:F42)</f>
        <v>689.14</v>
      </c>
      <c r="G43" s="476" t="n">
        <f aca="false">SUM(G39:G42)</f>
        <v>632.03</v>
      </c>
      <c r="H43" s="476" t="n">
        <f aca="false">SUM(H39:H42)</f>
        <v>72.97</v>
      </c>
      <c r="I43" s="476" t="n">
        <f aca="false">SUM(I39:I42)</f>
        <v>13.56</v>
      </c>
      <c r="J43" s="477" t="n">
        <f aca="false">SUM(J39:J41)</f>
        <v>155.29</v>
      </c>
    </row>
    <row r="44" customFormat="false" ht="19.5" hidden="false" customHeight="true" outlineLevel="0" collapsed="false">
      <c r="A44" s="478" t="str">
        <f aca="false">CONCATENATE("Custo Mensal - ",A7)</f>
        <v>Custo Mensal - Servente de Limpeza 40% Insalubridade</v>
      </c>
      <c r="B44" s="478"/>
      <c r="C44" s="478"/>
      <c r="D44" s="478"/>
      <c r="E44" s="478"/>
      <c r="F44" s="479" t="n">
        <f aca="false">ROUND(F37/(1-D43),2)</f>
        <v>5625.61</v>
      </c>
      <c r="G44" s="479" t="n">
        <f aca="false">ROUND(G37/(1-D43),2)</f>
        <v>5159.49</v>
      </c>
      <c r="H44" s="479" t="n">
        <f aca="false">ROUND(H37/(1-D43),2)</f>
        <v>595.66</v>
      </c>
      <c r="I44" s="479" t="n">
        <f aca="false">ROUND(I37/(1-D43),2)</f>
        <v>110.71</v>
      </c>
      <c r="J44" s="480" t="n">
        <f aca="false">ROUND(J37/(1-D43),2)</f>
        <v>1267.62</v>
      </c>
    </row>
    <row r="45" customFormat="false" ht="19.5" hidden="false" customHeight="true" outlineLevel="0" collapsed="false">
      <c r="A45" s="478" t="str">
        <f aca="false">CONCATENATE("Valor do Custo Mensal - ",A7)</f>
        <v>Valor do Custo Mensal - Servente de Limpeza 40% Insalubridade</v>
      </c>
      <c r="B45" s="478"/>
      <c r="C45" s="478"/>
      <c r="D45" s="478"/>
      <c r="E45" s="478"/>
      <c r="F45" s="479" t="n">
        <f aca="false">F44</f>
        <v>5625.61</v>
      </c>
      <c r="G45" s="479" t="n">
        <f aca="false">G44</f>
        <v>5159.49</v>
      </c>
      <c r="H45" s="479" t="n">
        <f aca="false">H44</f>
        <v>595.66</v>
      </c>
      <c r="I45" s="479" t="n">
        <f aca="false">I44</f>
        <v>110.71</v>
      </c>
      <c r="J45" s="480" t="n">
        <f aca="false">J44</f>
        <v>1267.62</v>
      </c>
      <c r="K45" s="481"/>
      <c r="L45" s="481"/>
    </row>
    <row r="46" customFormat="false" ht="27.75" hidden="false" customHeight="true" outlineLevel="0" collapsed="false">
      <c r="A46" s="482" t="s">
        <v>561</v>
      </c>
      <c r="B46" s="482"/>
      <c r="C46" s="482"/>
      <c r="D46" s="482"/>
      <c r="E46" s="482"/>
      <c r="F46" s="483" t="n">
        <f aca="false">(F45/F14)</f>
        <v>2.88079168373617</v>
      </c>
      <c r="G46" s="483" t="n">
        <f aca="false">(G45/G14)</f>
        <v>2.64209852519459</v>
      </c>
      <c r="H46" s="484" t="s">
        <v>562</v>
      </c>
      <c r="I46" s="484"/>
      <c r="J46" s="485" t="n">
        <f aca="false">ROUND((J45/30),2)</f>
        <v>42.25</v>
      </c>
    </row>
    <row r="47" customFormat="false" ht="19.5" hidden="false" customHeight="true" outlineLevel="0" collapsed="false"/>
  </sheetData>
  <sheetProtection algorithmName="SHA-512" hashValue="Md7A5WyHp/j1XauWpEHQKAqogwewK5XWdSlpGm9UruOW9oMGEw5KLgsFVWv/MLJXFEjyxTYti/181u4F0KD0rQ==" saltValue="EOfKyLztpNUFquqvgeVCPQ==" spinCount="100000" sheet="true" objects="true" scenarios="true"/>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A42:C42"/>
    <mergeCell ref="A43:C43"/>
    <mergeCell ref="A44:E44"/>
    <mergeCell ref="A45:E45"/>
    <mergeCell ref="A46:E46"/>
    <mergeCell ref="H46:I46"/>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135</TotalTime>
  <Application>LibreOffice/24.2.4.2$Windows_X86_64 LibreOffice_project/51a6219feb6075d9a4c46691dcfe0cd9c4fff3c2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creator>Fábio Lucas Gouveia dos Santos</dc:creator>
  <dc:description/>
  <dc:language>pt-BR</dc:language>
  <cp:lastModifiedBy/>
  <dcterms:modified xsi:type="dcterms:W3CDTF">2026-03-27T18:52:42Z</dcterms:modified>
  <cp:revision>15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ProgId">
    <vt:lpwstr>Excel.Sheet</vt:lpwstr>
  </property>
  <property fmtid="{D5CDD505-2E9C-101B-9397-08002B2CF9AE}" pid="5" name="ScaleCrop">
    <vt:bool>0</vt:bool>
  </property>
  <property fmtid="{D5CDD505-2E9C-101B-9397-08002B2CF9AE}" pid="6" name="ShareDoc">
    <vt:bool>0</vt:bool>
  </property>
</Properties>
</file>