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drawing15.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2"/>
  </bookViews>
  <sheets>
    <sheet name="Ocorrências Mensais - FAT" sheetId="1" state="hidden" r:id="rId3"/>
    <sheet name="INSTRUÇÕES" sheetId="2" state="visible" r:id="rId4"/>
    <sheet name="Dados" sheetId="3" state="visible" r:id="rId5"/>
    <sheet name="Encargos" sheetId="4" state="visible" r:id="rId6"/>
    <sheet name="Mat" sheetId="5" state="visible" r:id="rId7"/>
    <sheet name="EPI" sheetId="6" state="visible" r:id="rId8"/>
    <sheet name="Equip" sheetId="7" state="visible" r:id="rId9"/>
    <sheet name="Unif" sheetId="8" state="visible" r:id="rId10"/>
    <sheet name="Serv Ins" sheetId="9" state="visible" r:id="rId11"/>
    <sheet name="Serv Copeira" sheetId="10" state="visible" r:id="rId12"/>
    <sheet name="Zel" sheetId="11" state="visible" r:id="rId13"/>
    <sheet name="Aux Adm" sheetId="12" state="visible" r:id="rId14"/>
    <sheet name="Resumo" sheetId="13" state="visible" r:id="rId15"/>
    <sheet name="Custo Estimado Substituto" sheetId="14" state="visible" r:id="rId16"/>
    <sheet name="IPCA" sheetId="15" state="hidden" r:id="rId17"/>
  </sheets>
  <definedNames>
    <definedName function="false" hidden="false" localSheetId="11" name="_xlnm.Print_Area" vbProcedure="false">'Aux Adm'!$A$1:$J$46</definedName>
    <definedName function="false" hidden="false" localSheetId="2" name="_xlnm.Print_Area" vbProcedure="false">Dados!$A$1:$S$55</definedName>
    <definedName function="false" hidden="false" localSheetId="3" name="_xlnm.Print_Area" vbProcedure="false">Encargos!$A$1:$H$59</definedName>
    <definedName function="false" hidden="false" localSheetId="4" name="_xlnm.Print_Area" vbProcedure="false">Mat!$A$1:$L$67</definedName>
    <definedName function="false" hidden="false" localSheetId="9" name="_xlnm.Print_Area" vbProcedure="false">'Serv Copeira'!$A$1:$J$46</definedName>
    <definedName function="false" hidden="false" localSheetId="8" name="_xlnm.Print_Area" vbProcedure="false">'Serv Ins'!$A$1:$J$46</definedName>
    <definedName function="false" hidden="false" localSheetId="7" name="_xlnm.Print_Area" vbProcedure="false">Unif!$A$1:$H$34</definedName>
    <definedName function="false" hidden="false" localSheetId="10" name="_xlnm.Print_Area" vbProcedure="false">Zel!$A$1:$J$46</definedName>
    <definedName function="false" hidden="false" name="BS" vbProcedure="false">NA()</definedName>
    <definedName function="false" hidden="false" name="BT" vbProcedure="false">NA()</definedName>
    <definedName function="false" hidden="false" name="CIDADE" vbProcedure="false">NA()</definedName>
    <definedName function="false" hidden="false" name="CIDADES" vbProcedure="false">NA()</definedName>
    <definedName function="false" hidden="false" name="CPMF" vbProcedure="false">NA()</definedName>
    <definedName function="false" hidden="false" name="d" vbProcedure="false">NA()</definedName>
    <definedName function="false" hidden="false" name="ENCARGOS" vbProcedure="false">NA()</definedName>
    <definedName function="false" hidden="false" name="Excel_BuiltIn_Print_Area_1_1" vbProcedure="false">"$#REF!.$A$2:$C$99"</definedName>
    <definedName function="false" hidden="false" name="Excel_BuiltIn_Print_Area_6_1" vbProcedure="false">NA()</definedName>
    <definedName function="false" hidden="false" name="Excel_BuiltIn_Print_Area_7_1" vbProcedure="false">NA()</definedName>
    <definedName function="false" hidden="false" name="Excel_BuiltIn_Print_Area_8_1" vbProcedure="false">NA()</definedName>
    <definedName function="false" hidden="false" name="Excel_BuiltIn_Print_Area_9_1" vbProcedure="false">NA()</definedName>
    <definedName function="false" hidden="false" name="ISS" vbProcedure="false">NA()</definedName>
    <definedName function="false" hidden="false" name="Jornada" vbProcedure="false">NA()</definedName>
    <definedName function="false" hidden="false" name="TERRIT" vbProcedure="false">NA()</definedName>
    <definedName function="false" hidden="false" name="Tipo_de_Joranda_de_Trabalho" vbProcedure="false">NA()</definedName>
    <definedName function="false" hidden="false" name="TP_SERV" vbProcedure="false">NA()</definedName>
    <definedName function="false" hidden="false" name="TP_SERVPERC" vbProcedure="false">NA()</definedName>
    <definedName function="false" hidden="false" name="VRSELEC" vbProcedure="false">NA()</definedName>
    <definedName function="false" hidden="false" localSheetId="2" name="Print_Area_0" vbProcedure="false">Dados!$A$1:$S$55</definedName>
    <definedName function="false" hidden="false" localSheetId="3" name="Print_Area_0" vbProcedure="false">Encargos!$A$1:$H$59</definedName>
    <definedName function="false" hidden="false" localSheetId="4" name="Print_Area_0" vbProcedure="false">Mat!$A$1:$L$67</definedName>
    <definedName function="false" hidden="false" localSheetId="7" name="Print_Area_0" vbProcedure="false">Unif!$A$1:$H$34</definedName>
    <definedName function="false" hidden="false" localSheetId="8" name="Print_Area_0" vbProcedure="false">'Serv Ins'!$A$1:$J$46</definedName>
    <definedName function="false" hidden="false" localSheetId="9" name="Print_Area_0" vbProcedure="false">'Serv Copeira'!$A$1:$J$46</definedName>
    <definedName function="false" hidden="false" localSheetId="10" name="Print_Area_0" vbProcedure="false">Zel!$A$1:$J$46</definedName>
    <definedName function="false" hidden="false" localSheetId="11" name="Print_Area_0" vbProcedure="false">'Aux Adm'!$A$1:$J$46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<sst xmlns="http://schemas.openxmlformats.org/spreadsheetml/2006/main" count="1272" uniqueCount="674">
  <si>
    <t xml:space="preserve">OCORRÊNCIAS MENSAIS DO FATURAMENTO </t>
  </si>
  <si>
    <t xml:space="preserve">UTILIZAÇÃO DO GESTOR CONTRATUAL PARA REALIZAÇÃO DO FATURAMENTO MENSAL</t>
  </si>
  <si>
    <t xml:space="preserve">DEFINIR VERSÃO DE APRESENTAÇÃO:</t>
  </si>
  <si>
    <t xml:space="preserve">PLANILHA PARA LICITAÇÃO (PRECIFICAÇÃO)</t>
  </si>
  <si>
    <t xml:space="preserve">DEFINIR BASE DE DESCONTOS/GLOSAS:</t>
  </si>
  <si>
    <t xml:space="preserve">MÊS CONTÁBIL</t>
  </si>
  <si>
    <r>
      <rPr>
        <b val="true"/>
        <sz val="10"/>
        <rFont val="Calibri"/>
        <family val="2"/>
        <charset val="1"/>
      </rPr>
      <t xml:space="preserve">INSTRUÇÕES DE PREENCHIMENTO
UTILIZAÇÃO EXCLUSIVA FISCAL/GESTOR
PARA AUXILIAR NO VALOR DE FATURAMENTO
Preencher as células destacadas na cor </t>
    </r>
    <r>
      <rPr>
        <b val="true"/>
        <sz val="10"/>
        <color rgb="FFFF0000"/>
        <rFont val="Calibri"/>
        <family val="2"/>
        <charset val="1"/>
      </rPr>
      <t xml:space="preserve">vermelha</t>
    </r>
    <r>
      <rPr>
        <b val="true"/>
        <sz val="10"/>
        <rFont val="Calibri"/>
        <family val="2"/>
        <charset val="1"/>
      </rPr>
      <t xml:space="preserve"> para realização dos cálculos das demais abas.
Não é necessário preenchimento de outras abas.</t>
    </r>
  </si>
  <si>
    <t xml:space="preserve">Informar número de Postos que não utilizam V.T.
(Coluna "D")</t>
  </si>
  <si>
    <t xml:space="preserve">Informar se titular do posto é optante pelo recebimento de V.T.
(Coluna "E")</t>
  </si>
  <si>
    <t xml:space="preserve">Desconto automático de V.T.
(Coluna "F")</t>
  </si>
  <si>
    <t xml:space="preserve">Preencher o número de dias (corridos) que o terceirizado que não recebe vt ficou afastado por férias ou faltas
(Coluna "G")</t>
  </si>
  <si>
    <t xml:space="preserve">Preencher nº de dias úteis em que o optante de V.T realizou trabalho em Home Office OU dias de Recesso Forense / Ponto facultativo
(Coluna "H")</t>
  </si>
  <si>
    <t xml:space="preserve">Conversão das horas de ausência em dias de ausência
(Coluna "I")</t>
  </si>
  <si>
    <t xml:space="preserve">Conversão das horas de ausência em dias de ausência
(Coluna "J")</t>
  </si>
  <si>
    <t xml:space="preserve">Nº dias de faltas comuns sem substituição.
(Coluna "K")</t>
  </si>
  <si>
    <t xml:space="preserve">Informar número de dias por férias no mês (dias)
(Coluna "L")</t>
  </si>
  <si>
    <t xml:space="preserve">Desconto de V.A. por dias de recesso forense e/ou ponto facultativo.
(Coluna "M")</t>
  </si>
  <si>
    <t xml:space="preserve">Nº de dias corridos de férias sem substituição quando o adicional de insalubridade é passado para outra servente do quadro.
(Coluna "N")</t>
  </si>
  <si>
    <t xml:space="preserve">Somatório de glosas.
(Coluna "O")</t>
  </si>
  <si>
    <t xml:space="preserve">Somatório de acrésimo por substituição do posto insalubre por outro profissional do quadro.
(Coluna "P")</t>
  </si>
  <si>
    <t xml:space="preserve">Informativo sobre valor faturado por tipo de função.
(Coluna "Q")</t>
  </si>
  <si>
    <t xml:space="preserve">Valores correspondentes ao fornecimento de materiais e epis.
(incluindo impostos)
(Coluna "R")</t>
  </si>
  <si>
    <t xml:space="preserve">Informar código de elemento de despesa
(Coluna "S")</t>
  </si>
  <si>
    <t xml:space="preserve">INFORMATIVO PARA GESTÃO CONTRATUAL</t>
  </si>
  <si>
    <t xml:space="preserve">Quant</t>
  </si>
  <si>
    <t xml:space="preserve">Descrição das Categorias</t>
  </si>
  <si>
    <t xml:space="preserve">Carga Horária (horas)</t>
  </si>
  <si>
    <t xml:space="preserve">Nº Postos não optantes pelo recebimento de V.T.</t>
  </si>
  <si>
    <t xml:space="preserve">Realizar glosa por não fornecimento de V.T.?</t>
  </si>
  <si>
    <t xml:space="preserve">Dias de
Glosa V.T.
Para Não Optantes</t>
  </si>
  <si>
    <t xml:space="preserve">Ajuste de V.T para fornecimento para
postos Não Optantes</t>
  </si>
  <si>
    <t xml:space="preserve">Dias de Home Office OU Recesso para os postos Optantes de V.T.</t>
  </si>
  <si>
    <t xml:space="preserve">Dias de faltas após conversão das horas
(planilha auxiliar)</t>
  </si>
  <si>
    <t xml:space="preserve">Quant. Atrasos e Faltas</t>
  </si>
  <si>
    <t xml:space="preserve">Dias de Férias</t>
  </si>
  <si>
    <t xml:space="preserve">Dias de Glosas de V.A no Mês</t>
  </si>
  <si>
    <t xml:space="preserve">*1 Dias de Deslocamento de Insalubridade</t>
  </si>
  <si>
    <t xml:space="preserve">VALOR TOTAL GLOSADO</t>
  </si>
  <si>
    <t xml:space="preserve">VALOR TOTAL ACRESCIDO</t>
  </si>
  <si>
    <t xml:space="preserve">Valor Mensal 
Faturado com aplicação de descontos</t>
  </si>
  <si>
    <t xml:space="preserve">VALOR TOTAL INSUMOS FORNECIDOS NO MÊS.</t>
  </si>
  <si>
    <t xml:space="preserve">Elemento de Despesa </t>
  </si>
  <si>
    <t xml:space="preserve">VALOR DE RETENÇÃO CONTA VINCULADA</t>
  </si>
  <si>
    <t xml:space="preserve">CÓDIGOS ELEMENTO DE DESPESA</t>
  </si>
  <si>
    <t xml:space="preserve">FATURAMENTO MENSAL</t>
  </si>
  <si>
    <t xml:space="preserve">RETENÇÃO 
GLOSA CONTA VINCULADA
(VERIFICAR NECESSIDADE)</t>
  </si>
  <si>
    <t xml:space="preserve">SIM</t>
  </si>
  <si>
    <t xml:space="preserve">ELEMENTO 2</t>
  </si>
  <si>
    <t xml:space="preserve">ELEMENTO 1</t>
  </si>
  <si>
    <t xml:space="preserve">VALOR TOTAL GLOSADOS</t>
  </si>
  <si>
    <t xml:space="preserve">OBSERVAÇÕES:</t>
  </si>
  <si>
    <t xml:space="preserve">1. Para apoio ao lançamento de ausências de horas, sugere-se a utilização da planilha complementar abaixo. O preenchimento das horas convertidas deve ocorrer na Coluna "I".</t>
  </si>
  <si>
    <t xml:space="preserve">Planilha auxiliar para conversão de horas de ausências em dias de faltas. (preenchimento coluna "I")</t>
  </si>
  <si>
    <t xml:space="preserve">Jornada</t>
  </si>
  <si>
    <t xml:space="preserve">Total de Horas</t>
  </si>
  <si>
    <t xml:space="preserve">Total de Minutos</t>
  </si>
  <si>
    <t xml:space="preserve">Conversão em Dias</t>
  </si>
  <si>
    <t xml:space="preserve">Obs: Informar a jornada de trabalho do posto analisado. Em sequência, informar as horas completas faltantes e posteriormente os minutos. Ex: 10:25h faltantes - Lançar 10 na célula "D22" e lançar 25 na célula "E22".
Lançar o resultado convertido na coluna "H".</t>
  </si>
  <si>
    <t xml:space="preserve">2. Na célula “N15” deverá ser informado a quantidade de dias em que o trabalho insalubre foi realizado por outra servente do quadro, durante as férias da Servente de Limpeza 40% insalubre - titular.</t>
  </si>
  <si>
    <t xml:space="preserve">ITEM</t>
  </si>
  <si>
    <t xml:space="preserve">DESCRIÇÃO DO MATERIAL DE IMPEZA
SERVENTES DE LIMPEZA</t>
  </si>
  <si>
    <t xml:space="preserve">GASTO MENSAL</t>
  </si>
  <si>
    <r>
      <rPr>
        <b val="true"/>
        <u val="single"/>
        <sz val="10"/>
        <rFont val="Calibri"/>
        <family val="2"/>
        <charset val="1"/>
      </rPr>
      <t xml:space="preserve">ANÁLISE CRÍTICA </t>
    </r>
    <r>
      <rPr>
        <b val="true"/>
        <sz val="10"/>
        <rFont val="Calibri"/>
        <family val="2"/>
        <charset val="1"/>
      </rPr>
      <t xml:space="preserve">SOBRE O FORNECIMENTO DOS MATERIAIS
ESTIMATIVA MENSAL x FORNECIMENTO EFETIVO
(INFORMAÇÃO COMO PARÂMETRO DE INDICATIVO)</t>
    </r>
  </si>
  <si>
    <t xml:space="preserve">REFERÊNCIA MENSAL PARA FORNECIMENTO</t>
  </si>
  <si>
    <t xml:space="preserve">Material</t>
  </si>
  <si>
    <t xml:space="preserve">Unid.</t>
  </si>
  <si>
    <t xml:space="preserve">Marcas de Referência</t>
  </si>
  <si>
    <t xml:space="preserve">QNTDE "REAL" FORNECIDA
NO MÊS</t>
  </si>
  <si>
    <t xml:space="preserve">Custo Mensal</t>
  </si>
  <si>
    <t xml:space="preserve">Quantidade Mensal</t>
  </si>
  <si>
    <t xml:space="preserve">Quantidade Total</t>
  </si>
  <si>
    <t xml:space="preserve">Periodicidade</t>
  </si>
  <si>
    <t xml:space="preserve">Divisor</t>
  </si>
  <si>
    <t xml:space="preserve">DESPESA MENSAL</t>
  </si>
  <si>
    <t xml:space="preserve">TAXA ADMINISTRATIVA</t>
  </si>
  <si>
    <t xml:space="preserve">LUCRO</t>
  </si>
  <si>
    <t xml:space="preserve">TRIBUTOS</t>
  </si>
  <si>
    <t xml:space="preserve">VALOR TOTAL COM MATERIAIS DE LIMPEZA</t>
  </si>
  <si>
    <t xml:space="preserve">MATERIAIS DE LIMPEZA COPA
COPEIRA</t>
  </si>
  <si>
    <t xml:space="preserve">VALOR TOTAL COM MATERIAIS DE COPA</t>
  </si>
  <si>
    <t xml:space="preserve">LISTA PARA OPÇÕES DE GLOSAS</t>
  </si>
  <si>
    <t xml:space="preserve">DIAS ÚTEIS (CONTRATO)</t>
  </si>
  <si>
    <t xml:space="preserve">Obs: Desconto por dias definidos em contrato.</t>
  </si>
  <si>
    <t xml:space="preserve">Obs: Desconto atualmente aplicado (30 dias corridos).</t>
  </si>
  <si>
    <t xml:space="preserve">DIAS DO MÊS VIGENTE</t>
  </si>
  <si>
    <t xml:space="preserve">Informar</t>
  </si>
  <si>
    <t xml:space="preserve">Obs: Desconto por dias úteis mensais, ocorrência variável, devendo ser informado mensalmente.</t>
  </si>
  <si>
    <t xml:space="preserve">JORNADA DE TRABALHO</t>
  </si>
  <si>
    <t xml:space="preserve">DIVISOR DE HORAS</t>
  </si>
  <si>
    <t xml:space="preserve">LISTA PARA TOTAL DE POSTOS</t>
  </si>
  <si>
    <t xml:space="preserve">Tribunal Regional Federal da 6ª Região</t>
  </si>
  <si>
    <t xml:space="preserve">Seção Judiciária de Minas Gerais</t>
  </si>
  <si>
    <t xml:space="preserve">Subseção Judiciária de Lavras</t>
  </si>
  <si>
    <t xml:space="preserve">INSTRUÇÕES DE PREENCHIMENTO - ANEXO X - PLANILHAS DE COMPOSIÇÃO DE CUSTOS</t>
  </si>
  <si>
    <t xml:space="preserve">1.</t>
  </si>
  <si>
    <t xml:space="preserve">SOMENTE SERÃO ACEITAS MODIFICAÇÕES NAS CÉLULAS DESTACADAS NA COR AMARELA COMO NO EXEMPLO ABAIXO:</t>
  </si>
  <si>
    <t xml:space="preserve">Células de livre edição.</t>
  </si>
  <si>
    <t xml:space="preserve">2.</t>
  </si>
  <si>
    <r>
      <rPr>
        <sz val="10"/>
        <rFont val="Calibri"/>
        <family val="2"/>
        <charset val="1"/>
      </rPr>
      <t xml:space="preserve">As demais células estarão </t>
    </r>
    <r>
      <rPr>
        <b val="true"/>
        <sz val="10"/>
        <rFont val="Calibri"/>
        <family val="2"/>
        <charset val="1"/>
      </rPr>
      <t xml:space="preserve">bloqueadas</t>
    </r>
    <r>
      <rPr>
        <sz val="10"/>
        <rFont val="Calibri"/>
        <family val="2"/>
        <charset val="1"/>
      </rPr>
      <t xml:space="preserve"> para edição das licitantes.</t>
    </r>
  </si>
  <si>
    <t xml:space="preserve">3.</t>
  </si>
  <si>
    <t xml:space="preserve">As Abas necessárias para o preenchimento estão organizadas em uma sequência lógica, sendo Dados; Encargos; Materiais (limpeza, copa e limpeza de veículos); EPI; Equipamentos; Uniforme.</t>
  </si>
  <si>
    <t xml:space="preserve">Os nomes das abas estarão abreviados para otimização da planilha.</t>
  </si>
  <si>
    <r>
      <rPr>
        <b val="true"/>
        <sz val="10"/>
        <rFont val="Calibri"/>
        <family val="2"/>
        <charset val="1"/>
      </rPr>
      <t xml:space="preserve">Sugere-se o preenchimento das seguintes abas em sequência: </t>
    </r>
    <r>
      <rPr>
        <sz val="10"/>
        <rFont val="Calibri"/>
        <family val="2"/>
        <charset val="1"/>
      </rPr>
      <t xml:space="preserve">Dados, Encargos, Materiais, EPI, Equipamentos e Uniforme, para a realização de cálculos completa da planilha de composição de custos.</t>
    </r>
  </si>
  <si>
    <t xml:space="preserve">3.1</t>
  </si>
  <si>
    <t xml:space="preserve">Estas Abas estarão destacadas na Cor Amarela.</t>
  </si>
  <si>
    <t xml:space="preserve">3.2</t>
  </si>
  <si>
    <t xml:space="preserve">PREENCHIMENTO ABA "DADOS"</t>
  </si>
  <si>
    <t xml:space="preserve"> - Informar piso salarial de cada categoria, correspondente à jornada de 220h. (Células "E7":"E10").</t>
  </si>
  <si>
    <t xml:space="preserve"> - Informar o percentual de acúmulo de função a ser aplicado. (Célula "I8 e I10").</t>
  </si>
  <si>
    <t xml:space="preserve"> - Informar o percentual correspondente ao tempo de execução da atividade acumulada. (Célula "J8 e J10").</t>
  </si>
  <si>
    <t xml:space="preserve"> - Informar o salário base para cálculo da atividade acumulada. (Célula "K8 e K10").</t>
  </si>
  <si>
    <t xml:space="preserve"> - Informar os Dados da Apresentação da Proposta e relacionados à Convenção Coletiva de Trabalho. Tais informações não interferem na execução de cálculos, servem apenas para instruir o processo da análise da proposta. (Células "E13:E17").</t>
  </si>
  <si>
    <t xml:space="preserve"> - Informar o percentual correspondente ao RAT, conforme atividade principal da licitante. (Célula "G23").</t>
  </si>
  <si>
    <t xml:space="preserve"> - Informar o fator correspondente ao FAP, conforme extraído do relatório FapWeb. (Célula "G24").</t>
  </si>
  <si>
    <t xml:space="preserve"> - Informar o valor do salário mínimo nacional vigente (base de cálculo para a cotação de insalubridade). (Célula "G27").</t>
  </si>
  <si>
    <t xml:space="preserve"> - Informar o valor unitário do Seguro de Vida, nos casos exigidos, conforme legislação vigente. (Célula "G30").</t>
  </si>
  <si>
    <t xml:space="preserve"> - Informar o valor unitário do Programa de Assistência Familiar - PAF, nos casos exigidos, conforme legislação vigente. (Célula "G31").</t>
  </si>
  <si>
    <t xml:space="preserve"> - Informar o valor unitário da tarifa de transporte público vigente à data de apresentação da proposta, conforme legislação vigente. (Célula "G32").</t>
  </si>
  <si>
    <t xml:space="preserve"> - Informar o quantitativo unitário diário de tarifas de transporte público (ex.: 1 tarifa para ida e 1 tarifa para volta = Total de 2 tarifas). (Célula "G33").</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</si>
  <si>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</si>
  <si>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"G36").</t>
  </si>
  <si>
    <t xml:space="preserve"> - Informar o percentual de desconto à título de participação do trabalhador em relação ao fornecimento de Vale Alimentação, nos casos exigidos, conforme legislação vigente. (Célula "G38").</t>
  </si>
  <si>
    <t xml:space="preserve"> - Incluir outros custos não previstos previamente, bem como descrevê-los, em caso de previsão legal, devendo ser apresentadas justificativas para a inserção. (Células "B39" e "G39").</t>
  </si>
  <si>
    <t xml:space="preserve"> - Incluir outros custos não previstos previamente, bem como descrevê-los, em caso de previsão legal, devendo ser apresentadas justificativas para a inserção. (Células "B40" e "G40").</t>
  </si>
  <si>
    <t xml:space="preserve"> - Informar o percentual relativo às Despesas Administrativas da licitante. (Células "G43").</t>
  </si>
  <si>
    <t xml:space="preserve"> - Informar o percentual relativo ao Lucro da licitante. (Células "G44").</t>
  </si>
  <si>
    <t xml:space="preserve"> - Informar a opção tributária da licitante (Células "F50") conforme legislação vigente, OBSERVANDO as instruções contantes na Célula "B48".</t>
  </si>
  <si>
    <t xml:space="preserve"> - Informar o percentual da alíquota COFINS (Células "G51") conforme legislação vigente, OBSERVANDO as instruções contantes na Célula "B48".</t>
  </si>
  <si>
    <t xml:space="preserve"> - Informar o percentual da alíquota PIS/PASEP (Células "G52") conforme legislação vigente, OBSERVANDO as instruções contantes na Célula "B48".</t>
  </si>
  <si>
    <t xml:space="preserve"> - Informar o percentual da alíquota ISSQN (Células "G54") conforme legislação vigente, OBSERVANDO as instruções contantes na Célula "B48".</t>
  </si>
  <si>
    <t xml:space="preserve"> - Informar o percentual da alíquota ISSQN (Células "G55") conforme legislação vigente, OBSERVANDO as instruções contantes na Célula "B48".</t>
  </si>
  <si>
    <t xml:space="preserve"> - Alterar SOMENTE aqueles destacados na COR AMARELA.</t>
  </si>
  <si>
    <t xml:space="preserve">3.3</t>
  </si>
  <si>
    <t xml:space="preserve">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</si>
  <si>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</si>
  <si>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</si>
  <si>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 xml:space="preserve">3.4</t>
  </si>
  <si>
    <t xml:space="preserve">PREENCHIMENTO ABA "MATERIAIS"</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</si>
  <si>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</si>
  <si>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</si>
  <si>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Materiais de Limpeza (Células "G9:G44)</t>
  </si>
  <si>
    <t xml:space="preserve"> - Materiais de Copa (Células "G50:G65)</t>
  </si>
  <si>
    <t xml:space="preserve"> - O preenchimento das células da Coluna "H" está permitida somente para inserção de Observações, caso necessário.</t>
  </si>
  <si>
    <t xml:space="preserve">3.5</t>
  </si>
  <si>
    <t xml:space="preserve">PREENCHIMENTO ABA "EPI"</t>
  </si>
  <si>
    <t xml:space="preserve"> - Informar os valores unitários de cada item nas células destacadas em amarelo dispostas na "Coluna D", de acordo com sua descrição "Colunas B:C".</t>
  </si>
  <si>
    <t xml:space="preserve">3.6</t>
  </si>
  <si>
    <t xml:space="preserve">PREENCHIMENTO ABA "EQUIPAMENTOS"</t>
  </si>
  <si>
    <t xml:space="preserve">3.7</t>
  </si>
  <si>
    <t xml:space="preserve">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</si>
  <si>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</si>
  <si>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nas "Especificações" que visam melhor entendimento dos itens de uniforme solicitados.</t>
  </si>
  <si>
    <t xml:space="preserve">4.</t>
  </si>
  <si>
    <r>
      <rPr>
        <sz val="10"/>
        <rFont val="Calibri"/>
        <family val="2"/>
        <charset val="1"/>
      </rPr>
      <t xml:space="preserve">A Aba "</t>
    </r>
    <r>
      <rPr>
        <b val="true"/>
        <sz val="10"/>
        <rFont val="Calibri"/>
        <family val="2"/>
        <charset val="1"/>
      </rPr>
      <t xml:space="preserve">Especificações</t>
    </r>
    <r>
      <rPr>
        <sz val="10"/>
        <rFont val="Calibri"/>
        <family val="2"/>
        <charset val="1"/>
      </rPr>
      <t xml:space="preserve">", corresponde ao detalhamento dos </t>
    </r>
    <r>
      <rPr>
        <b val="true"/>
        <sz val="10"/>
        <rFont val="Calibri"/>
        <family val="2"/>
        <charset val="1"/>
      </rPr>
      <t xml:space="preserve">Uniformes</t>
    </r>
    <r>
      <rPr>
        <sz val="10"/>
        <rFont val="Calibri"/>
        <family val="2"/>
        <charset val="1"/>
      </rPr>
      <t xml:space="preserve">, servindo apenas para consulta e entendimento dos tipos de uniforme solicitados para o fornecimento.</t>
    </r>
  </si>
  <si>
    <t xml:space="preserve">4.1</t>
  </si>
  <si>
    <t xml:space="preserve">Esta aba está destacada na Cor Laranja.</t>
  </si>
  <si>
    <t xml:space="preserve">5.</t>
  </si>
  <si>
    <r>
      <rPr>
        <sz val="10"/>
        <rFont val="Calibri"/>
        <family val="2"/>
        <charset val="1"/>
      </rPr>
      <t xml:space="preserve">Destaca-se que após o preenchimento destas Abas (de acordo com as instruções contidas no item 3), os preços individuais das </t>
    </r>
    <r>
      <rPr>
        <b val="true"/>
        <sz val="10"/>
        <rFont val="Calibri"/>
        <family val="2"/>
        <charset val="1"/>
      </rPr>
      <t xml:space="preserve">categorias</t>
    </r>
    <r>
      <rPr>
        <sz val="10"/>
        <rFont val="Calibri"/>
        <family val="2"/>
        <charset val="1"/>
      </rPr>
      <t xml:space="preserve"> profissionais serão refletidos automaticamente para as suas abas correspondentes (Serv Ins, Serv, Copeira, Zel ac. e Aux).</t>
    </r>
  </si>
  <si>
    <t xml:space="preserve">5.1</t>
  </si>
  <si>
    <r>
      <rPr>
        <b val="true"/>
        <sz val="10"/>
        <rFont val="Calibri"/>
        <family val="2"/>
        <charset val="1"/>
      </rPr>
      <t xml:space="preserve">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</si>
  <si>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 xml:space="preserve">5.2</t>
  </si>
  <si>
    <t xml:space="preserve">Estas abas estão destacadas na Cor Cinza.</t>
  </si>
  <si>
    <t xml:space="preserve">6.</t>
  </si>
  <si>
    <r>
      <rPr>
        <sz val="10"/>
        <rFont val="Calibri"/>
        <family val="2"/>
        <charset val="1"/>
      </rPr>
      <t xml:space="preserve">A Aba "</t>
    </r>
    <r>
      <rPr>
        <b val="true"/>
        <sz val="10"/>
        <rFont val="Calibri"/>
        <family val="2"/>
        <charset val="1"/>
      </rPr>
      <t xml:space="preserve">Resumo</t>
    </r>
    <r>
      <rPr>
        <sz val="10"/>
        <rFont val="Calibri"/>
        <family val="2"/>
        <charset val="1"/>
      </rPr>
      <t xml:space="preserve">" contém o detalhamento dos custos unitários por categoria profissional, além de conter o preço final da proposta.</t>
    </r>
  </si>
  <si>
    <t xml:space="preserve">6.1</t>
  </si>
  <si>
    <r>
      <rPr>
        <sz val="10"/>
        <rFont val="Calibri"/>
        <family val="2"/>
        <charset val="1"/>
      </rPr>
      <t xml:space="preserve">Para efeitos de lance/oferta, as licitantes devem considerar o valor da célula "T17", da Aba "Resumo", correspondente ao </t>
    </r>
    <r>
      <rPr>
        <b val="true"/>
        <sz val="10"/>
        <rFont val="Calibri"/>
        <family val="2"/>
        <charset val="1"/>
      </rPr>
      <t xml:space="preserve">VALOR MENSAL.</t>
    </r>
  </si>
  <si>
    <t xml:space="preserve">6.2</t>
  </si>
  <si>
    <t xml:space="preserve">Esta aba está destacada na Cor Azul.</t>
  </si>
  <si>
    <t xml:space="preserve">7.</t>
  </si>
  <si>
    <r>
      <rPr>
        <sz val="10"/>
        <rFont val="Calibri"/>
        <family val="2"/>
        <charset val="1"/>
      </rPr>
      <t xml:space="preserve">A Aba "</t>
    </r>
    <r>
      <rPr>
        <b val="true"/>
        <sz val="10"/>
        <rFont val="Calibri"/>
        <family val="2"/>
        <charset val="1"/>
      </rPr>
      <t xml:space="preserve">Custo Estimado Substituto</t>
    </r>
    <r>
      <rPr>
        <sz val="10"/>
        <rFont val="Calibri"/>
        <family val="2"/>
        <charset val="1"/>
      </rPr>
      <t xml:space="preserve">" contém valores estimados com os profissionais substitutos do titular em férias.</t>
    </r>
  </si>
  <si>
    <t xml:space="preserve">7.1</t>
  </si>
  <si>
    <t xml:space="preserve">Não será necessário realizar nenhuma alteração nesta aba, pois conterá apenas o reflexo dos dados preenchidos nas abas anteriores (conforme explicação nº 3).</t>
  </si>
  <si>
    <t xml:space="preserve">7.2</t>
  </si>
  <si>
    <t xml:space="preserve">ANEXO X - PLANILHA DE CUSTO E FORMAÇÃO DE PREÇO MENSAL ESTIMATIVO - PLANILHA DE DADOS</t>
  </si>
  <si>
    <t xml:space="preserve">Elemento de Despesa</t>
  </si>
  <si>
    <t xml:space="preserve">Quantidade de Postos</t>
  </si>
  <si>
    <t xml:space="preserve">Carga Horária
(Horas)</t>
  </si>
  <si>
    <t xml:space="preserve">*OBS 1 -
Salário Base I (Piso Para 220h/m)
(R$)</t>
  </si>
  <si>
    <t xml:space="preserve">Salário Base II
(Conforme Jornada Contratada)
(R$)</t>
  </si>
  <si>
    <t xml:space="preserve">
Insalubridade
Grau de Risco
(%)</t>
  </si>
  <si>
    <t xml:space="preserve">Valor Insalubridade
(R$)</t>
  </si>
  <si>
    <t xml:space="preserve">*OBS 2 -
Acúmulo de Função / Acréscimo Salarial
(%)</t>
  </si>
  <si>
    <t xml:space="preserve">*OBS 3 -
Tempo de Execução de Atividades em Acúmulo
(%)</t>
  </si>
  <si>
    <t xml:space="preserve">*OBS 4 -
Base Para Cálculo de Acúmulo de Função
(R$)</t>
  </si>
  <si>
    <t xml:space="preserve">Valor Acúmulo de Função
(R$)</t>
  </si>
  <si>
    <t xml:space="preserve">Remuneração Total
(Grupo A)
(R$)</t>
  </si>
  <si>
    <t xml:space="preserve">Uniforme
(R$)</t>
  </si>
  <si>
    <t xml:space="preserve">Material de Limpeza Rateado
(R$)</t>
  </si>
  <si>
    <t xml:space="preserve">Material de Copa Rateado
(R$)</t>
  </si>
  <si>
    <t xml:space="preserve">EPI</t>
  </si>
  <si>
    <t xml:space="preserve">Depreciação Rateada
(R$)</t>
  </si>
  <si>
    <t xml:space="preserve">CÓDIGO DE ELEMENTO DE DESPESA
(CONTROLE DA CONTRATANTE)</t>
  </si>
  <si>
    <t xml:space="preserve">RATEIO
INSUMOS</t>
  </si>
  <si>
    <t xml:space="preserve">Servente de Limpeza 40% Insalubridade</t>
  </si>
  <si>
    <t xml:space="preserve">Servente de Limpeza  ac. Copeira</t>
  </si>
  <si>
    <t xml:space="preserve">Zelador</t>
  </si>
  <si>
    <t xml:space="preserve">Auxiliar Administrativo ac. Mensageiro</t>
  </si>
  <si>
    <t xml:space="preserve">OBS 1: Inserir piso salarial correspondente à jornada de 220h mensais.      OBS 2: Informar % de acúmulo de função.</t>
  </si>
  <si>
    <t xml:space="preserve">OBS 3: Informar % do tempo de acúmulo de função.   OBS 4: Informar salário base.</t>
  </si>
  <si>
    <t xml:space="preserve">TOTAL</t>
  </si>
  <si>
    <t xml:space="preserve">DADOS DA PROPOSTA</t>
  </si>
  <si>
    <t xml:space="preserve">Data de apresentação da proposta</t>
  </si>
  <si>
    <t xml:space="preserve">ABERTURA DA PROPOSTA</t>
  </si>
  <si>
    <t xml:space="preserve">Informar data de abertura do certame / data final para cadastro da proposta comercial.</t>
  </si>
  <si>
    <t xml:space="preserve">Sindicato utilizado</t>
  </si>
  <si>
    <t xml:space="preserve">SINTAPPI x SINSERHT</t>
  </si>
  <si>
    <t xml:space="preserve">Informar o sindicato utilizado pela Licitante.</t>
  </si>
  <si>
    <t xml:space="preserve">Número de registro da CCT - Código MTE</t>
  </si>
  <si>
    <t xml:space="preserve">MG001973/2025</t>
  </si>
  <si>
    <t xml:space="preserve">Informar o número de registro da Convenção Coletiva de Tralbalho utilizada no processo licitatório, junto ao Ministério do Trabalho e Emprego.</t>
  </si>
  <si>
    <t xml:space="preserve">Vigência da CCT utilizada</t>
  </si>
  <si>
    <t xml:space="preserve">2025/2026</t>
  </si>
  <si>
    <t xml:space="preserve">Informar a vigência da Convenção Coletiva de Trabalho utilizada no processo licitatório.</t>
  </si>
  <si>
    <t xml:space="preserve">Data base da categoria</t>
  </si>
  <si>
    <t xml:space="preserve">01° de Abril</t>
  </si>
  <si>
    <t xml:space="preserve">Informar a data base da Convenção Coletiva de Trabalho utilizada no processo licitatório.</t>
  </si>
  <si>
    <t xml:space="preserve">ENCARGOS SOCIAIS E TRABALHISTAS</t>
  </si>
  <si>
    <t xml:space="preserve">-</t>
  </si>
  <si>
    <t xml:space="preserve">Percentual de Encargos (TOTAL)</t>
  </si>
  <si>
    <t xml:space="preserve">SAT - Seguro Acidentes Trabalho</t>
  </si>
  <si>
    <t xml:space="preserve">RAT (Atividade Principal)</t>
  </si>
  <si>
    <t xml:space="preserve">Informar percentual correspondente à atividade preponderante da Licitante.</t>
  </si>
  <si>
    <t xml:space="preserve">FAP (Conforme FapWeb)</t>
  </si>
  <si>
    <t xml:space="preserve">Informar Fator extraído do documento FapWeb da Licitante.</t>
  </si>
  <si>
    <t xml:space="preserve">SALÁRIO BASE PARE CÁLCULO DE INSALUBRIDADE</t>
  </si>
  <si>
    <t xml:space="preserve">SALÁRIO MINÍMO NACIONAL </t>
  </si>
  <si>
    <t xml:space="preserve">Informar base salarial para fins de cálculo de Insalubridade.</t>
  </si>
  <si>
    <t xml:space="preserve">BENEFÍCIOS</t>
  </si>
  <si>
    <t xml:space="preserve">Seguro de Vida em Grupo</t>
  </si>
  <si>
    <t xml:space="preserve">Inserir valor unitário mensal.</t>
  </si>
  <si>
    <t xml:space="preserve">Programa de Assistência Familiar - PAF</t>
  </si>
  <si>
    <t xml:space="preserve">Vale Transporte</t>
  </si>
  <si>
    <t xml:space="preserve">Valor da tarifa</t>
  </si>
  <si>
    <t xml:space="preserve">Inserir o valor unitário da tarifa.</t>
  </si>
  <si>
    <t xml:space="preserve">Número de Tarifas por dia</t>
  </si>
  <si>
    <t xml:space="preserve">Inserir a quantidade de tarifas diárias.</t>
  </si>
  <si>
    <t xml:space="preserve">Número de dias para fornecimento</t>
  </si>
  <si>
    <t xml:space="preserve">Número de dias utilizados para a precificação. Número determinado em edital. Não será permitido alteração.</t>
  </si>
  <si>
    <t xml:space="preserve">Custeio do trabalhador (participação legal)</t>
  </si>
  <si>
    <t xml:space="preserve">Inserir percentual de participação do trabalhador.</t>
  </si>
  <si>
    <t xml:space="preserve">Vale Alimentação</t>
  </si>
  <si>
    <t xml:space="preserve">Valor Unitário do Ticket</t>
  </si>
  <si>
    <t xml:space="preserve">Inserir valor unitário do Ticket.</t>
  </si>
  <si>
    <t xml:space="preserve">Outros (inserir somente com a justificativa legal)</t>
  </si>
  <si>
    <t xml:space="preserve">Inserir valor unitário mensal, quando preenchido, e apresentar as justificativas legais para inclusão.</t>
  </si>
  <si>
    <t xml:space="preserve">MONTANTE C</t>
  </si>
  <si>
    <t xml:space="preserve">Despesas Administrativas</t>
  </si>
  <si>
    <t xml:space="preserve">Informar percentual da Licitante.</t>
  </si>
  <si>
    <t xml:space="preserve">Lucro</t>
  </si>
  <si>
    <t xml:space="preserve">MONTANTE D</t>
  </si>
  <si>
    <t xml:space="preserve">OBS:</t>
  </si>
  <si>
    <t xml:space="preserve">Opção Tributária</t>
  </si>
  <si>
    <t xml:space="preserve">LUCRO REAL</t>
  </si>
  <si>
    <t xml:space="preserve">Informar opção tributária da Licitante. Atentar-se às observações do "Montante D".</t>
  </si>
  <si>
    <t xml:space="preserve">COFINS</t>
  </si>
  <si>
    <t xml:space="preserve">Informar percentual da Licitante. Atentar-se às observações do "Montante D".</t>
  </si>
  <si>
    <t xml:space="preserve">PIS/PASEP</t>
  </si>
  <si>
    <t xml:space="preserve">ISSQN - Limpeza e Conservação</t>
  </si>
  <si>
    <t xml:space="preserve">Informar percentual do código tributário municipal, local da execução das atividades.</t>
  </si>
  <si>
    <t xml:space="preserve">ISSQN - Serviços Administrativos</t>
  </si>
  <si>
    <t xml:space="preserve">Informar o tipo de tributo e apresentar as justificativas legais para inclusão. Informar percentual da Licitante. Atentar-se às observações do "Montante D".</t>
  </si>
  <si>
    <t xml:space="preserve">Soma dos tributos</t>
  </si>
  <si>
    <t xml:space="preserve">PREVISÃO DE REAJUSTE IPCA - 12 (DOZE) MESES DE CONTRATO - INFORMATIVO PARA SER UTILIZADO DURANTE A GESTÃO CONTRATUAL</t>
  </si>
  <si>
    <t xml:space="preserve">UNIFORME</t>
  </si>
  <si>
    <t xml:space="preserve">MATERIAIS
DIVERSOS</t>
  </si>
  <si>
    <t xml:space="preserve">EPI COVID</t>
  </si>
  <si>
    <t xml:space="preserve">SEG VIDA</t>
  </si>
  <si>
    <t xml:space="preserve">FATOR DE APLICAÇÃO
(2 CASAS DECIMAIS)</t>
  </si>
  <si>
    <t xml:space="preserve">DATA DE APROVAÇÃO IPCA</t>
  </si>
  <si>
    <t xml:space="preserve">DOCUMENTO RELACIONADO ID</t>
  </si>
  <si>
    <t xml:space="preserve">1º REAJUSTE IPCA</t>
  </si>
  <si>
    <t xml:space="preserve">Percentual (%) aprovado</t>
  </si>
  <si>
    <t xml:space="preserve">Aplicar reajuste após solicitação da contratada?</t>
  </si>
  <si>
    <t xml:space="preserve">NÃO</t>
  </si>
  <si>
    <t xml:space="preserve">2º REAJUSTE IPCA</t>
  </si>
  <si>
    <t xml:space="preserve">3º REAJUSTE IPCA</t>
  </si>
  <si>
    <t xml:space="preserve">4º REAJUSTE IPCA</t>
  </si>
  <si>
    <t xml:space="preserve">5º REAJUSTE IPCA</t>
  </si>
  <si>
    <t xml:space="preserve">CONTROLE DE REAJUSTE IPCA - UNIFORME</t>
  </si>
  <si>
    <t xml:space="preserve">APLICAR
VALOR</t>
  </si>
  <si>
    <t xml:space="preserve">INICIAL</t>
  </si>
  <si>
    <t xml:space="preserve">CONTROLE DE REAJUSTE IPCA - MATERIAIS DIVERSOS</t>
  </si>
  <si>
    <t xml:space="preserve">CONTROLE DE REAJUSTE IPCA - EPI COVID</t>
  </si>
  <si>
    <t xml:space="preserve">CONTROLE DE REAJUSTE IPCA - SEGURO DE VIDA</t>
  </si>
  <si>
    <t xml:space="preserve">VALOR INICIAL DO CONTRATO</t>
  </si>
  <si>
    <t xml:space="preserve">1º REAJUSTE POR IPCA</t>
  </si>
  <si>
    <t xml:space="preserve">2º REAJUSTE POR IPCA</t>
  </si>
  <si>
    <t xml:space="preserve">3º REAJUSTE POR IPCA</t>
  </si>
  <si>
    <t xml:space="preserve">4º REAJUSTE POR IPCA</t>
  </si>
  <si>
    <t xml:space="preserve">5º REAJUSTE POR IPCA</t>
  </si>
  <si>
    <t xml:space="preserve">HISTÓRICO - CONTROLE DE CONTRATO - VERSÃO DE PLANILHA DE CUSTOS</t>
  </si>
  <si>
    <t xml:space="preserve">Planilha / Proposta comercial - Início do contrato (Licitação)</t>
  </si>
  <si>
    <t xml:space="preserve">PLANILHA - ID</t>
  </si>
  <si>
    <t xml:space="preserve">Obs: Planiha apresentada e aceita durante a fase de lances.</t>
  </si>
  <si>
    <t xml:space="preserve">1º Termo Aditivo</t>
  </si>
  <si>
    <t xml:space="preserve">Obs: Planilha ajustada com o acréscimo de 1 posto "X" - 200h.</t>
  </si>
  <si>
    <t xml:space="preserve">1º Termo de Apostilamento</t>
  </si>
  <si>
    <t xml:space="preserve">Obs: Repactuação CCT 2024 / Alteração do salário mínimo nacional.</t>
  </si>
  <si>
    <t xml:space="preserve">INFORMAR TERMO ADITIVO / APOSTILAMENTO / ALTERAÇÃO CONTRATUAL</t>
  </si>
  <si>
    <t xml:space="preserve">Obs: Descrever alerações. EX: Como é realizado no Extrato.</t>
  </si>
  <si>
    <t xml:space="preserve">Planilha de Encargos Sociais e Trabalhistas</t>
  </si>
  <si>
    <t xml:space="preserve">ANEXO X</t>
  </si>
  <si>
    <t xml:space="preserve">INSTRUÇÕES DE PREENCHIMENTO - Informar/Alterar somente as células destacadas na Cor Amarela, de acordo com o percentual da Licitante.</t>
  </si>
  <si>
    <t xml:space="preserve">QUADRO RESUMO</t>
  </si>
  <si>
    <t xml:space="preserve">DESCRIÇÃO</t>
  </si>
  <si>
    <t xml:space="preserve">PERCENTUAL</t>
  </si>
  <si>
    <t xml:space="preserve">Grupo A</t>
  </si>
  <si>
    <t xml:space="preserve">Encargos Previdenciários, FGTS e Outras Contribuições</t>
  </si>
  <si>
    <t xml:space="preserve">PREVIDÊNCIA SOCIAL - INSS</t>
  </si>
  <si>
    <t xml:space="preserve">SESI ou SESC</t>
  </si>
  <si>
    <t xml:space="preserve">SENAI ou SENAC</t>
  </si>
  <si>
    <t xml:space="preserve">INCRA</t>
  </si>
  <si>
    <t xml:space="preserve">Salário Educação</t>
  </si>
  <si>
    <t xml:space="preserve">FGTS</t>
  </si>
  <si>
    <t xml:space="preserve">SAT - Seguro Acidentes Trabalho - (RAT x FAP)</t>
  </si>
  <si>
    <t xml:space="preserve">  Alterar FAP e RAT na aba "DADOS"</t>
  </si>
  <si>
    <t xml:space="preserve">SEBRAE</t>
  </si>
  <si>
    <t xml:space="preserve">Total Grupo A - Encargos previdenciários, FGTS e Outras Contribuições</t>
  </si>
  <si>
    <t xml:space="preserve">Grupo B</t>
  </si>
  <si>
    <t xml:space="preserve">Grupo B.1</t>
  </si>
  <si>
    <t xml:space="preserve">13º Salário</t>
  </si>
  <si>
    <t xml:space="preserve">Adicional de Férias</t>
  </si>
  <si>
    <t xml:space="preserve">Subtotal</t>
  </si>
  <si>
    <t xml:space="preserve">Incidência do Grupo A sobre 13º salário e adicional de férias</t>
  </si>
  <si>
    <t xml:space="preserve">Total Grupo B.1 - 13º salário e adicional de férias</t>
  </si>
  <si>
    <t xml:space="preserve">Grupo B.2</t>
  </si>
  <si>
    <t xml:space="preserve">Afastamento Maternidade</t>
  </si>
  <si>
    <t xml:space="preserve">Licença Maternidade</t>
  </si>
  <si>
    <t xml:space="preserve">Incidência do Grupo A sobre o afastamento maternidade</t>
  </si>
  <si>
    <t xml:space="preserve">Total Grupo B.2 - Afastamento maternidade</t>
  </si>
  <si>
    <t xml:space="preserve">Grupo B.3</t>
  </si>
  <si>
    <t xml:space="preserve">Provisão para Rescisão</t>
  </si>
  <si>
    <t xml:space="preserve">Aviso Prévio Indenizado</t>
  </si>
  <si>
    <t xml:space="preserve">Incidência do FGTS sobre o Aviso Prévio Indenizado</t>
  </si>
  <si>
    <t xml:space="preserve">Multa do FGTS do Aviso Prévio Indenizado</t>
  </si>
  <si>
    <t xml:space="preserve">Aviso Prévio Trabalhado</t>
  </si>
  <si>
    <t xml:space="preserve">Incidência do Grupo A sobre o Aviso Prévio Trabalhado </t>
  </si>
  <si>
    <t xml:space="preserve">Multa do FGTS do Aviso Prévio Trabalhado </t>
  </si>
  <si>
    <t xml:space="preserve">Total Grupo B.3 - Provisão para rescisão</t>
  </si>
  <si>
    <t xml:space="preserve">Grupo B.4</t>
  </si>
  <si>
    <t xml:space="preserve">Composição do Custo de Reposição do Profissional Ausente</t>
  </si>
  <si>
    <t xml:space="preserve">Remuneração do profissional substituto</t>
  </si>
  <si>
    <t xml:space="preserve">Ausência por doença</t>
  </si>
  <si>
    <t xml:space="preserve">Licença Paternidade</t>
  </si>
  <si>
    <t xml:space="preserve">Ausências Legais</t>
  </si>
  <si>
    <t xml:space="preserve">Ausência por acidente de trabalho</t>
  </si>
  <si>
    <t xml:space="preserve">PERCENTUAIS PARA CONTINGENCIAMENTO DE ENCARGOS TRABALHISTAS A SEREM APLICADOS SOBRE A NOTA FISCAL (UTILIZAÇÃO DURANTE A VIGÊNCIA CONTRATUAL)</t>
  </si>
  <si>
    <t xml:space="preserve">Incidência do submódulo 4.1 sobre custo de reposição</t>
  </si>
  <si>
    <t xml:space="preserve">Total Grupo B.4 - Custo de reposição do profissional ausente</t>
  </si>
  <si>
    <t xml:space="preserve">Título</t>
  </si>
  <si>
    <t xml:space="preserve">VARIAÇÃO RAT AJUSTADO 0,50% A 6%</t>
  </si>
  <si>
    <t xml:space="preserve">Grupo C</t>
  </si>
  <si>
    <t xml:space="preserve">Outros (especificar)</t>
  </si>
  <si>
    <t xml:space="preserve">EMPRESAS</t>
  </si>
  <si>
    <t xml:space="preserve">Indenização Adicional</t>
  </si>
  <si>
    <t xml:space="preserve">Grupo </t>
  </si>
  <si>
    <t xml:space="preserve">Mínimo</t>
  </si>
  <si>
    <t xml:space="preserve">Máximo</t>
  </si>
  <si>
    <t xml:space="preserve">LICITANTE</t>
  </si>
  <si>
    <t xml:space="preserve">Total Grupo C - Indenização Adicional</t>
  </si>
  <si>
    <t xml:space="preserve">SUBMÓDULO E.1 - da IN 02/2008 MPOG:</t>
  </si>
  <si>
    <t xml:space="preserve">Quadro Resumo - Encargos Sociais e Trabalhistas</t>
  </si>
  <si>
    <t xml:space="preserve">SAT (RATxFAP):</t>
  </si>
  <si>
    <t xml:space="preserve">13º salário</t>
  </si>
  <si>
    <t xml:space="preserve">13º Salário + Adicional de Férias</t>
  </si>
  <si>
    <t xml:space="preserve">Férias</t>
  </si>
  <si>
    <t xml:space="preserve">1/3 constitucional</t>
  </si>
  <si>
    <t xml:space="preserve">Custo de Rescisão</t>
  </si>
  <si>
    <t xml:space="preserve">Custo de Reposição do profissional Ausente</t>
  </si>
  <si>
    <t xml:space="preserve">Incidência do Grupo A (*)</t>
  </si>
  <si>
    <t xml:space="preserve">Multa do FGTS</t>
  </si>
  <si>
    <t xml:space="preserve">Total dos Encargos Sociais Trabalhistas</t>
  </si>
  <si>
    <t xml:space="preserve">Encargos a contingenciar</t>
  </si>
  <si>
    <t xml:space="preserve">Taxa da conta-corrente vinculada (inciso II art. 2º IN 001/2013</t>
  </si>
  <si>
    <t xml:space="preserve">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</si>
  <si>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 xml:space="preserve">Total a contingenciar</t>
  </si>
  <si>
    <t xml:space="preserve">ANEXO X - CUSTO ESTIMATIVO DE MATERIAIS DE LIMPEZA</t>
  </si>
  <si>
    <t xml:space="preserve">INSTRUÇÕES DE PREENCHIMENTO - Informar/Alterar somente as células destacadas na Cor Amarela, de acordo com o valor unitário da Licitante.</t>
  </si>
  <si>
    <t xml:space="preserve">VALORES UNITÁRIOS DO CONTRATO, CORRIGIDOS PELO REAJUSTE DE IPCA.</t>
  </si>
  <si>
    <t xml:space="preserve">DESCRIÇÃO DO MATERIAL</t>
  </si>
  <si>
    <t xml:space="preserve">OBSERVAÇÕES</t>
  </si>
  <si>
    <t xml:space="preserve">REFERÊNCIA</t>
  </si>
  <si>
    <t xml:space="preserve">Quantidade</t>
  </si>
  <si>
    <t xml:space="preserve">Preço Unitário</t>
  </si>
  <si>
    <t xml:space="preserve">DIVISOR</t>
  </si>
  <si>
    <t xml:space="preserve">VALOR INICIAL DO CONTRATO
(Informar após o término da licitação)</t>
  </si>
  <si>
    <t xml:space="preserve">Água sanitária galão de 5 litros, composição do produto: hipoclorito de sódio 2,5%, hidróxido de sódio e veículo.,teor de cloro ativo entre 2,0 e 2,5% p/p.</t>
  </si>
  <si>
    <t xml:space="preserve">Galão</t>
  </si>
  <si>
    <t xml:space="preserve">Santa Clara</t>
  </si>
  <si>
    <t xml:space="preserve">mensal</t>
  </si>
  <si>
    <t xml:space="preserve">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</si>
  <si>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 xml:space="preserve">Asseptgel</t>
  </si>
  <si>
    <t xml:space="preserve">Balde plástico em polietileno de alta densidade, alta resistência a impacto, com paredes e fundo reforçados, com reforço no encaixe da alça de aço zincado constando no corpo a marcado fabricante, capacidade de 20 litros.</t>
  </si>
  <si>
    <t xml:space="preserve">unid.</t>
  </si>
  <si>
    <t xml:space="preserve">Arqplast</t>
  </si>
  <si>
    <t xml:space="preserve">trimestral</t>
  </si>
  <si>
    <t xml:space="preserve">Balde Material: Plástico , Material Alça: Arame Galvanizado, Capacidade: 10 L, Cor: Preta, Características Adicionais: Reforço Fundo E Borda</t>
  </si>
  <si>
    <t xml:space="preserve">Sanremo</t>
  </si>
  <si>
    <t xml:space="preserve">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</si>
  <si>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 xml:space="preserve">Azulim</t>
  </si>
  <si>
    <t xml:space="preserve">Cloro liquido concentrado com teor ativo de no minimo 10 a 12% para limpeza pesada embalagem com 5 litros</t>
  </si>
  <si>
    <t xml:space="preserve">bimestral</t>
  </si>
  <si>
    <t xml:space="preserve">Desentupidor Pia: Tipo: Sanfonado, Com Alto Poder De Sucção. Material: Borracha Flexível, Composto Por Polipropileno E Borracha Termoplástica. Plástico Resistente, Cabo Longo, mínimo 20 CM.</t>
  </si>
  <si>
    <t xml:space="preserve">Oliveira e Azevedo</t>
  </si>
  <si>
    <t xml:space="preserve">semestral</t>
  </si>
  <si>
    <t xml:space="preserve">Desentupidor Vaso Sanitário Material: Borracha Flexível, Comprimento Cabo: 50 CM, Altura: 10 CM, Cor: Preta , Diâmetro: 16 CM, MaterialCabo: Madeira</t>
  </si>
  <si>
    <t xml:space="preserve">Canada</t>
  </si>
  <si>
    <t xml:space="preserve">Desinfetante concentrado líquido. Aroma floral. Embalagem com 5 litros.</t>
  </si>
  <si>
    <t xml:space="preserve">Mirax Floral Bouquet</t>
  </si>
  <si>
    <t xml:space="preserve">Detergente líquido para louça, neutro, embalagem de 500ml, com tampa Push Pool. Deverá conter glicerina e ser testado e aprovado por dermatologistas. Com fórmula biodegradável. Deve possuir registro na Anvisa/Ministério da Saúde, o qual deverá estar impresso no rótulo.</t>
  </si>
  <si>
    <t xml:space="preserve">Limpol</t>
  </si>
  <si>
    <t xml:space="preserve">Escova para lavar multiuso, oval, base plástica e cerdas de escova para lavar multiuso, oval, base plástica e cerdas de nylon.</t>
  </si>
  <si>
    <t xml:space="preserve">Condor</t>
  </si>
  <si>
    <t xml:space="preserve">Escova Sanitária Redonda em plástico Branco contendo 01 escova para vaso sanitário e 01 suporte redondo: Branco Tamanho: 14 x 42 cm</t>
  </si>
  <si>
    <t xml:space="preserve">Limpamania</t>
  </si>
  <si>
    <t xml:space="preserve">Esponja Para Lavagem De Louças E Limpeza Em Geral, Dupla Face Sintética, Um Lado Em Espuma Poliuretano E Outro Em Fibra Sintética Abrasiva, Antibacteriana, Formato Retangular, Medindo Aproximadamente 110mm X 75mm X 20mm De Espessura. Pacote com 4 unidades.</t>
  </si>
  <si>
    <t xml:space="preserve">pacote</t>
  </si>
  <si>
    <t xml:space="preserve">Scotch-Brite</t>
  </si>
  <si>
    <t xml:space="preserve">Esponja de LÃ DE AÇO, composição básica: aço carbono abrasivo, p/ limpeza em geral, acondicionada em embalagem plástica original do fabricante, peso líquido aproximado de 60g, pacote c/ 08 unidades.</t>
  </si>
  <si>
    <t xml:space="preserve">Bombril</t>
  </si>
  <si>
    <t xml:space="preserve">Extensão elétrica 20 metros 3 tomada 20a cabo pp2x1,5mm reforçada, 2 cabos de som 10m para ligar as caixas xlr/p10, 2cabos xlr para microfones sem fio (especificações mínima)</t>
  </si>
  <si>
    <t xml:space="preserve">Daneva</t>
  </si>
  <si>
    <t xml:space="preserve">anual</t>
  </si>
  <si>
    <t xml:space="preserve">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</si>
  <si>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 xml:space="preserve">Intextil</t>
  </si>
  <si>
    <t xml:space="preserve">Inseticida Aerossol, multiinseticida, frasco com mínimo 300 ml. Registro/ Autorização no ministério da saúde.</t>
  </si>
  <si>
    <t xml:space="preserve">Raid</t>
  </si>
  <si>
    <t xml:space="preserve">Kit limpador de vidro: Rodo limpa vidros com cabo telescópico extensor de 06 (seis)metros. Extremidade composta por lavador de acrílico e limpador com lâmina de borracha de aproximadamente 35 cm. Utilizado para limpeza de vidros e vidraças.</t>
  </si>
  <si>
    <t xml:space="preserve">Bralimpia</t>
  </si>
  <si>
    <t xml:space="preserve">Limpa vidro 500ml (Veja ou similar)</t>
  </si>
  <si>
    <t xml:space="preserve">Veja</t>
  </si>
  <si>
    <t xml:space="preserve">Multiuso limpeza pesada 500ml - composição: alquil benzeno sulfonato de sódio, solvente, coadjuvantes, conservante, sequestrante, corante, fragrância e água. tensoativo biodegradável. frascos de 500 ml de produto (marca de referência: veja).</t>
  </si>
  <si>
    <t xml:space="preserve">Luva Segurança Com Forro. Material: 100% Látex Nitrílico , Tamanho: M ou G ,Aplicação: Manuseio Reagente Químico E Radioativo , Características Adicionais: Com Forro, Sem Talco, Pulso Com Bainha , Modelo: Palma Antiderrapante, Cor: Verde, Tipo: Ambidestra</t>
  </si>
  <si>
    <t xml:space="preserve">Par</t>
  </si>
  <si>
    <t xml:space="preserve">Bettanin</t>
  </si>
  <si>
    <t xml:space="preserve">Pá p/ lixo em plástico resistente c/ cabo de madeira de 60cm de altura na vertical.</t>
  </si>
  <si>
    <t xml:space="preserve">Papel higiênico branco, folha dupla, de alta qualidade, com dimensões 10cm X 30m, com a marca do fabricante e indicação na embalagem, absorvente e resistente, fardo com 12 rolos de 30 metros. Tipo Neve ou de melhor qualidade.</t>
  </si>
  <si>
    <t xml:space="preserve">Fardo com 12 rolos</t>
  </si>
  <si>
    <t xml:space="preserve">Neve</t>
  </si>
  <si>
    <t xml:space="preserve">Papel Toalha Interfolhado, 2 dobras, 100% fibras celulósicas, branco extra luxo, sem pintas ou outros tipos de sujidades, boa qualidade , medindo aproximadamente 23cm x 23 cm , acondicionado em caixa c/1000 folhas.</t>
  </si>
  <si>
    <t xml:space="preserve">Pacote</t>
  </si>
  <si>
    <t xml:space="preserve">Economy (Jofel) ou similar</t>
  </si>
  <si>
    <t xml:space="preserve">Pedra sanitária c/ 25g - com suporte para fixar no vaso sanitário. Desinfetante sanitário em pedra 25 g</t>
  </si>
  <si>
    <t xml:space="preserve">Harpic, Pato</t>
  </si>
  <si>
    <t xml:space="preserve">Rodo Plástico e borracha dupla expandida de 60cm, resistente e durável, que puxa e seca a água, feita em EVA e cepo em polipropileno com garras pontiagudas nas laterais para melhor fixar panos de chão.</t>
  </si>
  <si>
    <t xml:space="preserve">Brubalar</t>
  </si>
  <si>
    <t xml:space="preserve">Sabão em barra glicerinado - cor neutra. Pacote com 5 de 200g cada unidade.</t>
  </si>
  <si>
    <t xml:space="preserve">Minuano</t>
  </si>
  <si>
    <t xml:space="preserve">Sabão em Pó – Caixa de 0,8 a 1Kg. Sabão em pó, convencional, de primeira linha. Para lavar roupas e limpeza em geral.</t>
  </si>
  <si>
    <t xml:space="preserve">cx.</t>
  </si>
  <si>
    <t xml:space="preserve">Omo ou similar</t>
  </si>
  <si>
    <t xml:space="preserve">Sapólio em pó 300g</t>
  </si>
  <si>
    <t xml:space="preserve">unid</t>
  </si>
  <si>
    <t xml:space="preserve">Sabonete líquido Concentrado, cremoso perolizado, pronto pra uso, aroma erva-doce, lavanda ou similar, galão de 05 litros.</t>
  </si>
  <si>
    <t xml:space="preserve">Nobre, Start, Ikebana</t>
  </si>
  <si>
    <t xml:space="preserve">Saco de Algodão Tipo: Alvejado, Tamanho: 60 X 80 CM, Cor: Branco, Características Adicionais: Dupla Face</t>
  </si>
  <si>
    <t xml:space="preserve">Santa Margarida</t>
  </si>
  <si>
    <t xml:space="preserve">Saco plástico reforçado para lixo em polietileno, com capacidade de 100 litros, com estanqueidade suficiente para que não haja vazamento de lixo líquido. com espessura mínima de 10 micra, na cor preta. Pacote com 100 unidades.</t>
  </si>
  <si>
    <t xml:space="preserve">Polisac</t>
  </si>
  <si>
    <t xml:space="preserve">Saco plástico reforçado para lixo em polietileno, com capacidade de 20 litros, com estanqueidade suficiente para que não haja vazamento de lixo líquido. com espessura mínima de 09 micra, na cor preta. Pacote com 100 unidades.</t>
  </si>
  <si>
    <t xml:space="preserve">Altaplast</t>
  </si>
  <si>
    <t xml:space="preserve">Vassoura de nylon, cerdas c/ ponta desfiada, corpo de madeira medindo aproximadamente 25 x 05cm, c/ cabo de no mínimo 1,50m de comprimento</t>
  </si>
  <si>
    <t xml:space="preserve">Vassoura Material Cerdas: Piaçava, Aplicação: Limpeza, Material Cepa: Madeira, Comprimento Cepa: 40 CM, Comprimento Cerdas: 13 CM, Largura Cepa: 5 CM, Altura Cepa: 4 CM, Material Cabo: Madeira</t>
  </si>
  <si>
    <t xml:space="preserve">Noviça</t>
  </si>
  <si>
    <t xml:space="preserve">ANEXO X - CUSTO ESTIMATIVO DE MATERIAIS DE LIMPEZA COPA</t>
  </si>
  <si>
    <t xml:space="preserve">Marca de Referência</t>
  </si>
  <si>
    <t xml:space="preserve">Balde Material: Plástico, Material Alça: Arame Galvanizado, Capacidade: 10 L, Cor: Preta, Características Adicionais: Reforço Fundo E Borda</t>
  </si>
  <si>
    <t xml:space="preserve">Coador de Café. Especificação: Em pano 100% algodão, cor branca, dimensões de 20cm (diâmetro) x 30cm (profundidade), cabo 16 cm de comprimento feito de arame de aço galvanizado revestido com PVC. O rótulo do produto deve estampar o nome do fabricante.</t>
  </si>
  <si>
    <t xml:space="preserve">Stolf</t>
  </si>
  <si>
    <t xml:space="preserve">Desentupidor Pia Material: Borracha Flexível, Cor: Preta , Material Cabo: Plástico Resistente , Comprimento Cabo: 20 CM, Tipo: Sanfonado</t>
  </si>
  <si>
    <t xml:space="preserve">Limpol ou similar</t>
  </si>
  <si>
    <t xml:space="preserve">Esponja de LÃ DE AÇO, composição básica: aço carbono abrasivo, p/ limpeza em geral, acondicionada em embalagem plástica original do fabricante, peso líquido aproximado de 60g, pacote c/ 08 unidades</t>
  </si>
  <si>
    <t xml:space="preserve">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</si>
  <si>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 xml:space="preserve">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t>
  </si>
  <si>
    <t xml:space="preserve">Santepel</t>
  </si>
  <si>
    <t xml:space="preserve">Luva Segurança Com Forro. Material: 100% Látex Nitrílico , Tamanho: M ou G ,Aplicação: Manuseio Reagente Químico E Radioativo , Características Adicionais: Com Forro, Sem Talco, Pulso Com Bainha , Modelo: Palma Antiderrapante , Cor: Verde ,Tipo: Ambidestra</t>
  </si>
  <si>
    <t xml:space="preserve">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t>
  </si>
  <si>
    <t xml:space="preserve">Pá para lixo, material: plástico com cabo, material cabo: madeira, comprimento cabo: 60cm, tamanho:24x16,5x7cm.</t>
  </si>
  <si>
    <t xml:space="preserve">Pano de copa aberto 100%  dimensões mínimas 40x60cm</t>
  </si>
  <si>
    <t xml:space="preserve">Karsten</t>
  </si>
  <si>
    <t xml:space="preserve">Rodo plástico push 60cm com borracha dupla cabo 120cmespecificação: com cepa de polipropileno; propriedades mínimas; cepa medindo 60cm de comprimento; eva; duplo; com espessura 3,5mm(+/- 0,05mm); cepa pesando 230g, cabo de madeira (cedrinho) revestido de polipropileno; 120cm gancho de polietileno de alta densidade; rosca de polietileno de baixa densidade; embalado em embalagem apropriada.</t>
  </si>
  <si>
    <t xml:space="preserve">Sabão Glicerinado em Barra Neutro 200g</t>
  </si>
  <si>
    <t xml:space="preserve">Saco De Algodão Tipo: Alvejado , Tamanho: 60 X 80 CM, Cor: Branco, Características Adicionais: Dupla Face</t>
  </si>
  <si>
    <t xml:space="preserve">Uzzilim</t>
  </si>
  <si>
    <t xml:space="preserve">ANEXO X - CUSTO ESTIMATIVO DE EPI</t>
  </si>
  <si>
    <t xml:space="preserve">Valores em R$</t>
  </si>
  <si>
    <t xml:space="preserve">Item</t>
  </si>
  <si>
    <t xml:space="preserve">Especificação</t>
  </si>
  <si>
    <t xml:space="preserve">Quant.</t>
  </si>
  <si>
    <t xml:space="preserve">Valor Unitário</t>
  </si>
  <si>
    <t xml:space="preserve">Valor Total</t>
  </si>
  <si>
    <t xml:space="preserve">Repasse Mensal</t>
  </si>
  <si>
    <r>
      <rPr>
        <b val="true"/>
        <sz val="10"/>
        <color rgb="FF000000"/>
        <rFont val="Calibri"/>
        <family val="2"/>
        <charset val="1"/>
      </rPr>
      <t xml:space="preserve">Bota Segurança</t>
    </r>
    <r>
      <rPr>
        <sz val="10"/>
        <color rgb="FF000000"/>
        <rFont val="Calibri"/>
        <family val="2"/>
        <charset val="1"/>
      </rPr>
      <t xml:space="preserve"> Material: Pvc - Cloreto De Polivinila , Material Sola: Antiderrapante , Cor: Preta , Tipo Cano: Longo Características Adicionais: Com Forro, Palmilha e Biqueira De Aço.</t>
    </r>
  </si>
  <si>
    <t xml:space="preserve">Total de EPI de Servente/Copeira</t>
  </si>
  <si>
    <t xml:space="preserve">ANEXO X - CUSTO ESTIMATIVO DE PREÇOS DE EQUIPAMENTOS</t>
  </si>
  <si>
    <t xml:space="preserve">Depreciação 10% ao Ano</t>
  </si>
  <si>
    <t xml:space="preserve">RELAÇÃO DE MÁQUINAS E EQUIPAMENTOS </t>
  </si>
  <si>
    <t xml:space="preserve">Escada doméstica, material alumínio, número degraus 8, características adicionais pés antiderrapantes, trava de segurança, capacidade 120 kg, tipo dobrável.</t>
  </si>
  <si>
    <t xml:space="preserve">Lavadora de alta pressão Karcher k3 1500W 110v ou Similar. Alta potência de 1450W no mínimo. Pressão máxima no mínimo de 1800psi, sem desperdícios de água e energia. Proteção em caso de superaquecimento. Ajuste de jato regulável. Rodas e alça retrátil para transporte.</t>
  </si>
  <si>
    <t xml:space="preserve">Total da Depreciação de Máquinas e Equipamentos</t>
  </si>
  <si>
    <t xml:space="preserve">ANEXO X - CUSTO ESTIMATIVO DE PREÇOS DOS UNIFORMES</t>
  </si>
  <si>
    <t xml:space="preserve">Serviços de Limpeza e Conservação</t>
  </si>
  <si>
    <t xml:space="preserve">CATEGORIA</t>
  </si>
  <si>
    <t xml:space="preserve">QUANT.</t>
  </si>
  <si>
    <t xml:space="preserve">DESCRIÇÃO DE UNIFORME</t>
  </si>
  <si>
    <t xml:space="preserve">CORES</t>
  </si>
  <si>
    <t xml:space="preserve">TOTAL DO QUANTITATIVO</t>
  </si>
  <si>
    <t xml:space="preserve">PREÇO UNITÁRIO</t>
  </si>
  <si>
    <t xml:space="preserve">Servente</t>
  </si>
  <si>
    <t xml:space="preserve">Camiseta Malha</t>
  </si>
  <si>
    <t xml:space="preserve">Modelo unissex, confeccionado em Malha PV, com gramatura de 180g/m² ou superior, em tecido sem transparência, com manga curta, sem punho. Gola redonda e barra reta. Logotipo da empresa em silk screen.</t>
  </si>
  <si>
    <t xml:space="preserve">Bege ou Creme</t>
  </si>
  <si>
    <t xml:space="preserve">TOTAL DE POSTOS</t>
  </si>
  <si>
    <t xml:space="preserve">Calça com elástico</t>
  </si>
  <si>
    <t xml:space="preserve">Modelo reto, confeccionada em helanca, 100% poliamida com cós alto separado em elástico ou cordão com regulagem para ajuste.</t>
  </si>
  <si>
    <t xml:space="preserve">Preta</t>
  </si>
  <si>
    <t xml:space="preserve">Sapato de Segurança</t>
  </si>
  <si>
    <t xml:space="preserve">Botina segurança - Material: Couro, Material Sola: Borracha, Modelo: Com Elástico nas Laterais, Características
Adicionais: Biqueira Em Polipropileno, Tamanho: Sob Medida</t>
  </si>
  <si>
    <t xml:space="preserve">Soma</t>
  </si>
  <si>
    <t xml:space="preserve">CÁLCULO VALOR DO REPASSE MENSAL SERVENTE DE LIMPEZA </t>
  </si>
  <si>
    <t xml:space="preserve">Copeira</t>
  </si>
  <si>
    <t xml:space="preserve">Avental</t>
  </si>
  <si>
    <r>
      <rPr>
        <b val="true"/>
        <sz val="10"/>
        <color rgb="FF000000"/>
        <rFont val="Calibri"/>
        <family val="2"/>
        <charset val="1"/>
      </rPr>
      <t xml:space="preserve">Avental</t>
    </r>
    <r>
      <rPr>
        <sz val="10"/>
        <color rgb="FF000000"/>
        <rFont val="Calibri"/>
        <family val="2"/>
        <charset val="1"/>
      </rPr>
      <t xml:space="preserve"> de cozinheiro - 1,20 x 0,60 m (Tecido Oxford). Características Adicionais: 2 Bolsos Dianteiros , Tamanho: Longo.</t>
    </r>
  </si>
  <si>
    <t xml:space="preserve">Branco</t>
  </si>
  <si>
    <t xml:space="preserve">CÁLCULO VALOR DO REPASSE MENSAL ACÚMULO COPEIRA</t>
  </si>
  <si>
    <t xml:space="preserve">Auxiliar Administrativo</t>
  </si>
  <si>
    <t xml:space="preserve">Camisa Polo</t>
  </si>
  <si>
    <t xml:space="preserve">Camisa Polo - Material: Piquet | Tipo Manga: Meia Manga | Tipo Colarinho: Gola Polo | Cor: Cinza Claro | Tamanho: P, M, G, GG. Confeccionada em malha Piquet ou similar, sendo 50% poliéster e 50% algodão, em tecido não transparente com gramatura entre 190 a 220g/m².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t>
  </si>
  <si>
    <t xml:space="preserve">Cinza Claro</t>
  </si>
  <si>
    <t xml:space="preserve">Calça Jeans</t>
  </si>
  <si>
    <t xml:space="preserve">Calça jeans com 2 bolsos na frente e 2 bolsos externos atrás, com passador para cinto, fechamento em ziper e botão. Calça modelo em corte reto tradicional, confeccionada em jeans com elastano, sendo, no mínimo 97% algodão e 3% elastano. Frente com 2 bolsos embutidos e zíper de metal com um botão no cós para fechamento. Parte de trás com dois bolsos. Cós total no próprio tecido com 5 (cinco) passadores de cinto.</t>
  </si>
  <si>
    <t xml:space="preserve">Azul Marinho</t>
  </si>
  <si>
    <t xml:space="preserve">Tênis</t>
  </si>
  <si>
    <t xml:space="preserve">Tênis maleável de nylon, com solado em borracha antiderrapante, forro e palmilha espumados, com acolchoamento no calcanhar. Fechamento em cadarço, com passador em cordão.</t>
  </si>
  <si>
    <t xml:space="preserve">Preto</t>
  </si>
  <si>
    <t xml:space="preserve">CÁLCULO VALOR DO REPASSE MENSAL  DE AUXILIAR ADMINISTRATIVO</t>
  </si>
  <si>
    <t xml:space="preserve">Botina segurança - Material: Couro, Material Sola: Borracha, Modelo: Com Elástico nas Laterais, Características Adicionais: Biqueira Em Polipropileno, Tamanho: Sob Medida</t>
  </si>
  <si>
    <t xml:space="preserve">CÁLCULO VALOR DO REPASSE MENSAL ZELADOR</t>
  </si>
  <si>
    <t xml:space="preserve">Planilha de Custo e Formação de Preço Mensal Por Categoria Profissional</t>
  </si>
  <si>
    <t xml:space="preserve">COM MATERIAL</t>
  </si>
  <si>
    <t xml:space="preserve">SEM MATERIAL</t>
  </si>
  <si>
    <t xml:space="preserve">CUSTO DE VALE ALIMENTAÇÃO</t>
  </si>
  <si>
    <t xml:space="preserve">CUSTO DE VALE-TRANSPORTE</t>
  </si>
  <si>
    <t xml:space="preserve">CUSTO INSALUBRIDADE</t>
  </si>
  <si>
    <t xml:space="preserve">33390.37.02 - Limpeza e Conservação</t>
  </si>
  <si>
    <t xml:space="preserve">MONTANTE "A" - Mão de Obra</t>
  </si>
  <si>
    <t xml:space="preserve">Função</t>
  </si>
  <si>
    <t xml:space="preserve">Carga Horária Mensal</t>
  </si>
  <si>
    <t xml:space="preserve"> Salário Base</t>
  </si>
  <si>
    <t xml:space="preserve">Adicional de Insalubridade</t>
  </si>
  <si>
    <t xml:space="preserve">Adicional Acúmulo de Função</t>
  </si>
  <si>
    <t xml:space="preserve">TOTAL DA REMUNERAÇÃO</t>
  </si>
  <si>
    <t xml:space="preserve">Encargos sociais e trabalhistas                         </t>
  </si>
  <si>
    <t xml:space="preserve">Total do Montante "A" ( Mão de Obra)</t>
  </si>
  <si>
    <t xml:space="preserve">MONTANTE "B" - INSUMOS</t>
  </si>
  <si>
    <t xml:space="preserve">Itens</t>
  </si>
  <si>
    <t xml:space="preserve">Valores Unitários</t>
  </si>
  <si>
    <t xml:space="preserve">Uniforme</t>
  </si>
  <si>
    <t xml:space="preserve">Seguro de vida  </t>
  </si>
  <si>
    <t xml:space="preserve">Material de Limpeza</t>
  </si>
  <si>
    <t xml:space="preserve">Material de Copa</t>
  </si>
  <si>
    <t xml:space="preserve">Depreciação de Equipamentos</t>
  </si>
  <si>
    <t xml:space="preserve">Total do Montante "B" (Insumos)</t>
  </si>
  <si>
    <t xml:space="preserve">Montante "A" + Montante "B"</t>
  </si>
  <si>
    <t xml:space="preserve">MONTANTE "C" - DEMAIS COMPONENTES</t>
  </si>
  <si>
    <t xml:space="preserve">ITENS</t>
  </si>
  <si>
    <t xml:space="preserve">Percentual</t>
  </si>
  <si>
    <t xml:space="preserve">Despesas administrativas/operacionais</t>
  </si>
  <si>
    <t xml:space="preserve">Base de cálculo do lucro</t>
  </si>
  <si>
    <t xml:space="preserve">Total do Montante "C" (Demais componentes)</t>
  </si>
  <si>
    <t xml:space="preserve">Montante "A" + Montante "B" + Montante "C"</t>
  </si>
  <si>
    <t xml:space="preserve">MONTANTE "D" - TRIBUTOS</t>
  </si>
  <si>
    <t xml:space="preserve">Total do Montante "D" (Tributos)</t>
  </si>
  <si>
    <t xml:space="preserve">FATOR K</t>
  </si>
  <si>
    <t xml:space="preserve">Deslocamento Insalubridade</t>
  </si>
  <si>
    <t xml:space="preserve">Valores Unitarios</t>
  </si>
  <si>
    <t xml:space="preserve">33390.37.01 - Serviços Administrativos</t>
  </si>
  <si>
    <t xml:space="preserve">ANEXO X - PLANILHA DE CUSTO E FORMAÇÃO DE PREÇO MENSAL ESTIMATIVO INTEGRAL - RESUMO</t>
  </si>
  <si>
    <t xml:space="preserve">MÊS: </t>
  </si>
  <si>
    <t xml:space="preserve">VALORES EM R$</t>
  </si>
  <si>
    <t xml:space="preserve">ELEMENTO DE DESPESA</t>
  </si>
  <si>
    <t xml:space="preserve">CATEGORIA PROFISSIONAL</t>
  </si>
  <si>
    <t xml:space="preserve">TOTAL DO FATURAMENTO MENSAL</t>
  </si>
  <si>
    <t xml:space="preserve">CUSTO MENSAL</t>
  </si>
  <si>
    <t xml:space="preserve">GLOSA VALE TRANSPORTE</t>
  </si>
  <si>
    <t xml:space="preserve">GLOSA DE ATRASOS, FALTAS E DESCONTO DO TITULAR EM FÉRIAS (sem material)</t>
  </si>
  <si>
    <t xml:space="preserve">GLOSA VALE ALIMENTAÇÃO</t>
  </si>
  <si>
    <t xml:space="preserve">TOTAL GLOSAS</t>
  </si>
  <si>
    <t xml:space="preserve">ACRÉSCIMO DE INSALUBRIDADE</t>
  </si>
  <si>
    <t xml:space="preserve">Homem-Mês</t>
  </si>
  <si>
    <t xml:space="preserve">Custo Mensal  do vale-transporte da categoria com Encargos</t>
  </si>
  <si>
    <t xml:space="preserve">GLOSA </t>
  </si>
  <si>
    <t xml:space="preserve">Glosa de Atrasos e Faltas</t>
  </si>
  <si>
    <t xml:space="preserve">Desconto Mensal do Titular em Férias sem substituição</t>
  </si>
  <si>
    <t xml:space="preserve">Desconto de Vale Alimentação em recesso forense ou ponto facultativo.</t>
  </si>
  <si>
    <t xml:space="preserve">Total da Glosa de Atrasos, Faltas, Desconto do Titular em Férias sem substituição e Desconto de V.A para recessos.</t>
  </si>
  <si>
    <t xml:space="preserve">PAGAMENTO INSALUBRIDADE EM SUBSTITUIÇÃO</t>
  </si>
  <si>
    <t xml:space="preserve">Custo Unitário da categoria</t>
  </si>
  <si>
    <t xml:space="preserve">Custo Mensal da categoria</t>
  </si>
  <si>
    <t xml:space="preserve">Dias de afastamento</t>
  </si>
  <si>
    <t xml:space="preserve">Valor da Glosa do vale transporte da categoria</t>
  </si>
  <si>
    <t xml:space="preserve">Custo Homem-Mês               (sem material)</t>
  </si>
  <si>
    <t xml:space="preserve">Valor da Glosa de Atrasos e Faltas</t>
  </si>
  <si>
    <t xml:space="preserve">Custo Unitário da categoria Planilha de Férias</t>
  </si>
  <si>
    <t xml:space="preserve">Valor do Desconto Mensal </t>
  </si>
  <si>
    <t xml:space="preserve">Custo Mensal  do vale alimentação da categoria com Encargos</t>
  </si>
  <si>
    <t xml:space="preserve">Dias de Recesso e/ou ponto facultativo</t>
  </si>
  <si>
    <t xml:space="preserve">Valor da Glosa do vale alimentação da categoria</t>
  </si>
  <si>
    <t xml:space="preserve">Valor Insalubridade por dia</t>
  </si>
  <si>
    <t xml:space="preserve">Quantidade de Dias</t>
  </si>
  <si>
    <t xml:space="preserve">Valor Devido</t>
  </si>
  <si>
    <t xml:space="preserve">TOTAL DO FATURAMENTO MENSAL </t>
  </si>
  <si>
    <t xml:space="preserve">Valor para Lance - Registro de oferta</t>
  </si>
  <si>
    <t xml:space="preserve">VALOR DO MATERIAL</t>
  </si>
  <si>
    <t xml:space="preserve">TOTAL DO FATURAMENTO ANUAL</t>
  </si>
  <si>
    <t xml:space="preserve">2. Na célula “R13 ou R14” deverá ser informado a quantidade de dias em que o trabalho insalubre foi realizado por outra servente do quadro, durante as férias da titular.</t>
  </si>
  <si>
    <t xml:space="preserve">ANEXO X - PLANILHA DE CUSTO E FORMAÇÃO DE PREÇO MENSAL ESTIMATIVO DO PROFISSIONAL SUBSTITUTO DO TITULAR EM FÉRIAS </t>
  </si>
  <si>
    <t xml:space="preserve">DESCRIÇÃO </t>
  </si>
  <si>
    <t xml:space="preserve">4.5</t>
  </si>
  <si>
    <t xml:space="preserve">Valor em R$</t>
  </si>
  <si>
    <t xml:space="preserve">Módulo 1 - Total da Remuneração</t>
  </si>
  <si>
    <t xml:space="preserve">A</t>
  </si>
  <si>
    <t xml:space="preserve">G</t>
  </si>
  <si>
    <t xml:space="preserve">Total do Custo MENSAL de Reposição do Profissional Ausente em Férias</t>
  </si>
  <si>
    <t xml:space="preserve">Total do Custo ANUAL de Reposição do Profissional Ausente em Férias</t>
  </si>
  <si>
    <t xml:space="preserve">Módulo 2 - Benefícios Mensais e Diários</t>
  </si>
  <si>
    <t xml:space="preserve">Vale-Alimentação</t>
  </si>
  <si>
    <t xml:space="preserve">B</t>
  </si>
  <si>
    <t xml:space="preserve">Vale-Transporte</t>
  </si>
  <si>
    <t xml:space="preserve">C</t>
  </si>
  <si>
    <t xml:space="preserve">Outros (sem concessão do intervalo intrajornada)</t>
  </si>
  <si>
    <t xml:space="preserve">Total de Benefícios Mensais e Diários</t>
  </si>
  <si>
    <t xml:space="preserve">Módulo 5 - Custos Indiretos, Lucros e Tributos</t>
  </si>
  <si>
    <t xml:space="preserve">Custos Indiretos (Despesas Operacionais e Administrativas)</t>
  </si>
  <si>
    <t xml:space="preserve">Tributos</t>
  </si>
  <si>
    <t xml:space="preserve">C.1</t>
  </si>
  <si>
    <t xml:space="preserve">Tributos Federais (PIS E COFINS)</t>
  </si>
  <si>
    <t xml:space="preserve">C.2</t>
  </si>
  <si>
    <t xml:space="preserve">Tributos Estaduais (especificar)</t>
  </si>
  <si>
    <t xml:space="preserve">C.3</t>
  </si>
  <si>
    <t xml:space="preserve">C.4</t>
  </si>
  <si>
    <t xml:space="preserve">Total dos Custos Indiretos e Tributos</t>
  </si>
  <si>
    <t xml:space="preserve">CUSTO TOTAL DO PROFISSIONAL SUBSTITUTO</t>
  </si>
  <si>
    <t xml:space="preserve">Resumo do Custo Por Empregado Substituto do Titular em Férias</t>
  </si>
  <si>
    <t xml:space="preserve">Mão de Obra Vinculada à Execução Contratual  (Valor Por Empregado)</t>
  </si>
  <si>
    <t xml:space="preserve">Módulo 1 - Composição Remuneração * 12 (Anual)</t>
  </si>
  <si>
    <t xml:space="preserve">Subtotal (A+B)</t>
  </si>
  <si>
    <t xml:space="preserve">E</t>
  </si>
  <si>
    <t xml:space="preserve">Módulo 5 - Custos Indiretos, Tributos e Lucro</t>
  </si>
  <si>
    <t xml:space="preserve">Valor Total Mensal Por Empregado Substituto do Titular em Férias </t>
  </si>
  <si>
    <t xml:space="preserve">Subseção Judiciária de Sete Lagoas</t>
  </si>
  <si>
    <t xml:space="preserve">Período:</t>
  </si>
  <si>
    <t xml:space="preserve">ÍNDICE </t>
  </si>
  <si>
    <t xml:space="preserve">IPCA/ IBGE</t>
  </si>
  <si>
    <t xml:space="preserve">DIAS</t>
  </si>
  <si>
    <t xml:space="preserve">Pró-rata</t>
  </si>
  <si>
    <t xml:space="preserve">VALOR ATUAL</t>
  </si>
  <si>
    <t xml:space="preserve">ANO</t>
  </si>
  <si>
    <t xml:space="preserve">MÊS</t>
  </si>
  <si>
    <t xml:space="preserve">ÍNDICE %</t>
  </si>
  <si>
    <t xml:space="preserve">%</t>
  </si>
  <si>
    <t xml:space="preserve">AGO</t>
  </si>
  <si>
    <t xml:space="preserve">SET</t>
  </si>
  <si>
    <t xml:space="preserve">OUT</t>
  </si>
  <si>
    <t xml:space="preserve">NOV</t>
  </si>
  <si>
    <t xml:space="preserve">DEZ</t>
  </si>
  <si>
    <t xml:space="preserve">JAN</t>
  </si>
  <si>
    <t xml:space="preserve">FEV</t>
  </si>
  <si>
    <t xml:space="preserve">MAR</t>
  </si>
  <si>
    <t xml:space="preserve">ABR</t>
  </si>
  <si>
    <t xml:space="preserve">MAI</t>
  </si>
  <si>
    <t xml:space="preserve">JUN</t>
  </si>
  <si>
    <t xml:space="preserve">JUL</t>
  </si>
  <si>
    <t xml:space="preserve">INDICE ACUMULADO</t>
  </si>
</sst>
</file>

<file path=xl/styles.xml><?xml version="1.0" encoding="utf-8"?>
<styleSheet xmlns="http://schemas.openxmlformats.org/spreadsheetml/2006/main">
  <numFmts count="17">
    <numFmt numFmtId="164" formatCode="General"/>
    <numFmt numFmtId="165" formatCode="General"/>
    <numFmt numFmtId="166" formatCode="0"/>
    <numFmt numFmtId="167" formatCode="0.00"/>
    <numFmt numFmtId="168" formatCode="_-* #,##0.00_-;\-* #,##0.00_-;_-* \-??_-;_-@_-"/>
    <numFmt numFmtId="169" formatCode="&quot;R$ &quot;#,##0.00"/>
    <numFmt numFmtId="170" formatCode="_-&quot;R$ &quot;* #,##0.00_-;&quot;-R$ &quot;* #,##0.00_-;_-&quot;R$ &quot;* \-??_-;_-@_-"/>
    <numFmt numFmtId="171" formatCode="#,##0.00"/>
    <numFmt numFmtId="172" formatCode="#,##0_ ;\-#,##0\ "/>
    <numFmt numFmtId="173" formatCode="0.00%"/>
    <numFmt numFmtId="174" formatCode="#,##0"/>
    <numFmt numFmtId="175" formatCode="d/m/yyyy"/>
    <numFmt numFmtId="176" formatCode="0.0000"/>
    <numFmt numFmtId="177" formatCode="0%"/>
    <numFmt numFmtId="178" formatCode="_(* #,##0.00_);_(* \(#,##0.00\);_(* \-??_);_(@_)"/>
    <numFmt numFmtId="179" formatCode="@"/>
    <numFmt numFmtId="180" formatCode="* #,##0.00\ ;* \(#,##0.00\);* \-#\ ;@\ "/>
  </numFmts>
  <fonts count="50">
    <font>
      <sz val="11"/>
      <color rgb="FF000000"/>
      <name val="Calibri"/>
      <family val="2"/>
      <charset val="1"/>
    </font>
    <font>
      <sz val="10"/>
      <name val="Arial"/>
      <family val="0"/>
    </font>
    <font>
      <sz val="10"/>
      <name val="Arial"/>
      <family val="0"/>
    </font>
    <font>
      <sz val="10"/>
      <name val="Arial"/>
      <family val="0"/>
    </font>
    <font>
      <sz val="11"/>
      <name val="Calibri"/>
      <family val="2"/>
      <charset val="1"/>
    </font>
    <font>
      <sz val="10"/>
      <color rgb="FF333333"/>
      <name val="Calibri"/>
      <family val="2"/>
      <charset val="1"/>
    </font>
    <font>
      <b val="true"/>
      <sz val="18"/>
      <name val="Calibri"/>
      <family val="2"/>
      <charset val="1"/>
    </font>
    <font>
      <b val="true"/>
      <sz val="16"/>
      <name val="Calibri"/>
      <family val="2"/>
      <charset val="1"/>
    </font>
    <font>
      <b val="true"/>
      <sz val="11"/>
      <name val="Calibri"/>
      <family val="2"/>
      <charset val="1"/>
    </font>
    <font>
      <sz val="12"/>
      <name val="Calibri"/>
      <family val="2"/>
      <charset val="1"/>
    </font>
    <font>
      <b val="true"/>
      <sz val="10"/>
      <name val="Calibri"/>
      <family val="2"/>
      <charset val="1"/>
    </font>
    <font>
      <b val="true"/>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val="true"/>
      <i val="true"/>
      <u val="single"/>
      <sz val="11"/>
      <name val="Calibri"/>
      <family val="2"/>
      <charset val="1"/>
    </font>
    <font>
      <sz val="11"/>
      <color rgb="FFFF0000"/>
      <name val="Calibri"/>
      <family val="2"/>
      <charset val="1"/>
    </font>
    <font>
      <b val="true"/>
      <u val="single"/>
      <sz val="10"/>
      <name val="Calibri"/>
      <family val="2"/>
      <charset val="1"/>
    </font>
    <font>
      <sz val="10"/>
      <color rgb="FF000000"/>
      <name val="Calibri"/>
      <family val="2"/>
      <charset val="1"/>
    </font>
    <font>
      <sz val="8"/>
      <name val="Calibri"/>
      <family val="2"/>
      <charset val="1"/>
    </font>
    <font>
      <b val="true"/>
      <sz val="12"/>
      <name val="Calibri"/>
      <family val="2"/>
      <charset val="1"/>
    </font>
    <font>
      <sz val="10"/>
      <color rgb="FFFFFFFF"/>
      <name val="Calibri"/>
      <family val="2"/>
      <charset val="1"/>
    </font>
    <font>
      <b val="true"/>
      <sz val="14"/>
      <name val="Calibri"/>
      <family val="2"/>
      <charset val="1"/>
    </font>
    <font>
      <b val="true"/>
      <sz val="11"/>
      <color rgb="FF000000"/>
      <name val="Calibri"/>
      <family val="2"/>
      <charset val="1"/>
    </font>
    <font>
      <b val="true"/>
      <sz val="11"/>
      <color rgb="FFFF0000"/>
      <name val="Calibri"/>
      <family val="2"/>
      <charset val="1"/>
    </font>
    <font>
      <b val="true"/>
      <sz val="12"/>
      <color rgb="FF333333"/>
      <name val="Calibri"/>
      <family val="2"/>
      <charset val="1"/>
    </font>
    <font>
      <b val="true"/>
      <sz val="11"/>
      <color rgb="FF333333"/>
      <name val="Calibri"/>
      <family val="2"/>
      <charset val="1"/>
    </font>
    <font>
      <b val="true"/>
      <sz val="9"/>
      <color rgb="FF333333"/>
      <name val="Calibri"/>
      <family val="2"/>
      <charset val="1"/>
    </font>
    <font>
      <b val="true"/>
      <sz val="9"/>
      <name val="Calibri"/>
      <family val="2"/>
      <charset val="1"/>
    </font>
    <font>
      <b val="true"/>
      <sz val="10"/>
      <color rgb="FF000000"/>
      <name val="Calibri"/>
      <family val="2"/>
      <charset val="1"/>
    </font>
    <font>
      <b val="true"/>
      <sz val="8"/>
      <name val="Calibri"/>
      <family val="2"/>
      <charset val="1"/>
    </font>
    <font>
      <b val="true"/>
      <sz val="9"/>
      <color rgb="FFFF0000"/>
      <name val="Calibri"/>
      <family val="2"/>
      <charset val="1"/>
    </font>
    <font>
      <b val="true"/>
      <sz val="6"/>
      <name val="Calibri"/>
      <family val="2"/>
      <charset val="1"/>
    </font>
    <font>
      <b val="true"/>
      <sz val="12"/>
      <color rgb="FFBFBFBF"/>
      <name val="Calibri"/>
      <family val="2"/>
      <charset val="1"/>
    </font>
    <font>
      <b val="true"/>
      <sz val="10"/>
      <color rgb="FFC00000"/>
      <name val="Calibri"/>
      <family val="2"/>
      <charset val="1"/>
    </font>
    <font>
      <b val="true"/>
      <sz val="7"/>
      <name val="Calibri"/>
      <family val="2"/>
      <charset val="1"/>
    </font>
    <font>
      <sz val="10"/>
      <color rgb="FFC00000"/>
      <name val="Calibri"/>
      <family val="2"/>
      <charset val="1"/>
    </font>
    <font>
      <b val="true"/>
      <sz val="18"/>
      <color rgb="FFFF0000"/>
      <name val="Calibri"/>
      <family val="2"/>
      <charset val="1"/>
    </font>
    <font>
      <b val="true"/>
      <sz val="12"/>
      <name val="Times New Roman"/>
      <family val="1"/>
      <charset val="1"/>
    </font>
    <font>
      <b val="true"/>
      <sz val="28"/>
      <color rgb="FFFF0000"/>
      <name val="Calibri"/>
      <family val="2"/>
      <charset val="1"/>
    </font>
    <font>
      <b val="true"/>
      <sz val="12"/>
      <color rgb="FFCCFFCC"/>
      <name val="Calibri"/>
      <family val="2"/>
      <charset val="1"/>
    </font>
    <font>
      <b val="true"/>
      <sz val="26"/>
      <color rgb="FFFF0000"/>
      <name val="Calibri"/>
      <family val="2"/>
      <charset val="1"/>
    </font>
    <font>
      <sz val="14"/>
      <name val="Calibri"/>
      <family val="2"/>
      <charset val="1"/>
    </font>
    <font>
      <b val="true"/>
      <sz val="12.5"/>
      <name val="Calibri"/>
      <family val="2"/>
      <charset val="1"/>
    </font>
    <font>
      <b val="true"/>
      <sz val="12"/>
      <color rgb="FF000000"/>
      <name val="Calibri"/>
      <family val="2"/>
      <charset val="1"/>
    </font>
    <font>
      <b val="true"/>
      <sz val="9"/>
      <color rgb="FF000000"/>
      <name val="Calibri"/>
      <family val="2"/>
      <charset val="1"/>
    </font>
    <font>
      <b val="true"/>
      <sz val="10"/>
      <color rgb="FFFFFFFF"/>
      <name val="Calibri"/>
      <family val="2"/>
      <charset val="1"/>
    </font>
    <font>
      <sz val="10"/>
      <name val="Times New Roman"/>
      <family val="1"/>
      <charset val="1"/>
    </font>
    <font>
      <b val="true"/>
      <sz val="8"/>
      <color rgb="FFFF0000"/>
      <name val="Calibri"/>
      <family val="2"/>
      <charset val="1"/>
    </font>
  </fonts>
  <fills count="22">
    <fill>
      <patternFill patternType="none"/>
    </fill>
    <fill>
      <patternFill patternType="gray125"/>
    </fill>
    <fill>
      <patternFill patternType="solid">
        <fgColor rgb="FFFFFF99"/>
        <bgColor rgb="FFFFFFA6"/>
      </patternFill>
    </fill>
    <fill>
      <patternFill patternType="solid">
        <fgColor rgb="FFF8CBAD"/>
        <bgColor rgb="FFFFC7CE"/>
      </patternFill>
    </fill>
    <fill>
      <patternFill patternType="solid">
        <fgColor rgb="FFFFFFCC"/>
        <bgColor rgb="FFFFFFA6"/>
      </patternFill>
    </fill>
    <fill>
      <patternFill patternType="solid">
        <fgColor rgb="FFDCE6F2"/>
        <bgColor rgb="FFDEEBF7"/>
      </patternFill>
    </fill>
    <fill>
      <patternFill patternType="solid">
        <fgColor rgb="FFF2DCDB"/>
        <bgColor rgb="FFD9D9D9"/>
      </patternFill>
    </fill>
    <fill>
      <patternFill patternType="solid">
        <fgColor rgb="FF606060"/>
        <bgColor rgb="FF595959"/>
      </patternFill>
    </fill>
    <fill>
      <patternFill patternType="solid">
        <fgColor rgb="FFFFFFFF"/>
        <bgColor rgb="FFF2F2F2"/>
      </patternFill>
    </fill>
    <fill>
      <patternFill patternType="solid">
        <fgColor rgb="FFFFD966"/>
        <bgColor rgb="FFF8CBAD"/>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595959"/>
        <bgColor rgb="FF606060"/>
      </patternFill>
    </fill>
    <fill>
      <patternFill patternType="solid">
        <fgColor rgb="FFFFFFA6"/>
        <bgColor rgb="FFFFFF99"/>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00B0F0"/>
        <bgColor rgb="FF33CCCC"/>
      </patternFill>
    </fill>
    <fill>
      <patternFill patternType="solid">
        <fgColor rgb="FF808080"/>
        <bgColor rgb="FF606060"/>
      </patternFill>
    </fill>
  </fills>
  <borders count="72">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medium"/>
      <top style="medium"/>
      <bottom style="medium"/>
      <diagonal/>
    </border>
    <border diagonalUp="false" diagonalDown="false">
      <left/>
      <right style="thin"/>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medium"/>
      <top/>
      <bottom style="thin"/>
      <diagonal/>
    </border>
    <border diagonalUp="false" diagonalDown="false">
      <left style="medium"/>
      <right style="medium"/>
      <top/>
      <bottom style="thin"/>
      <diagonal/>
    </border>
    <border diagonalUp="false" diagonalDown="false">
      <left/>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style="thin"/>
      <right style="medium"/>
      <top style="thin"/>
      <bottom style="medium"/>
      <diagonal/>
    </border>
    <border diagonalUp="false" diagonalDown="false">
      <left style="medium"/>
      <right style="medium"/>
      <top style="thin"/>
      <bottom style="medium"/>
      <diagonal/>
    </border>
    <border diagonalUp="false" diagonalDown="false">
      <left style="thin"/>
      <right/>
      <top/>
      <bottom style="medium"/>
      <diagonal/>
    </border>
    <border diagonalUp="false" diagonalDown="false">
      <left style="medium"/>
      <right style="thin"/>
      <top/>
      <bottom style="medium"/>
      <diagonal/>
    </border>
    <border diagonalUp="false" diagonalDown="false">
      <left style="thin"/>
      <right style="medium"/>
      <top/>
      <bottom style="medium"/>
      <diagonal/>
    </border>
    <border diagonalUp="false" diagonalDown="false">
      <left/>
      <right style="thin"/>
      <top style="thin"/>
      <bottom style="medium"/>
      <diagonal/>
    </border>
    <border diagonalUp="false" diagonalDown="false">
      <left/>
      <right/>
      <top style="thin"/>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medium"/>
      <top style="medium"/>
      <bottom/>
      <diagonal/>
    </border>
    <border diagonalUp="false" diagonalDown="false">
      <left style="medium"/>
      <right/>
      <top style="thin"/>
      <bottom style="thin"/>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top/>
      <bottom/>
      <diagonal/>
    </border>
    <border diagonalUp="false" diagonalDown="false">
      <left/>
      <right/>
      <top/>
      <bottom style="thin"/>
      <diagonal/>
    </border>
    <border diagonalUp="false" diagonalDown="false">
      <left/>
      <right style="thin"/>
      <top style="medium"/>
      <bottom style="thin"/>
      <diagonal/>
    </border>
    <border diagonalUp="false" diagonalDown="false">
      <left style="thin"/>
      <right style="thin"/>
      <top style="thin"/>
      <bottom/>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medium"/>
      <right style="medium"/>
      <top/>
      <bottom style="medium"/>
      <diagonal/>
    </border>
    <border diagonalUp="false" diagonalDown="false">
      <left style="medium"/>
      <right/>
      <top style="thin"/>
      <bottom/>
      <diagonal/>
    </border>
    <border diagonalUp="false" diagonalDown="false">
      <left/>
      <right style="medium"/>
      <top style="thin"/>
      <bottom/>
      <diagonal/>
    </border>
    <border diagonalUp="false" diagonalDown="false">
      <left/>
      <right/>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medium"/>
      <right/>
      <top style="thin"/>
      <bottom style="medium"/>
      <diagonal/>
    </border>
    <border diagonalUp="false" diagonalDown="false">
      <left style="thin"/>
      <right/>
      <top style="thin"/>
      <bottom/>
      <diagonal/>
    </border>
    <border diagonalUp="false" diagonalDown="false">
      <left style="thin"/>
      <right style="medium"/>
      <top style="thin"/>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style="medium"/>
      <diagonal/>
    </border>
    <border diagonalUp="false" diagonalDown="false">
      <left style="thin"/>
      <right style="medium"/>
      <top/>
      <bottom/>
      <diagonal/>
    </border>
    <border diagonalUp="false" diagonalDown="false">
      <left/>
      <right style="medium"/>
      <top style="medium"/>
      <bottom style="medium"/>
      <diagonal/>
    </border>
    <border diagonalUp="false" diagonalDown="false">
      <left style="medium"/>
      <right/>
      <top style="medium"/>
      <bottom style="thin"/>
      <diagonal/>
    </border>
    <border diagonalUp="false" diagonalDown="false">
      <left style="medium"/>
      <right style="thin"/>
      <top style="medium"/>
      <bottom/>
      <diagonal/>
    </border>
    <border diagonalUp="false" diagonalDown="false">
      <left/>
      <right style="thin"/>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medium"/>
      <right style="thin"/>
      <top/>
      <bottom/>
      <diagonal/>
    </border>
    <border diagonalUp="false" diagonalDown="false">
      <left/>
      <right style="thin"/>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7" fontId="0" fillId="0" borderId="0" applyFont="true" applyBorder="false" applyAlignment="true" applyProtection="false">
      <alignment horizontal="general" vertical="bottom" textRotation="0" wrapText="false" indent="0" shrinkToFit="false"/>
    </xf>
    <xf numFmtId="180" fontId="48" fillId="0" borderId="0" applyFont="true" applyBorder="false" applyAlignment="true" applyProtection="false">
      <alignment horizontal="general" vertical="bottom" textRotation="0" wrapText="false" indent="0" shrinkToFit="false"/>
    </xf>
  </cellStyleXfs>
  <cellXfs count="70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5" fontId="5" fillId="0" borderId="2" xfId="0" applyFont="true" applyBorder="true" applyAlignment="true" applyProtection="true">
      <alignment horizontal="left"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4" fillId="0" borderId="3" xfId="0" applyFont="true" applyBorder="true" applyAlignment="true" applyProtection="true">
      <alignment horizontal="general" vertical="top" textRotation="0" wrapText="false" indent="0" shrinkToFit="false"/>
      <protection locked="true" hidden="false"/>
    </xf>
    <xf numFmtId="165" fontId="5" fillId="0" borderId="0" xfId="0" applyFont="true" applyBorder="fals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center" vertical="top"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true" hidden="false"/>
    </xf>
    <xf numFmtId="164" fontId="4" fillId="0" borderId="0" xfId="0" applyFont="true" applyBorder="false" applyAlignment="true" applyProtection="true">
      <alignment horizontal="center" vertical="top"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7" fillId="2" borderId="4" xfId="0" applyFont="true" applyBorder="true" applyAlignment="true" applyProtection="true">
      <alignment horizontal="center" vertical="center" textRotation="0" wrapText="true" indent="0" shrinkToFit="false"/>
      <protection locked="true" hidden="false"/>
    </xf>
    <xf numFmtId="164" fontId="8" fillId="2" borderId="4"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5" fontId="4" fillId="0" borderId="4"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left" vertical="center" textRotation="0" wrapText="false" indent="0" shrinkToFit="false"/>
      <protection locked="true" hidden="false"/>
    </xf>
    <xf numFmtId="164" fontId="10" fillId="3" borderId="5" xfId="0" applyFont="true" applyBorder="true" applyAlignment="true" applyProtection="true">
      <alignment horizontal="center" vertical="center" textRotation="0" wrapText="true" indent="0" shrinkToFit="false"/>
      <protection locked="true" hidden="false"/>
    </xf>
    <xf numFmtId="164" fontId="12" fillId="3" borderId="6" xfId="0" applyFont="true" applyBorder="true" applyAlignment="true" applyProtection="true">
      <alignment horizontal="center" vertical="center" textRotation="0" wrapText="true" indent="0" shrinkToFit="false"/>
      <protection locked="true" hidden="false"/>
    </xf>
    <xf numFmtId="164" fontId="12" fillId="3" borderId="5" xfId="0" applyFont="true" applyBorder="true" applyAlignment="true" applyProtection="true">
      <alignment horizontal="center" vertical="center" textRotation="0" wrapText="true" indent="0" shrinkToFit="false"/>
      <protection locked="true" hidden="false"/>
    </xf>
    <xf numFmtId="164" fontId="12" fillId="3" borderId="7" xfId="0" applyFont="true" applyBorder="true" applyAlignment="true" applyProtection="true">
      <alignment horizontal="center"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true" indent="0" shrinkToFit="false"/>
      <protection locked="true" hidden="false"/>
    </xf>
    <xf numFmtId="164" fontId="12" fillId="3" borderId="9" xfId="0" applyFont="true" applyBorder="true" applyAlignment="true" applyProtection="true">
      <alignment horizontal="center" vertical="center" textRotation="0" wrapText="true" indent="0" shrinkToFit="false"/>
      <protection locked="true" hidden="false"/>
    </xf>
    <xf numFmtId="164" fontId="13" fillId="3" borderId="9" xfId="0" applyFont="true" applyBorder="true" applyAlignment="true" applyProtection="true">
      <alignment horizontal="center" vertical="center" textRotation="0" wrapText="true" indent="0" shrinkToFit="false"/>
      <protection locked="true" hidden="false"/>
    </xf>
    <xf numFmtId="164" fontId="12" fillId="3" borderId="10" xfId="0" applyFont="true" applyBorder="true" applyAlignment="true" applyProtection="true">
      <alignment horizontal="center" vertical="center" textRotation="0" wrapText="true" indent="0" shrinkToFit="false"/>
      <protection locked="true" hidden="false"/>
    </xf>
    <xf numFmtId="164" fontId="8" fillId="4" borderId="8" xfId="0" applyFont="true" applyBorder="true" applyAlignment="true" applyProtection="true">
      <alignment horizontal="center" vertical="center" textRotation="0" wrapText="true" indent="0" shrinkToFit="false"/>
      <protection locked="true" hidden="false"/>
    </xf>
    <xf numFmtId="164" fontId="10" fillId="5" borderId="11" xfId="0" applyFont="true" applyBorder="true" applyAlignment="true" applyProtection="true">
      <alignment horizontal="center" vertical="center" textRotation="0" wrapText="true" indent="0" shrinkToFit="false"/>
      <protection locked="true" hidden="false"/>
    </xf>
    <xf numFmtId="164" fontId="10" fillId="5" borderId="12" xfId="0" applyFont="true" applyBorder="true" applyAlignment="true" applyProtection="true">
      <alignment horizontal="left" vertical="center" textRotation="0" wrapText="true" indent="0" shrinkToFit="false"/>
      <protection locked="true" hidden="false"/>
    </xf>
    <xf numFmtId="164" fontId="10" fillId="5" borderId="12" xfId="0" applyFont="true" applyBorder="true" applyAlignment="true" applyProtection="true">
      <alignment horizontal="center" vertical="center" textRotation="0" wrapText="true" indent="0" shrinkToFit="false"/>
      <protection locked="true" hidden="false"/>
    </xf>
    <xf numFmtId="164" fontId="10" fillId="5" borderId="13" xfId="0" applyFont="true" applyBorder="true" applyAlignment="true" applyProtection="true">
      <alignment horizontal="center" vertical="center" textRotation="0" wrapText="true" indent="0" shrinkToFit="false"/>
      <protection locked="true" hidden="false"/>
    </xf>
    <xf numFmtId="164" fontId="10" fillId="5" borderId="14" xfId="0" applyFont="true" applyBorder="true" applyAlignment="true" applyProtection="true">
      <alignment horizontal="center" vertical="center" textRotation="0" wrapText="true" indent="0" shrinkToFit="false"/>
      <protection locked="true" hidden="false"/>
    </xf>
    <xf numFmtId="164" fontId="10" fillId="5" borderId="15" xfId="0" applyFont="true" applyBorder="true" applyAlignment="true" applyProtection="true">
      <alignment horizontal="center" vertical="center" textRotation="0" wrapText="true" indent="0" shrinkToFit="false"/>
      <protection locked="true" hidden="false"/>
    </xf>
    <xf numFmtId="164" fontId="10" fillId="5" borderId="16" xfId="0" applyFont="true" applyBorder="true" applyAlignment="true" applyProtection="true">
      <alignment horizontal="center" vertical="center" textRotation="0" wrapText="true" indent="0" shrinkToFit="false"/>
      <protection locked="true" hidden="false"/>
    </xf>
    <xf numFmtId="166" fontId="12" fillId="0" borderId="17" xfId="0" applyFont="true" applyBorder="true" applyAlignment="true" applyProtection="true">
      <alignment horizontal="center" vertical="center" textRotation="0" wrapText="false" indent="0" shrinkToFit="false"/>
      <protection locked="true" hidden="false"/>
    </xf>
    <xf numFmtId="165" fontId="12" fillId="0" borderId="4" xfId="0" applyFont="true" applyBorder="true" applyAlignment="true" applyProtection="true">
      <alignment horizontal="left" vertical="center" textRotation="0" wrapText="false" indent="0" shrinkToFit="false"/>
      <protection locked="true" hidden="false"/>
    </xf>
    <xf numFmtId="166" fontId="12" fillId="0" borderId="4" xfId="0" applyFont="true" applyBorder="true" applyAlignment="true" applyProtection="true">
      <alignment horizontal="center" vertical="center" textRotation="0" wrapText="false" indent="0" shrinkToFit="false"/>
      <protection locked="true" hidden="false"/>
    </xf>
    <xf numFmtId="164" fontId="14" fillId="6" borderId="18" xfId="0" applyFont="true" applyBorder="true" applyAlignment="true" applyProtection="true">
      <alignment horizontal="center" vertical="center" textRotation="0" wrapText="false" indent="0" shrinkToFit="false"/>
      <protection locked="false" hidden="false"/>
    </xf>
    <xf numFmtId="164" fontId="14" fillId="6" borderId="4" xfId="0" applyFont="true" applyBorder="true" applyAlignment="true" applyProtection="true">
      <alignment horizontal="center" vertical="center" textRotation="0" wrapText="false" indent="0" shrinkToFit="false"/>
      <protection locked="false" hidden="false"/>
    </xf>
    <xf numFmtId="167" fontId="14" fillId="6" borderId="17" xfId="0" applyFont="true" applyBorder="true" applyAlignment="true" applyProtection="true">
      <alignment horizontal="center" vertical="center" textRotation="0" wrapText="false" indent="0" shrinkToFit="false"/>
      <protection locked="false" hidden="false"/>
    </xf>
    <xf numFmtId="167" fontId="12" fillId="0" borderId="19" xfId="0" applyFont="true" applyBorder="true" applyAlignment="true" applyProtection="true">
      <alignment horizontal="center" vertical="center" textRotation="0" wrapText="false" indent="0" shrinkToFit="false"/>
      <protection locked="true" hidden="false"/>
    </xf>
    <xf numFmtId="164" fontId="14" fillId="6" borderId="20" xfId="0" applyFont="true" applyBorder="true" applyAlignment="true" applyProtection="true">
      <alignment horizontal="center" vertical="center" textRotation="0" wrapText="false" indent="0" shrinkToFit="false"/>
      <protection locked="false" hidden="false"/>
    </xf>
    <xf numFmtId="168" fontId="15" fillId="7" borderId="20" xfId="0" applyFont="true" applyBorder="true" applyAlignment="true" applyProtection="true">
      <alignment horizontal="center" vertical="center" textRotation="0" wrapText="false" indent="0" shrinkToFit="false"/>
      <protection locked="true" hidden="false"/>
    </xf>
    <xf numFmtId="168" fontId="12" fillId="0" borderId="21" xfId="0" applyFont="true" applyBorder="true" applyAlignment="true" applyProtection="true">
      <alignment horizontal="center" vertical="center" textRotation="0" wrapText="false" indent="0" shrinkToFit="false"/>
      <protection locked="true" hidden="false"/>
    </xf>
    <xf numFmtId="168" fontId="15" fillId="7" borderId="4" xfId="0" applyFont="true" applyBorder="true" applyAlignment="true" applyProtection="true">
      <alignment horizontal="center" vertical="center" textRotation="0" wrapText="false" indent="0" shrinkToFit="false"/>
      <protection locked="true" hidden="false"/>
    </xf>
    <xf numFmtId="169" fontId="12" fillId="0" borderId="4" xfId="0" applyFont="true" applyBorder="true" applyAlignment="true" applyProtection="true">
      <alignment horizontal="center" vertical="center" textRotation="0" wrapText="false" indent="0" shrinkToFit="false"/>
      <protection locked="true" hidden="false"/>
    </xf>
    <xf numFmtId="169" fontId="12" fillId="0" borderId="19" xfId="0" applyFont="true" applyBorder="true" applyAlignment="true" applyProtection="true">
      <alignment horizontal="general" vertical="center" textRotation="0" wrapText="false" indent="0" shrinkToFit="false"/>
      <protection locked="true" hidden="false"/>
    </xf>
    <xf numFmtId="165" fontId="12" fillId="0" borderId="4" xfId="0" applyFont="true" applyBorder="true" applyAlignment="true" applyProtection="true">
      <alignment horizontal="center" vertical="center" textRotation="0" wrapText="false" indent="0" shrinkToFit="false"/>
      <protection locked="true" hidden="false"/>
    </xf>
    <xf numFmtId="170" fontId="12" fillId="0" borderId="4" xfId="17" applyFont="true" applyBorder="true" applyAlignment="true" applyProtection="true">
      <alignment horizontal="center" vertical="center" textRotation="0" wrapText="false" indent="0" shrinkToFit="false"/>
      <protection locked="true" hidden="false"/>
    </xf>
    <xf numFmtId="170" fontId="12" fillId="0" borderId="19" xfId="17" applyFont="true" applyBorder="true" applyAlignment="true" applyProtection="true">
      <alignment horizontal="center" vertical="center" textRotation="0" wrapText="false" indent="0" shrinkToFit="false"/>
      <protection locked="true" hidden="false"/>
    </xf>
    <xf numFmtId="168" fontId="12" fillId="0" borderId="4" xfId="0" applyFont="true" applyBorder="true" applyAlignment="true" applyProtection="true">
      <alignment horizontal="center" vertical="center" textRotation="0" wrapText="false" indent="0" shrinkToFit="false"/>
      <protection locked="true" hidden="false"/>
    </xf>
    <xf numFmtId="166" fontId="12" fillId="0" borderId="22" xfId="0" applyFont="true" applyBorder="true" applyAlignment="true" applyProtection="true">
      <alignment horizontal="center" vertical="center" textRotation="0" wrapText="false" indent="0" shrinkToFit="false"/>
      <protection locked="true" hidden="false"/>
    </xf>
    <xf numFmtId="166" fontId="12" fillId="0" borderId="23" xfId="0" applyFont="true" applyBorder="true" applyAlignment="true" applyProtection="true">
      <alignment horizontal="center" vertical="center" textRotation="0" wrapText="false" indent="0" shrinkToFit="false"/>
      <protection locked="true" hidden="false"/>
    </xf>
    <xf numFmtId="164" fontId="14" fillId="6" borderId="23" xfId="0" applyFont="true" applyBorder="true" applyAlignment="true" applyProtection="true">
      <alignment horizontal="center" vertical="center" textRotation="0" wrapText="false" indent="0" shrinkToFit="false"/>
      <protection locked="false" hidden="false"/>
    </xf>
    <xf numFmtId="164" fontId="14" fillId="6" borderId="24" xfId="0" applyFont="true" applyBorder="true" applyAlignment="true" applyProtection="true">
      <alignment horizontal="center" vertical="center" textRotation="0" wrapText="false" indent="0" shrinkToFit="false"/>
      <protection locked="false" hidden="false"/>
    </xf>
    <xf numFmtId="167" fontId="14" fillId="6" borderId="22" xfId="0" applyFont="true" applyBorder="true" applyAlignment="true" applyProtection="true">
      <alignment horizontal="center" vertical="center" textRotation="0" wrapText="false" indent="0" shrinkToFit="false"/>
      <protection locked="false" hidden="false"/>
    </xf>
    <xf numFmtId="167" fontId="12" fillId="0" borderId="25" xfId="0" applyFont="true" applyBorder="true" applyAlignment="true" applyProtection="true">
      <alignment horizontal="center" vertical="center" textRotation="0" wrapText="false" indent="0" shrinkToFit="false"/>
      <protection locked="true" hidden="false"/>
    </xf>
    <xf numFmtId="164" fontId="14" fillId="6" borderId="26" xfId="0" applyFont="true" applyBorder="true" applyAlignment="true" applyProtection="true">
      <alignment horizontal="center" vertical="center" textRotation="0" wrapText="false" indent="0" shrinkToFit="false"/>
      <protection locked="false" hidden="false"/>
    </xf>
    <xf numFmtId="164" fontId="10" fillId="5" borderId="22" xfId="0" applyFont="true" applyBorder="true" applyAlignment="true" applyProtection="true">
      <alignment horizontal="center" vertical="center" textRotation="0" wrapText="true" indent="0" shrinkToFit="false"/>
      <protection locked="true" hidden="false"/>
    </xf>
    <xf numFmtId="171" fontId="10" fillId="5" borderId="27" xfId="0" applyFont="true" applyBorder="true" applyAlignment="true" applyProtection="true">
      <alignment horizontal="center" vertical="center" textRotation="0" wrapText="false" indent="0" shrinkToFit="false"/>
      <protection locked="true" hidden="false"/>
    </xf>
    <xf numFmtId="164" fontId="10" fillId="5" borderId="28" xfId="0" applyFont="true" applyBorder="true" applyAlignment="true" applyProtection="true">
      <alignment horizontal="center" vertical="center" textRotation="0" wrapText="false" indent="0" shrinkToFit="false"/>
      <protection locked="true" hidden="false"/>
    </xf>
    <xf numFmtId="171" fontId="10" fillId="5" borderId="29" xfId="0" applyFont="true" applyBorder="true" applyAlignment="true" applyProtection="true">
      <alignment horizontal="center" vertical="center" textRotation="0" wrapText="false" indent="0" shrinkToFit="false"/>
      <protection locked="true" hidden="false"/>
    </xf>
    <xf numFmtId="171" fontId="10" fillId="5" borderId="9" xfId="0" applyFont="true" applyBorder="true" applyAlignment="true" applyProtection="true">
      <alignment horizontal="center" vertical="center" textRotation="0" wrapText="false" indent="0" shrinkToFit="false"/>
      <protection locked="true" hidden="false"/>
    </xf>
    <xf numFmtId="171" fontId="10" fillId="5" borderId="26" xfId="0" applyFont="true" applyBorder="true" applyAlignment="true" applyProtection="true">
      <alignment horizontal="center" vertical="center" textRotation="0" wrapText="false" indent="0" shrinkToFit="false"/>
      <protection locked="true" hidden="false"/>
    </xf>
    <xf numFmtId="165" fontId="10" fillId="5" borderId="30" xfId="0" applyFont="true" applyBorder="true" applyAlignment="true" applyProtection="true">
      <alignment horizontal="center" vertical="center" textRotation="0" wrapText="false" indent="0" shrinkToFit="false"/>
      <protection locked="true" hidden="false"/>
    </xf>
    <xf numFmtId="171" fontId="10" fillId="5" borderId="23" xfId="0" applyFont="true" applyBorder="true" applyAlignment="true" applyProtection="true">
      <alignment horizontal="center" vertical="center" textRotation="0" wrapText="false" indent="0" shrinkToFit="false"/>
      <protection locked="true" hidden="false"/>
    </xf>
    <xf numFmtId="169" fontId="10" fillId="5" borderId="23" xfId="0" applyFont="true" applyBorder="true" applyAlignment="true" applyProtection="true">
      <alignment horizontal="center" vertical="center" textRotation="0" wrapText="false" indent="0" shrinkToFit="false"/>
      <protection locked="true" hidden="false"/>
    </xf>
    <xf numFmtId="169" fontId="10" fillId="5" borderId="25" xfId="0" applyFont="true" applyBorder="true" applyAlignment="true" applyProtection="true">
      <alignment horizontal="center" vertical="center" textRotation="0" wrapText="false" indent="0" shrinkToFit="false"/>
      <protection locked="true" hidden="false"/>
    </xf>
    <xf numFmtId="164" fontId="10" fillId="5" borderId="22" xfId="0" applyFont="true" applyBorder="true" applyAlignment="true" applyProtection="true">
      <alignment horizontal="general" vertical="center" textRotation="0" wrapText="false" indent="0" shrinkToFit="false"/>
      <protection locked="true" hidden="false"/>
    </xf>
    <xf numFmtId="165" fontId="10" fillId="5" borderId="23" xfId="0" applyFont="true" applyBorder="true" applyAlignment="true" applyProtection="true">
      <alignment horizontal="center" vertical="center" textRotation="0" wrapText="false" indent="0" shrinkToFit="false"/>
      <protection locked="true" hidden="false"/>
    </xf>
    <xf numFmtId="165" fontId="10" fillId="5" borderId="25"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2"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0" fillId="5" borderId="4"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false" indent="0" shrinkToFit="false"/>
      <protection locked="false" hidden="false"/>
    </xf>
    <xf numFmtId="167" fontId="12" fillId="0" borderId="4" xfId="0" applyFont="true" applyBorder="true" applyAlignment="true" applyProtection="true">
      <alignment horizontal="center" vertical="center" textRotation="0" wrapText="false" indent="0" shrinkToFit="false"/>
      <protection locked="false" hidden="false"/>
    </xf>
    <xf numFmtId="164" fontId="12" fillId="0" borderId="31" xfId="0" applyFont="true" applyBorder="true" applyAlignment="true" applyProtection="true">
      <alignment horizontal="left" vertical="center" textRotation="0" wrapText="true" indent="0" shrinkToFit="false"/>
      <protection locked="true" hidden="false"/>
    </xf>
    <xf numFmtId="170" fontId="4" fillId="0" borderId="0" xfId="17"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0" fillId="5" borderId="32" xfId="0" applyFont="true" applyBorder="true" applyAlignment="true" applyProtection="true">
      <alignment horizontal="center" vertical="center" textRotation="0" wrapText="true" indent="0" shrinkToFit="false"/>
      <protection locked="true" hidden="false"/>
    </xf>
    <xf numFmtId="164" fontId="10" fillId="5" borderId="33" xfId="0" applyFont="true" applyBorder="true" applyAlignment="true" applyProtection="true">
      <alignment horizontal="center" vertical="center" textRotation="0" wrapText="true" indent="0" shrinkToFit="false"/>
      <protection locked="true" hidden="false"/>
    </xf>
    <xf numFmtId="164" fontId="10" fillId="5" borderId="34" xfId="0" applyFont="true" applyBorder="true" applyAlignment="true" applyProtection="true">
      <alignment horizontal="center" vertical="center" textRotation="0" wrapText="true" indent="0" shrinkToFit="false"/>
      <protection locked="true" hidden="false"/>
    </xf>
    <xf numFmtId="164" fontId="18" fillId="4" borderId="35" xfId="0" applyFont="true" applyBorder="true" applyAlignment="true" applyProtection="true">
      <alignment horizontal="center" vertical="center" textRotation="0" wrapText="true" indent="0" shrinkToFit="false"/>
      <protection locked="true" hidden="false"/>
    </xf>
    <xf numFmtId="164" fontId="10" fillId="5" borderId="36" xfId="0" applyFont="true" applyBorder="true" applyAlignment="true" applyProtection="true">
      <alignment horizontal="center" vertical="center" textRotation="0" wrapText="true" indent="0" shrinkToFit="false"/>
      <protection locked="true" hidden="false"/>
    </xf>
    <xf numFmtId="164" fontId="10" fillId="5" borderId="19" xfId="0" applyFont="true" applyBorder="true" applyAlignment="true" applyProtection="true">
      <alignment horizontal="center" vertical="center" textRotation="0" wrapText="true" indent="0" shrinkToFit="false"/>
      <protection locked="true" hidden="false"/>
    </xf>
    <xf numFmtId="164" fontId="12" fillId="8" borderId="17" xfId="0" applyFont="true" applyBorder="true" applyAlignment="true" applyProtection="true">
      <alignment horizontal="center" vertical="center" textRotation="0" wrapText="false" indent="0" shrinkToFit="false"/>
      <protection locked="true" hidden="false"/>
    </xf>
    <xf numFmtId="165" fontId="19" fillId="0" borderId="4" xfId="0" applyFont="true" applyBorder="true" applyAlignment="true" applyProtection="true">
      <alignment horizontal="left" vertical="top" textRotation="0" wrapText="false" indent="0" shrinkToFit="false"/>
      <protection locked="true" hidden="false"/>
    </xf>
    <xf numFmtId="165" fontId="14" fillId="6" borderId="12" xfId="0" applyFont="true" applyBorder="true" applyAlignment="true" applyProtection="true">
      <alignment horizontal="center" vertical="center" textRotation="0" wrapText="false" indent="0" shrinkToFit="false"/>
      <protection locked="false" hidden="false"/>
    </xf>
    <xf numFmtId="165" fontId="12" fillId="0" borderId="14" xfId="0" applyFont="true" applyBorder="true" applyAlignment="true" applyProtection="true">
      <alignment horizontal="center" vertical="center" textRotation="0" wrapText="false" indent="0" shrinkToFit="false"/>
      <protection locked="true" hidden="false"/>
    </xf>
    <xf numFmtId="165" fontId="10" fillId="0" borderId="20" xfId="0" applyFont="true" applyBorder="true" applyAlignment="true" applyProtection="true">
      <alignment horizontal="center" vertical="center" textRotation="0" wrapText="false" indent="0" shrinkToFit="false"/>
      <protection locked="true" hidden="false"/>
    </xf>
    <xf numFmtId="165" fontId="13" fillId="0" borderId="11" xfId="0" applyFont="true" applyBorder="true" applyAlignment="true" applyProtection="true">
      <alignment horizontal="center" vertical="center" textRotation="0" wrapText="false" indent="0" shrinkToFit="false"/>
      <protection locked="true" hidden="false"/>
    </xf>
    <xf numFmtId="172" fontId="12" fillId="0" borderId="12" xfId="0" applyFont="true" applyBorder="true" applyAlignment="true" applyProtection="true">
      <alignment horizontal="center" vertical="center" textRotation="0" wrapText="false" indent="0" shrinkToFit="false"/>
      <protection locked="true" hidden="false"/>
    </xf>
    <xf numFmtId="165" fontId="12" fillId="0" borderId="18" xfId="0" applyFont="true" applyBorder="true" applyAlignment="true" applyProtection="true">
      <alignment horizontal="center" vertical="center" textRotation="0" wrapText="false" indent="0" shrinkToFit="false"/>
      <protection locked="true" hidden="false"/>
    </xf>
    <xf numFmtId="165" fontId="12" fillId="0" borderId="19" xfId="0" applyFont="true" applyBorder="true" applyAlignment="true" applyProtection="true">
      <alignment horizontal="center" vertical="center" textRotation="0" wrapText="false" indent="0" shrinkToFit="false"/>
      <protection locked="true" hidden="false"/>
    </xf>
    <xf numFmtId="166" fontId="5" fillId="0" borderId="17" xfId="0" applyFont="true" applyBorder="true" applyAlignment="true" applyProtection="true">
      <alignment horizontal="center" vertical="center" textRotation="0" wrapText="false" indent="0" shrinkToFit="false"/>
      <protection locked="true" hidden="false"/>
    </xf>
    <xf numFmtId="166" fontId="5" fillId="8" borderId="17" xfId="0" applyFont="true" applyBorder="true" applyAlignment="true" applyProtection="true">
      <alignment horizontal="center" vertical="center" textRotation="0" wrapText="false" indent="0" shrinkToFit="false"/>
      <protection locked="true" hidden="false"/>
    </xf>
    <xf numFmtId="166" fontId="5" fillId="0" borderId="11" xfId="0" applyFont="true" applyBorder="true" applyAlignment="true" applyProtection="true">
      <alignment horizontal="center" vertical="center" textRotation="0" wrapText="false" indent="0" shrinkToFit="false"/>
      <protection locked="true" hidden="false"/>
    </xf>
    <xf numFmtId="170" fontId="10" fillId="5" borderId="14" xfId="17" applyFont="true" applyBorder="true" applyAlignment="true" applyProtection="true">
      <alignment horizontal="center" vertical="center" textRotation="0" wrapText="false" indent="0" shrinkToFit="false"/>
      <protection locked="true" hidden="false"/>
    </xf>
    <xf numFmtId="164" fontId="10" fillId="5" borderId="37" xfId="0" applyFont="true" applyBorder="true" applyAlignment="true" applyProtection="true">
      <alignment horizontal="right" vertical="center" textRotation="0" wrapText="true" indent="0" shrinkToFit="false"/>
      <protection locked="true" hidden="false"/>
    </xf>
    <xf numFmtId="173" fontId="10" fillId="5" borderId="21" xfId="0" applyFont="true" applyBorder="true" applyAlignment="true" applyProtection="true">
      <alignment horizontal="center" vertical="center" textRotation="0" wrapText="false" indent="0" shrinkToFit="false"/>
      <protection locked="true" hidden="false"/>
    </xf>
    <xf numFmtId="170" fontId="10" fillId="5" borderId="19" xfId="17" applyFont="true" applyBorder="true" applyAlignment="true" applyProtection="true">
      <alignment horizontal="center" vertical="center" textRotation="0" wrapText="false" indent="0" shrinkToFit="false"/>
      <protection locked="true" hidden="false"/>
    </xf>
    <xf numFmtId="164" fontId="10" fillId="5" borderId="22" xfId="0" applyFont="true" applyBorder="true" applyAlignment="true" applyProtection="true">
      <alignment horizontal="right" vertical="center" textRotation="0" wrapText="true" indent="0" shrinkToFit="false"/>
      <protection locked="true" hidden="false"/>
    </xf>
    <xf numFmtId="170" fontId="10" fillId="5" borderId="25" xfId="17" applyFont="true" applyBorder="true" applyAlignment="true" applyProtection="true">
      <alignment horizontal="center" vertical="center" textRotation="0" wrapText="false" indent="0" shrinkToFit="false"/>
      <protection locked="true" hidden="false"/>
    </xf>
    <xf numFmtId="164" fontId="10" fillId="5" borderId="38" xfId="0" applyFont="true" applyBorder="true" applyAlignment="true" applyProtection="true">
      <alignment horizontal="center" vertical="center" textRotation="0" wrapText="true" indent="0" shrinkToFit="false"/>
      <protection locked="true" hidden="false"/>
    </xf>
    <xf numFmtId="164" fontId="10" fillId="5" borderId="39" xfId="0" applyFont="true" applyBorder="true" applyAlignment="true" applyProtection="true">
      <alignment horizontal="center" vertical="center" textRotation="0" wrapText="true" indent="0" shrinkToFit="false"/>
      <protection locked="true" hidden="false"/>
    </xf>
    <xf numFmtId="164" fontId="10" fillId="5" borderId="9" xfId="0" applyFont="true" applyBorder="true" applyAlignment="true" applyProtection="true">
      <alignment horizontal="center" vertical="center" textRotation="0" wrapText="true" indent="0" shrinkToFit="false"/>
      <protection locked="true" hidden="false"/>
    </xf>
    <xf numFmtId="165" fontId="19" fillId="0" borderId="4" xfId="0" applyFont="true" applyBorder="true" applyAlignment="true" applyProtection="true">
      <alignment horizontal="left" vertical="bottom" textRotation="0" wrapText="false" indent="0" shrinkToFit="false"/>
      <protection locked="true" hidden="false"/>
    </xf>
    <xf numFmtId="165" fontId="12" fillId="0" borderId="14" xfId="0" applyFont="true" applyBorder="true" applyAlignment="true" applyProtection="true">
      <alignment horizontal="general" vertical="center" textRotation="0" wrapText="false" indent="0" shrinkToFit="false"/>
      <protection locked="true" hidden="false"/>
    </xf>
    <xf numFmtId="170" fontId="10" fillId="5" borderId="34" xfId="17"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left" vertical="center" textRotation="0" wrapText="false" indent="0" shrinkToFit="false"/>
      <protection locked="true" hidden="false"/>
    </xf>
    <xf numFmtId="174" fontId="4" fillId="0" borderId="18" xfId="0" applyFont="true" applyBorder="true" applyAlignment="true" applyProtection="true">
      <alignment horizontal="center" vertical="center" textRotation="0" wrapText="false" indent="0" shrinkToFit="false"/>
      <protection locked="true" hidden="false"/>
    </xf>
    <xf numFmtId="164" fontId="4" fillId="0" borderId="18"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20" fillId="0" borderId="1" xfId="0" applyFont="true" applyBorder="tru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general" vertical="center" textRotation="0" wrapText="false" indent="0" shrinkToFit="false"/>
      <protection locked="true" hidden="false"/>
    </xf>
    <xf numFmtId="164" fontId="20" fillId="0" borderId="3"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18" fillId="0" borderId="0" xfId="0" applyFont="true" applyBorder="false" applyAlignment="true" applyProtection="true">
      <alignment horizontal="left" vertical="bottom" textRotation="0" wrapText="false" indent="0" shrinkToFit="false"/>
      <protection locked="true" hidden="false"/>
    </xf>
    <xf numFmtId="164" fontId="12" fillId="2" borderId="9" xfId="0" applyFont="true" applyBorder="true" applyAlignment="true" applyProtection="true">
      <alignment horizontal="left" vertical="bottom" textRotation="0" wrapText="false" indent="0" shrinkToFit="false"/>
      <protection locked="true" hidden="false"/>
    </xf>
    <xf numFmtId="164" fontId="10" fillId="0" borderId="0" xfId="0" applyFont="true" applyBorder="fals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2" fillId="2"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2" fillId="9" borderId="0" xfId="0" applyFont="true" applyBorder="false" applyAlignment="true" applyProtection="true">
      <alignment horizontal="general" vertical="center" textRotation="0" wrapText="false" indent="0" shrinkToFit="false"/>
      <protection locked="true" hidden="false"/>
    </xf>
    <xf numFmtId="164" fontId="12" fillId="10" borderId="0" xfId="0" applyFont="true" applyBorder="false" applyAlignment="true" applyProtection="true">
      <alignment horizontal="general" vertical="bottom" textRotation="0" wrapText="false" indent="0" shrinkToFit="false"/>
      <protection locked="true" hidden="false"/>
    </xf>
    <xf numFmtId="164" fontId="22" fillId="11" borderId="0" xfId="0" applyFont="true" applyBorder="false" applyAlignment="true" applyProtection="true">
      <alignment horizontal="general" vertical="bottom" textRotation="0" wrapText="false" indent="0" shrinkToFit="false"/>
      <protection locked="true" hidden="false"/>
    </xf>
    <xf numFmtId="164" fontId="12" fillId="10" borderId="0" xfId="0" applyFont="true" applyBorder="false" applyAlignment="true" applyProtection="true">
      <alignment horizontal="general" vertical="center" textRotation="0" wrapText="false" indent="0" shrinkToFit="false"/>
      <protection locked="true" hidden="false"/>
    </xf>
    <xf numFmtId="164" fontId="12" fillId="8"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5" fontId="4" fillId="0" borderId="0" xfId="0" applyFont="true" applyBorder="false" applyAlignment="true" applyProtection="true">
      <alignment horizontal="general" vertical="center" textRotation="0" wrapText="false" indent="0" shrinkToFit="false"/>
      <protection locked="true" hidden="false"/>
    </xf>
    <xf numFmtId="175" fontId="8" fillId="0" borderId="0" xfId="0" applyFont="true" applyBorder="fals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12" fillId="12" borderId="4" xfId="0" applyFont="true" applyBorder="true" applyAlignment="true" applyProtection="true">
      <alignment horizontal="center" vertical="center" textRotation="0" wrapText="true" indent="0" shrinkToFit="false"/>
      <protection locked="true" hidden="false"/>
    </xf>
    <xf numFmtId="164" fontId="8" fillId="12" borderId="4" xfId="0" applyFont="true" applyBorder="true" applyAlignment="true" applyProtection="true">
      <alignment horizontal="center" vertical="center" textRotation="0" wrapText="true" indent="0" shrinkToFit="false"/>
      <protection locked="true" hidden="false"/>
    </xf>
    <xf numFmtId="176" fontId="9" fillId="0" borderId="0" xfId="0" applyFont="true" applyBorder="false" applyAlignment="true" applyProtection="true">
      <alignment horizontal="general" vertical="center" textRotation="0" wrapText="false" indent="0" shrinkToFit="false"/>
      <protection locked="true" hidden="false"/>
    </xf>
    <xf numFmtId="164" fontId="8" fillId="0" borderId="4" xfId="0" applyFont="true" applyBorder="true" applyAlignment="true" applyProtection="true">
      <alignment horizontal="center" vertical="center" textRotation="0" wrapText="true" indent="0" shrinkToFit="false"/>
      <protection locked="true" hidden="false"/>
    </xf>
    <xf numFmtId="166" fontId="4" fillId="0" borderId="4" xfId="0" applyFont="true" applyBorder="true" applyAlignment="true" applyProtection="true">
      <alignment horizontal="center" vertical="center" textRotation="0" wrapText="false" indent="0" shrinkToFit="false"/>
      <protection locked="true" hidden="false"/>
    </xf>
    <xf numFmtId="164" fontId="8" fillId="0" borderId="4" xfId="0" applyFont="true" applyBorder="true" applyAlignment="true" applyProtection="true">
      <alignment horizontal="center" vertical="center" textRotation="90" wrapText="false" indent="0" shrinkToFit="false"/>
      <protection locked="true" hidden="false"/>
    </xf>
    <xf numFmtId="164" fontId="4" fillId="0" borderId="4" xfId="0" applyFont="true" applyBorder="true" applyAlignment="true" applyProtection="true">
      <alignment horizontal="general" vertical="center" textRotation="0" wrapText="true" indent="0" shrinkToFit="false"/>
      <protection locked="true" hidden="false"/>
    </xf>
    <xf numFmtId="171" fontId="4" fillId="2" borderId="4" xfId="15" applyFont="true" applyBorder="true" applyAlignment="true" applyProtection="true">
      <alignment horizontal="center" vertical="center" textRotation="0" wrapText="false" indent="0" shrinkToFit="false"/>
      <protection locked="false" hidden="false"/>
    </xf>
    <xf numFmtId="171" fontId="4" fillId="0" borderId="4" xfId="15" applyFont="true" applyBorder="true" applyAlignment="true" applyProtection="true">
      <alignment horizontal="center" vertical="center" textRotation="0" wrapText="false" indent="0" shrinkToFit="false"/>
      <protection locked="true" hidden="false"/>
    </xf>
    <xf numFmtId="173" fontId="4" fillId="0" borderId="4" xfId="19" applyFont="true" applyBorder="true" applyAlignment="true" applyProtection="true">
      <alignment horizontal="center" vertical="center" textRotation="0" wrapText="false" indent="0" shrinkToFit="false"/>
      <protection locked="true" hidden="false"/>
    </xf>
    <xf numFmtId="171" fontId="8" fillId="0" borderId="4" xfId="15" applyFont="true" applyBorder="true" applyAlignment="true" applyProtection="true">
      <alignment horizontal="center" vertical="center" textRotation="0" wrapText="false" indent="0" shrinkToFit="false"/>
      <protection locked="true" hidden="false"/>
    </xf>
    <xf numFmtId="174" fontId="4" fillId="0" borderId="4" xfId="0" applyFont="true" applyBorder="true" applyAlignment="true" applyProtection="true">
      <alignment horizontal="center" vertical="center" textRotation="0" wrapText="false" indent="0" shrinkToFit="false"/>
      <protection locked="true" hidden="false"/>
    </xf>
    <xf numFmtId="168" fontId="15" fillId="7" borderId="4" xfId="15" applyFont="true" applyBorder="true" applyAlignment="true" applyProtection="true">
      <alignment horizontal="center" vertical="center" textRotation="0" wrapText="false" indent="0" shrinkToFit="false"/>
      <protection locked="true" hidden="false"/>
    </xf>
    <xf numFmtId="173" fontId="4" fillId="2" borderId="4" xfId="19" applyFont="true" applyBorder="true" applyAlignment="true" applyProtection="true">
      <alignment horizontal="center" vertical="center" textRotation="0" wrapText="false" indent="0" shrinkToFit="false"/>
      <protection locked="false" hidden="false"/>
    </xf>
    <xf numFmtId="167" fontId="4" fillId="0" borderId="4" xfId="19" applyFont="true" applyBorder="true" applyAlignment="true" applyProtection="true">
      <alignment horizontal="center" vertical="center" textRotation="0" wrapText="false" indent="0" shrinkToFit="false"/>
      <protection locked="true" hidden="false"/>
    </xf>
    <xf numFmtId="173" fontId="4" fillId="13" borderId="4" xfId="19" applyFont="true" applyBorder="true" applyAlignment="true" applyProtection="true">
      <alignment horizontal="center" vertical="center" textRotation="0" wrapText="false" indent="0" shrinkToFit="false"/>
      <protection locked="false" hidden="false"/>
    </xf>
    <xf numFmtId="171" fontId="4" fillId="13" borderId="4" xfId="15" applyFont="true" applyBorder="true" applyAlignment="true" applyProtection="true">
      <alignment horizontal="center" vertical="center" textRotation="0" wrapText="false" indent="0" shrinkToFit="false"/>
      <protection locked="false" hidden="false"/>
    </xf>
    <xf numFmtId="167" fontId="4" fillId="13" borderId="4" xfId="19" applyFont="true" applyBorder="true" applyAlignment="true" applyProtection="true">
      <alignment horizontal="center" vertical="center" textRotation="0" wrapText="false" indent="0" shrinkToFit="false"/>
      <protection locked="true" hidden="false"/>
    </xf>
    <xf numFmtId="171" fontId="4" fillId="0" borderId="4" xfId="0" applyFont="true" applyBorder="true" applyAlignment="true" applyProtection="true">
      <alignment horizontal="center" vertical="center" textRotation="0" wrapText="false" indent="0" shrinkToFit="false"/>
      <protection locked="true" hidden="false"/>
    </xf>
    <xf numFmtId="164" fontId="8" fillId="0" borderId="4" xfId="0" applyFont="true" applyBorder="true" applyAlignment="true" applyProtection="true">
      <alignment horizontal="general" vertical="center" textRotation="0" wrapText="false" indent="0" shrinkToFit="false"/>
      <protection locked="true" hidden="false"/>
    </xf>
    <xf numFmtId="168" fontId="4" fillId="0" borderId="4" xfId="0" applyFont="true" applyBorder="true" applyAlignment="true" applyProtection="true">
      <alignment horizontal="general" vertical="center" textRotation="0" wrapText="false" indent="0" shrinkToFit="false"/>
      <protection locked="true" hidden="false"/>
    </xf>
    <xf numFmtId="164" fontId="8" fillId="0" borderId="12" xfId="0" applyFont="true" applyBorder="true" applyAlignment="true" applyProtection="true">
      <alignment horizontal="center" vertical="center" textRotation="0" wrapText="false" indent="0" shrinkToFit="false"/>
      <protection locked="true" hidden="false"/>
    </xf>
    <xf numFmtId="171" fontId="8" fillId="0" borderId="12" xfId="15" applyFont="true" applyBorder="true" applyAlignment="true" applyProtection="true">
      <alignment horizontal="center" vertical="center" textRotation="0" wrapText="false" indent="0" shrinkToFit="false"/>
      <protection locked="true" hidden="false"/>
    </xf>
    <xf numFmtId="164" fontId="8" fillId="12" borderId="4"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4" fontId="8" fillId="2" borderId="4" xfId="0" applyFont="true" applyBorder="true" applyAlignment="true" applyProtection="true">
      <alignment horizontal="center" vertical="center" textRotation="0" wrapText="false" indent="0" shrinkToFit="false"/>
      <protection locked="false" hidden="false"/>
    </xf>
    <xf numFmtId="164" fontId="4" fillId="0" borderId="40" xfId="0" applyFont="true" applyBorder="true" applyAlignment="true" applyProtection="true">
      <alignment horizontal="general" vertical="center" textRotation="0" wrapText="false" indent="0" shrinkToFit="false"/>
      <protection locked="true" hidden="false"/>
    </xf>
    <xf numFmtId="173" fontId="8" fillId="0" borderId="4" xfId="19" applyFont="true" applyBorder="true" applyAlignment="true" applyProtection="true">
      <alignment horizontal="center" vertical="center" textRotation="0" wrapText="false" indent="0" shrinkToFit="false"/>
      <protection locked="true" hidden="false"/>
    </xf>
    <xf numFmtId="167" fontId="4" fillId="2" borderId="4" xfId="0" applyFont="true" applyBorder="true" applyAlignment="true" applyProtection="true">
      <alignment horizontal="center" vertical="center" textRotation="0" wrapText="false" indent="0" shrinkToFit="false"/>
      <protection locked="false" hidden="false"/>
    </xf>
    <xf numFmtId="164" fontId="4" fillId="0" borderId="18" xfId="0" applyFont="true" applyBorder="true" applyAlignment="true" applyProtection="true">
      <alignment horizontal="general" vertical="center" textRotation="0" wrapText="false" indent="0" shrinkToFit="false"/>
      <protection locked="true" hidden="false"/>
    </xf>
    <xf numFmtId="164" fontId="4" fillId="0" borderId="41" xfId="0" applyFont="true" applyBorder="true" applyAlignment="true" applyProtection="true">
      <alignment horizontal="general" vertical="center" textRotation="0" wrapText="false" indent="0" shrinkToFit="false"/>
      <protection locked="true" hidden="false"/>
    </xf>
    <xf numFmtId="168" fontId="4" fillId="0" borderId="21" xfId="15" applyFont="true" applyBorder="true" applyAlignment="true" applyProtection="true">
      <alignment horizontal="general" vertical="center" textRotation="0" wrapText="false" indent="0" shrinkToFit="false"/>
      <protection locked="true" hidden="false"/>
    </xf>
    <xf numFmtId="164" fontId="4" fillId="0" borderId="40" xfId="0" applyFont="true" applyBorder="true" applyAlignment="true" applyProtection="true">
      <alignment horizontal="center" vertical="center" textRotation="0" wrapText="false" indent="0" shrinkToFit="false"/>
      <protection locked="true" hidden="false"/>
    </xf>
    <xf numFmtId="164" fontId="4" fillId="0" borderId="18" xfId="0" applyFont="true" applyBorder="true" applyAlignment="true" applyProtection="true">
      <alignment horizontal="left" vertical="center" textRotation="0" wrapText="false" indent="0" shrinkToFit="false"/>
      <protection locked="true" hidden="false"/>
    </xf>
    <xf numFmtId="171" fontId="24" fillId="0" borderId="4"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left" vertical="center" textRotation="0" wrapText="true" indent="0" shrinkToFit="false"/>
      <protection locked="true" hidden="false"/>
    </xf>
    <xf numFmtId="173" fontId="4" fillId="2" borderId="4" xfId="0" applyFont="true" applyBorder="true" applyAlignment="true" applyProtection="true">
      <alignment horizontal="center" vertical="center" textRotation="0" wrapText="false" indent="0" shrinkToFit="false"/>
      <protection locked="false" hidden="false"/>
    </xf>
    <xf numFmtId="164" fontId="4" fillId="2" borderId="4" xfId="0" applyFont="true" applyBorder="true" applyAlignment="true" applyProtection="true">
      <alignment horizontal="left" vertical="center" textRotation="0" wrapText="false" indent="0" shrinkToFit="false"/>
      <protection locked="false" hidden="false"/>
    </xf>
    <xf numFmtId="177" fontId="0" fillId="14" borderId="4" xfId="19" applyFont="true" applyBorder="true" applyAlignment="true" applyProtection="true">
      <alignment horizontal="center" vertical="bottom" textRotation="0" wrapText="false" indent="0" shrinkToFit="false"/>
      <protection locked="false" hidden="false"/>
    </xf>
    <xf numFmtId="173" fontId="0" fillId="14" borderId="4" xfId="19" applyFont="true" applyBorder="true" applyAlignment="true" applyProtection="true">
      <alignment horizontal="center" vertical="bottom" textRotation="0" wrapText="false" indent="0" shrinkToFit="false"/>
      <protection locked="false" hidden="false"/>
    </xf>
    <xf numFmtId="165" fontId="8" fillId="12" borderId="4" xfId="0" applyFont="true" applyBorder="true" applyAlignment="true" applyProtection="true">
      <alignment horizontal="center" vertical="center" textRotation="0" wrapText="false" indent="0" shrinkToFit="false"/>
      <protection locked="true" hidden="false"/>
    </xf>
    <xf numFmtId="168" fontId="4" fillId="0" borderId="0" xfId="15" applyFont="true" applyBorder="true" applyAlignment="true" applyProtection="true">
      <alignment horizontal="general" vertical="bottom" textRotation="0" wrapText="false" indent="0" shrinkToFit="false"/>
      <protection locked="true" hidden="false"/>
    </xf>
    <xf numFmtId="164" fontId="4" fillId="0" borderId="4" xfId="0" applyFont="true" applyBorder="true" applyAlignment="true" applyProtection="true">
      <alignment horizontal="left" vertical="center" textRotation="0" wrapText="false" indent="0" shrinkToFit="false"/>
      <protection locked="false" hidden="false"/>
    </xf>
    <xf numFmtId="173" fontId="17" fillId="0" borderId="4" xfId="0" applyFont="true" applyBorder="true" applyAlignment="true" applyProtection="true">
      <alignment horizontal="center" vertical="center" textRotation="0" wrapText="false" indent="0" shrinkToFit="false"/>
      <protection locked="true" hidden="false"/>
    </xf>
    <xf numFmtId="164" fontId="17" fillId="0" borderId="4" xfId="0" applyFont="true" applyBorder="true" applyAlignment="true" applyProtection="true">
      <alignment horizontal="center" vertical="center" textRotation="0" wrapText="false" indent="0" shrinkToFit="false"/>
      <protection locked="true" hidden="false"/>
    </xf>
    <xf numFmtId="167" fontId="4" fillId="10" borderId="4" xfId="0" applyFont="true" applyBorder="true" applyAlignment="true" applyProtection="true">
      <alignment horizontal="center" vertical="center" textRotation="0" wrapText="false" indent="0" shrinkToFit="false"/>
      <protection locked="true" hidden="false"/>
    </xf>
    <xf numFmtId="175" fontId="4" fillId="0" borderId="4" xfId="0" applyFont="true" applyBorder="true" applyAlignment="true" applyProtection="true">
      <alignment horizontal="center" vertical="center" textRotation="0" wrapText="false" indent="0" shrinkToFit="false"/>
      <protection locked="true" hidden="false"/>
    </xf>
    <xf numFmtId="167" fontId="4" fillId="0" borderId="4"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left" vertical="bottom" textRotation="0" wrapText="false" indent="0" shrinkToFit="false"/>
      <protection locked="true" hidden="false"/>
    </xf>
    <xf numFmtId="164" fontId="25" fillId="12" borderId="4" xfId="0" applyFont="true" applyBorder="true" applyAlignment="true" applyProtection="true">
      <alignment horizontal="center" vertical="center" textRotation="0" wrapText="true" indent="0" shrinkToFit="false"/>
      <protection locked="true" hidden="false"/>
    </xf>
    <xf numFmtId="164" fontId="8" fillId="12" borderId="23" xfId="0" applyFont="true" applyBorder="true" applyAlignment="true" applyProtection="true">
      <alignment horizontal="center" vertical="center" textRotation="0" wrapText="true" indent="0" shrinkToFit="false"/>
      <protection locked="true" hidden="false"/>
    </xf>
    <xf numFmtId="164" fontId="8" fillId="0" borderId="33" xfId="0" applyFont="true" applyBorder="true" applyAlignment="true" applyProtection="true">
      <alignment horizontal="left" vertical="center" textRotation="0" wrapText="false" indent="0" shrinkToFit="false"/>
      <protection locked="true" hidden="false"/>
    </xf>
    <xf numFmtId="164" fontId="4" fillId="0" borderId="42" xfId="0" applyFont="true" applyBorder="true" applyAlignment="true" applyProtection="true">
      <alignment horizontal="center" vertical="bottom" textRotation="0" wrapText="false" indent="0" shrinkToFit="false"/>
      <protection locked="true" hidden="false"/>
    </xf>
    <xf numFmtId="164" fontId="4" fillId="0" borderId="33" xfId="0" applyFont="true" applyBorder="true" applyAlignment="true" applyProtection="true">
      <alignment horizontal="general" vertical="bottom" textRotation="0" wrapText="false" indent="0" shrinkToFit="false"/>
      <protection locked="true" hidden="false"/>
    </xf>
    <xf numFmtId="164" fontId="4" fillId="0" borderId="23" xfId="0" applyFont="true" applyBorder="true" applyAlignment="true" applyProtection="true">
      <alignment horizontal="left" vertical="center" textRotation="0" wrapText="false" indent="0" shrinkToFit="false"/>
      <protection locked="true" hidden="false"/>
    </xf>
    <xf numFmtId="164" fontId="4" fillId="0" borderId="43" xfId="0" applyFont="true" applyBorder="true" applyAlignment="true" applyProtection="true">
      <alignment horizontal="left" vertical="center" textRotation="0" wrapText="false" indent="0" shrinkToFit="false"/>
      <protection locked="tru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4" fillId="0" borderId="12"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4" fontId="5" fillId="0" borderId="44" xfId="0" applyFont="true" applyBorder="true" applyAlignment="true" applyProtection="true">
      <alignment horizontal="general" vertical="center" textRotation="0" wrapText="fals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45" xfId="0" applyFont="true" applyBorder="true" applyAlignment="true" applyProtection="true">
      <alignment horizontal="general" vertical="center" textRotation="0" wrapText="false" indent="0" shrinkToFit="false"/>
      <protection locked="true" hidden="false"/>
    </xf>
    <xf numFmtId="164" fontId="13" fillId="0" borderId="3" xfId="0" applyFont="true" applyBorder="true" applyAlignment="true" applyProtection="true">
      <alignment horizontal="general" vertical="bottom" textRotation="0" wrapText="false" indent="0" shrinkToFit="false"/>
      <protection locked="true" hidden="false"/>
    </xf>
    <xf numFmtId="164" fontId="26" fillId="12" borderId="46" xfId="0" applyFont="true" applyBorder="true" applyAlignment="true" applyProtection="true">
      <alignment horizontal="center" vertical="center" textRotation="0" wrapText="false" indent="0" shrinkToFit="false"/>
      <protection locked="true" hidden="false"/>
    </xf>
    <xf numFmtId="164" fontId="10" fillId="15" borderId="15" xfId="0" applyFont="true" applyBorder="true" applyAlignment="true" applyProtection="true">
      <alignment horizontal="center" vertical="bottom" textRotation="0" wrapText="true" indent="0" shrinkToFit="false"/>
      <protection locked="true" hidden="false"/>
    </xf>
    <xf numFmtId="164" fontId="10" fillId="12" borderId="20" xfId="0" applyFont="true" applyBorder="true" applyAlignment="true" applyProtection="true">
      <alignment horizontal="center" vertical="center" textRotation="0" wrapText="false" indent="0" shrinkToFit="false"/>
      <protection locked="true" hidden="false"/>
    </xf>
    <xf numFmtId="164" fontId="27" fillId="0" borderId="17" xfId="0" applyFont="true" applyBorder="true" applyAlignment="true" applyProtection="true">
      <alignment horizontal="center" vertical="bottom" textRotation="0" wrapText="false" indent="0" shrinkToFit="false"/>
      <protection locked="true" hidden="false"/>
    </xf>
    <xf numFmtId="164" fontId="27" fillId="0" borderId="4" xfId="0" applyFont="true" applyBorder="true" applyAlignment="true" applyProtection="true">
      <alignment horizontal="center" vertical="bottom" textRotation="0" wrapText="false" indent="0" shrinkToFit="false"/>
      <protection locked="true" hidden="false"/>
    </xf>
    <xf numFmtId="164" fontId="27" fillId="0" borderId="19" xfId="0" applyFont="true" applyBorder="true" applyAlignment="true" applyProtection="true">
      <alignment horizontal="center" vertical="bottom" textRotation="0" wrapText="false" indent="0" shrinkToFit="false"/>
      <protection locked="true" hidden="false"/>
    </xf>
    <xf numFmtId="164" fontId="28" fillId="12" borderId="17" xfId="0" applyFont="true" applyBorder="true" applyAlignment="true" applyProtection="true">
      <alignment horizontal="center" vertical="center" textRotation="0" wrapText="false" indent="0" shrinkToFit="false"/>
      <protection locked="true" hidden="false"/>
    </xf>
    <xf numFmtId="164" fontId="28" fillId="12" borderId="19" xfId="0" applyFont="true" applyBorder="true" applyAlignment="true" applyProtection="true">
      <alignment horizontal="left" vertical="center" textRotation="0" wrapText="false" indent="0" shrinkToFit="false"/>
      <protection locked="true" hidden="false"/>
    </xf>
    <xf numFmtId="164" fontId="13" fillId="0" borderId="17" xfId="0" applyFont="true" applyBorder="true" applyAlignment="true" applyProtection="true">
      <alignment horizontal="center" vertical="center" textRotation="0" wrapText="false" indent="0" shrinkToFit="false"/>
      <protection locked="true" hidden="false"/>
    </xf>
    <xf numFmtId="164" fontId="13" fillId="0" borderId="4" xfId="0" applyFont="true" applyBorder="true" applyAlignment="true" applyProtection="true">
      <alignment horizontal="general" vertical="center" textRotation="0" wrapText="false" indent="0" shrinkToFit="false"/>
      <protection locked="true" hidden="false"/>
    </xf>
    <xf numFmtId="173" fontId="13" fillId="2" borderId="19" xfId="0" applyFont="true" applyBorder="true" applyAlignment="true" applyProtection="true">
      <alignment horizontal="center" vertical="center" textRotation="0" wrapText="false" indent="0" shrinkToFit="false"/>
      <protection locked="false" hidden="false"/>
    </xf>
    <xf numFmtId="173" fontId="13" fillId="0" borderId="19" xfId="0" applyFont="true" applyBorder="true" applyAlignment="true" applyProtection="true">
      <alignment horizontal="center" vertical="center" textRotation="0" wrapText="false" indent="0" shrinkToFit="false"/>
      <protection locked="true" hidden="false"/>
    </xf>
    <xf numFmtId="167" fontId="0" fillId="0" borderId="0" xfId="0" applyFont="true" applyBorder="false" applyAlignment="true" applyProtection="true">
      <alignment horizontal="general" vertical="bottom" textRotation="0" wrapText="false" indent="0" shrinkToFit="false"/>
      <protection locked="true" hidden="false"/>
    </xf>
    <xf numFmtId="164" fontId="28" fillId="12" borderId="17" xfId="0" applyFont="true" applyBorder="true" applyAlignment="true" applyProtection="true">
      <alignment horizontal="left" vertical="center" textRotation="0" wrapText="false" indent="0" shrinkToFit="false"/>
      <protection locked="true" hidden="false"/>
    </xf>
    <xf numFmtId="173" fontId="28" fillId="12" borderId="19" xfId="0" applyFont="true" applyBorder="true" applyAlignment="true" applyProtection="true">
      <alignment horizontal="center" vertical="center" textRotation="0" wrapText="false" indent="0" shrinkToFit="false"/>
      <protection locked="true" hidden="false"/>
    </xf>
    <xf numFmtId="164" fontId="28" fillId="12" borderId="20" xfId="0" applyFont="true" applyBorder="true" applyAlignment="true" applyProtection="true">
      <alignment horizontal="left" vertical="center" textRotation="0" wrapText="false" indent="0" shrinkToFit="false"/>
      <protection locked="true" hidden="false"/>
    </xf>
    <xf numFmtId="164" fontId="13" fillId="0" borderId="18" xfId="0" applyFont="true" applyBorder="true" applyAlignment="true" applyProtection="true">
      <alignment horizontal="general" vertical="center" textRotation="0" wrapText="false" indent="0" shrinkToFit="false"/>
      <protection locked="true" hidden="false"/>
    </xf>
    <xf numFmtId="173" fontId="22" fillId="16" borderId="19" xfId="19" applyFont="true" applyBorder="true" applyAlignment="true" applyProtection="true">
      <alignment horizontal="center" vertical="center" textRotation="0" wrapText="false" indent="0" shrinkToFit="false"/>
      <protection locked="true" hidden="false"/>
    </xf>
    <xf numFmtId="164" fontId="28" fillId="0" borderId="17" xfId="0" applyFont="true" applyBorder="true" applyAlignment="true" applyProtection="true">
      <alignment horizontal="left" vertical="center" textRotation="0" wrapText="false" indent="0" shrinkToFit="false"/>
      <protection locked="true" hidden="false"/>
    </xf>
    <xf numFmtId="173" fontId="29" fillId="0" borderId="19" xfId="0" applyFont="true" applyBorder="true" applyAlignment="true" applyProtection="true">
      <alignment horizontal="center" vertical="center" textRotation="0" wrapText="false" indent="0" shrinkToFit="false"/>
      <protection locked="true" hidden="false"/>
    </xf>
    <xf numFmtId="164" fontId="13" fillId="0" borderId="17" xfId="0" applyFont="true" applyBorder="true" applyAlignment="true" applyProtection="true">
      <alignment horizontal="left" vertical="center" textRotation="0" wrapText="true" indent="0" shrinkToFit="false"/>
      <protection locked="true" hidden="false"/>
    </xf>
    <xf numFmtId="173" fontId="19" fillId="0" borderId="14" xfId="0" applyFont="true" applyBorder="true" applyAlignment="true" applyProtection="true">
      <alignment horizontal="center" vertical="center" textRotation="0" wrapText="false" indent="0" shrinkToFit="false"/>
      <protection locked="true" hidden="false"/>
    </xf>
    <xf numFmtId="173" fontId="30" fillId="0" borderId="19" xfId="0" applyFont="true" applyBorder="true" applyAlignment="true" applyProtection="true">
      <alignment horizontal="center" vertical="center" textRotation="0" wrapText="false" indent="0" shrinkToFit="false"/>
      <protection locked="true" hidden="false"/>
    </xf>
    <xf numFmtId="164" fontId="13" fillId="0" borderId="17" xfId="0" applyFont="true" applyBorder="true" applyAlignment="true" applyProtection="true">
      <alignment horizontal="left" vertical="center" textRotation="0" wrapText="false" indent="0" shrinkToFit="false"/>
      <protection locked="true" hidden="false"/>
    </xf>
    <xf numFmtId="164" fontId="29" fillId="0" borderId="17" xfId="0" applyFont="true" applyBorder="true" applyAlignment="true" applyProtection="true">
      <alignment horizontal="left" vertical="center" textRotation="0" wrapText="false" indent="0" shrinkToFit="false"/>
      <protection locked="true" hidden="false"/>
    </xf>
    <xf numFmtId="164" fontId="31" fillId="17" borderId="35" xfId="0" applyFont="true" applyBorder="true" applyAlignment="true" applyProtection="true">
      <alignment horizontal="center" vertical="center" textRotation="0" wrapText="true" indent="0" shrinkToFit="false"/>
      <protection locked="true" hidden="false"/>
    </xf>
    <xf numFmtId="164" fontId="20" fillId="0" borderId="17" xfId="0" applyFont="true" applyBorder="true" applyAlignment="true" applyProtection="true">
      <alignment horizontal="center" vertical="center" textRotation="0" wrapText="true" indent="0" shrinkToFit="false"/>
      <protection locked="true" hidden="false"/>
    </xf>
    <xf numFmtId="164" fontId="20" fillId="0" borderId="19" xfId="0" applyFont="true" applyBorder="true" applyAlignment="true" applyProtection="true">
      <alignment horizontal="center" vertical="center" textRotation="0" wrapText="true" indent="0" shrinkToFit="false"/>
      <protection locked="true" hidden="false"/>
    </xf>
    <xf numFmtId="164" fontId="29" fillId="0" borderId="17" xfId="0" applyFont="true" applyBorder="true" applyAlignment="true" applyProtection="true">
      <alignment horizontal="center" vertical="center" textRotation="0" wrapText="false" indent="0" shrinkToFit="false"/>
      <protection locked="true" hidden="false"/>
    </xf>
    <xf numFmtId="164" fontId="29" fillId="0" borderId="4" xfId="0" applyFont="true" applyBorder="true" applyAlignment="true" applyProtection="true">
      <alignment horizontal="left" vertical="center" textRotation="0" wrapText="false" indent="0" shrinkToFit="false"/>
      <protection locked="true" hidden="false"/>
    </xf>
    <xf numFmtId="164" fontId="12" fillId="17" borderId="17" xfId="0" applyFont="true" applyBorder="true" applyAlignment="true" applyProtection="true">
      <alignment horizontal="center" vertical="center" textRotation="0" wrapText="true" indent="0" shrinkToFit="false"/>
      <protection locked="true" hidden="false"/>
    </xf>
    <xf numFmtId="164" fontId="12" fillId="17" borderId="4" xfId="0" applyFont="true" applyBorder="true" applyAlignment="true" applyProtection="true">
      <alignment horizontal="center" vertical="center" textRotation="0" wrapText="true" indent="0" shrinkToFit="false"/>
      <protection locked="true" hidden="false"/>
    </xf>
    <xf numFmtId="164" fontId="11" fillId="17" borderId="19" xfId="0" applyFont="true" applyBorder="true" applyAlignment="true" applyProtection="true">
      <alignment horizontal="center" vertical="center" textRotation="0" wrapText="true" indent="0" shrinkToFit="false"/>
      <protection locked="true" hidden="false"/>
    </xf>
    <xf numFmtId="173" fontId="12" fillId="17" borderId="4" xfId="0" applyFont="true" applyBorder="true" applyAlignment="true" applyProtection="true">
      <alignment horizontal="center" vertical="center" textRotation="0" wrapText="false" indent="0" shrinkToFit="false"/>
      <protection locked="true" hidden="false"/>
    </xf>
    <xf numFmtId="173" fontId="14" fillId="17" borderId="19" xfId="0" applyFont="true" applyBorder="true" applyAlignment="true" applyProtection="true">
      <alignment horizontal="center" vertical="center" textRotation="0" wrapText="false" indent="0" shrinkToFit="false"/>
      <protection locked="true" hidden="false"/>
    </xf>
    <xf numFmtId="164" fontId="28" fillId="12" borderId="20" xfId="0" applyFont="true" applyBorder="true" applyAlignment="true" applyProtection="true">
      <alignment horizontal="center" vertical="center" textRotation="0" wrapText="false" indent="0" shrinkToFit="false"/>
      <protection locked="true" hidden="false"/>
    </xf>
    <xf numFmtId="164" fontId="13" fillId="0" borderId="17" xfId="0" applyFont="true" applyBorder="true" applyAlignment="true" applyProtection="true">
      <alignment horizontal="center" vertical="center" textRotation="0" wrapText="true" indent="0" shrinkToFit="false"/>
      <protection locked="true" hidden="false"/>
    </xf>
    <xf numFmtId="173" fontId="13" fillId="0" borderId="4" xfId="0" applyFont="true" applyBorder="true" applyAlignment="true" applyProtection="true">
      <alignment horizontal="center" vertical="center" textRotation="0" wrapText="false" indent="0" shrinkToFit="false"/>
      <protection locked="true" hidden="false"/>
    </xf>
    <xf numFmtId="164" fontId="29" fillId="17" borderId="17" xfId="0" applyFont="true" applyBorder="true" applyAlignment="true" applyProtection="true">
      <alignment horizontal="center" vertical="center" textRotation="0" wrapText="true" indent="0" shrinkToFit="false"/>
      <protection locked="true" hidden="false"/>
    </xf>
    <xf numFmtId="173" fontId="29" fillId="17" borderId="4" xfId="0" applyFont="true" applyBorder="true" applyAlignment="true" applyProtection="true">
      <alignment horizontal="center" vertical="center" textRotation="0" wrapText="false" indent="0" shrinkToFit="false"/>
      <protection locked="true" hidden="false"/>
    </xf>
    <xf numFmtId="173" fontId="29" fillId="17" borderId="19" xfId="0" applyFont="true" applyBorder="true" applyAlignment="true" applyProtection="true">
      <alignment horizontal="center" vertical="center" textRotation="0" wrapText="false" indent="0" shrinkToFit="false"/>
      <protection locked="true" hidden="false"/>
    </xf>
    <xf numFmtId="173" fontId="13" fillId="0" borderId="47" xfId="0" applyFont="true" applyBorder="true" applyAlignment="true" applyProtection="true">
      <alignment horizontal="center" vertical="center" textRotation="0" wrapText="false" indent="0" shrinkToFit="false"/>
      <protection locked="true" hidden="false"/>
    </xf>
    <xf numFmtId="164" fontId="28" fillId="12" borderId="48" xfId="0" applyFont="true" applyBorder="true" applyAlignment="true" applyProtection="true">
      <alignment horizontal="left" vertical="center" textRotation="0" wrapText="false" indent="0" shrinkToFit="false"/>
      <protection locked="true" hidden="false"/>
    </xf>
    <xf numFmtId="164" fontId="29" fillId="0" borderId="17" xfId="0" applyFont="true" applyBorder="true" applyAlignment="true" applyProtection="true">
      <alignment horizontal="center" vertical="center" textRotation="0" wrapText="true" indent="0" shrinkToFit="false"/>
      <protection locked="true" hidden="false"/>
    </xf>
    <xf numFmtId="173" fontId="29" fillId="0" borderId="4" xfId="0" applyFont="true" applyBorder="true" applyAlignment="true" applyProtection="true">
      <alignment horizontal="center" vertical="center" textRotation="0" wrapText="false" indent="0" shrinkToFit="false"/>
      <protection locked="true" hidden="false"/>
    </xf>
    <xf numFmtId="173" fontId="32" fillId="0" borderId="47" xfId="0" applyFont="true" applyBorder="true" applyAlignment="true" applyProtection="true">
      <alignment horizontal="center" vertical="center" textRotation="0" wrapText="false" indent="0" shrinkToFit="false"/>
      <protection locked="true" hidden="false"/>
    </xf>
    <xf numFmtId="164" fontId="22" fillId="16" borderId="3" xfId="0" applyFont="true" applyBorder="true" applyAlignment="true" applyProtection="true">
      <alignment horizontal="left" vertical="center" textRotation="0" wrapText="false" indent="0" shrinkToFit="false"/>
      <protection locked="true" hidden="false"/>
    </xf>
    <xf numFmtId="164" fontId="22" fillId="16" borderId="0" xfId="0" applyFont="true" applyBorder="false" applyAlignment="true" applyProtection="true">
      <alignment horizontal="general" vertical="bottom" textRotation="0" wrapText="false" indent="0" shrinkToFit="false"/>
      <protection locked="true" hidden="false"/>
    </xf>
    <xf numFmtId="164" fontId="22" fillId="16" borderId="45" xfId="0" applyFont="true" applyBorder="true" applyAlignment="true" applyProtection="true">
      <alignment horizontal="general" vertical="bottom" textRotation="0" wrapText="false" indent="0" shrinkToFit="false"/>
      <protection locked="true" hidden="false"/>
    </xf>
    <xf numFmtId="173" fontId="13" fillId="0" borderId="4" xfId="0" applyFont="true" applyBorder="true" applyAlignment="true" applyProtection="true">
      <alignment horizontal="center" vertical="center" textRotation="0" wrapText="true" indent="0" shrinkToFit="false"/>
      <protection locked="true" hidden="false"/>
    </xf>
    <xf numFmtId="173" fontId="13" fillId="0" borderId="19" xfId="0" applyFont="true" applyBorder="true" applyAlignment="true" applyProtection="true">
      <alignment horizontal="center" vertical="center" textRotation="0" wrapText="true" indent="0" shrinkToFit="false"/>
      <protection locked="true" hidden="false"/>
    </xf>
    <xf numFmtId="164" fontId="22" fillId="16" borderId="49" xfId="0" applyFont="true" applyBorder="true" applyAlignment="true" applyProtection="true">
      <alignment horizontal="justify" vertical="bottom" textRotation="0" wrapText="true" indent="0" shrinkToFit="false"/>
      <protection locked="true" hidden="false"/>
    </xf>
    <xf numFmtId="164" fontId="29" fillId="17" borderId="22" xfId="0" applyFont="true" applyBorder="true" applyAlignment="true" applyProtection="true">
      <alignment horizontal="center" vertical="center" textRotation="0" wrapText="true" indent="0" shrinkToFit="false"/>
      <protection locked="true" hidden="false"/>
    </xf>
    <xf numFmtId="173" fontId="29" fillId="17" borderId="23" xfId="0" applyFont="true" applyBorder="true" applyAlignment="true" applyProtection="true">
      <alignment horizontal="center" vertical="center" textRotation="0" wrapText="false" indent="0" shrinkToFit="false"/>
      <protection locked="true" hidden="false"/>
    </xf>
    <xf numFmtId="173" fontId="32" fillId="17" borderId="25"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general" vertical="bottom" textRotation="0" wrapText="false" indent="0" shrinkToFit="false"/>
      <protection locked="true" hidden="false"/>
    </xf>
    <xf numFmtId="164" fontId="12" fillId="0" borderId="2" xfId="0" applyFont="true" applyBorder="true" applyAlignment="true" applyProtection="true">
      <alignment horizontal="general" vertical="bottom" textRotation="0" wrapText="false" indent="0" shrinkToFit="false"/>
      <protection locked="true" hidden="false"/>
    </xf>
    <xf numFmtId="164" fontId="12" fillId="0" borderId="44" xfId="0" applyFont="true" applyBorder="true" applyAlignment="true" applyProtection="true">
      <alignment horizontal="general" vertical="bottom" textRotation="0" wrapText="false" indent="0" shrinkToFit="false"/>
      <protection locked="true" hidden="false"/>
    </xf>
    <xf numFmtId="164" fontId="12" fillId="0" borderId="3" xfId="0" applyFont="true" applyBorder="true" applyAlignment="true" applyProtection="true">
      <alignment horizontal="general" vertical="bottom" textRotation="0" wrapText="false" indent="0" shrinkToFit="false"/>
      <protection locked="true" hidden="false"/>
    </xf>
    <xf numFmtId="164" fontId="12" fillId="0" borderId="45" xfId="0" applyFont="true" applyBorder="true" applyAlignment="true" applyProtection="true">
      <alignment horizontal="general" vertical="bottom" textRotation="0" wrapText="false" indent="0" shrinkToFit="false"/>
      <protection locked="true" hidden="false"/>
    </xf>
    <xf numFmtId="164" fontId="23" fillId="12" borderId="46" xfId="0" applyFont="true" applyBorder="true" applyAlignment="true" applyProtection="true">
      <alignment horizontal="center" vertical="center" textRotation="0" wrapText="false" indent="0" shrinkToFit="false"/>
      <protection locked="true" hidden="false"/>
    </xf>
    <xf numFmtId="164" fontId="23" fillId="0" borderId="0" xfId="0" applyFont="true" applyBorder="false" applyAlignment="true" applyProtection="true">
      <alignment horizontal="center" vertical="center" textRotation="0" wrapText="false" indent="0" shrinkToFit="false"/>
      <protection locked="true" hidden="false"/>
    </xf>
    <xf numFmtId="164" fontId="8" fillId="15" borderId="15"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33" fillId="12" borderId="17" xfId="0" applyFont="true" applyBorder="true" applyAlignment="true" applyProtection="true">
      <alignment horizontal="center" vertical="center" textRotation="0" wrapText="true" indent="0" shrinkToFit="false"/>
      <protection locked="true" hidden="false"/>
    </xf>
    <xf numFmtId="164" fontId="10" fillId="12" borderId="4" xfId="0" applyFont="true" applyBorder="true" applyAlignment="true" applyProtection="true">
      <alignment horizontal="center" vertical="center" textRotation="0" wrapText="true" indent="0" shrinkToFit="false"/>
      <protection locked="true" hidden="false"/>
    </xf>
    <xf numFmtId="164" fontId="10" fillId="12" borderId="4" xfId="0" applyFont="true" applyBorder="true" applyAlignment="true" applyProtection="true">
      <alignment horizontal="center" vertical="center" textRotation="0" wrapText="false" indent="0" shrinkToFit="false"/>
      <protection locked="true" hidden="false"/>
    </xf>
    <xf numFmtId="164" fontId="10" fillId="12" borderId="19" xfId="0" applyFont="true" applyBorder="true" applyAlignment="true" applyProtection="true">
      <alignment horizontal="center" vertical="center" textRotation="0" wrapText="true" indent="0" shrinkToFit="false"/>
      <protection locked="true" hidden="false"/>
    </xf>
    <xf numFmtId="164" fontId="10" fillId="18" borderId="4" xfId="0" applyFont="true" applyBorder="true" applyAlignment="true" applyProtection="true">
      <alignment horizontal="center" vertical="center" textRotation="0" wrapText="true" indent="0" shrinkToFit="false"/>
      <protection locked="true" hidden="false"/>
    </xf>
    <xf numFmtId="164" fontId="29" fillId="12" borderId="4" xfId="0" applyFont="true" applyBorder="true" applyAlignment="true" applyProtection="true">
      <alignment horizontal="center" vertical="center" textRotation="0" wrapText="true" indent="0" shrinkToFit="false"/>
      <protection locked="true" hidden="false"/>
    </xf>
    <xf numFmtId="164" fontId="10" fillId="18" borderId="12" xfId="0" applyFont="true" applyBorder="true" applyAlignment="true" applyProtection="true">
      <alignment horizontal="center" vertical="center" textRotation="0" wrapText="true" indent="0" shrinkToFit="false"/>
      <protection locked="true" hidden="false"/>
    </xf>
    <xf numFmtId="164" fontId="10" fillId="18" borderId="13" xfId="0" applyFont="true" applyBorder="true" applyAlignment="true" applyProtection="true">
      <alignment horizontal="center" vertical="center" textRotation="0" wrapText="true" indent="0" shrinkToFit="false"/>
      <protection locked="true" hidden="false"/>
    </xf>
    <xf numFmtId="164" fontId="11" fillId="5" borderId="11" xfId="0" applyFont="true" applyBorder="true" applyAlignment="true" applyProtection="true">
      <alignment horizontal="center" vertical="center" textRotation="0" wrapText="true" indent="0" shrinkToFit="false"/>
      <protection locked="true" hidden="false"/>
    </xf>
    <xf numFmtId="164" fontId="12" fillId="0" borderId="17"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left" vertical="center" textRotation="0" wrapText="true" indent="0" shrinkToFit="false"/>
      <protection locked="true" hidden="false"/>
    </xf>
    <xf numFmtId="164" fontId="13" fillId="0" borderId="4" xfId="0" applyFont="true" applyBorder="true" applyAlignment="true" applyProtection="true">
      <alignment horizontal="center" vertical="center" textRotation="0" wrapText="true" indent="0" shrinkToFit="false"/>
      <protection locked="true" hidden="false"/>
    </xf>
    <xf numFmtId="164" fontId="12" fillId="0" borderId="12" xfId="0" applyFont="true" applyBorder="true" applyAlignment="true" applyProtection="true">
      <alignment horizontal="center" vertical="center" textRotation="0" wrapText="false" indent="0" shrinkToFit="false"/>
      <protection locked="true" hidden="false"/>
    </xf>
    <xf numFmtId="164" fontId="12" fillId="0" borderId="13" xfId="0" applyFont="true" applyBorder="true" applyAlignment="true" applyProtection="true">
      <alignment horizontal="center" vertical="center" textRotation="0" wrapText="true" indent="0" shrinkToFit="false"/>
      <protection locked="true" hidden="false"/>
    </xf>
    <xf numFmtId="167" fontId="12" fillId="2" borderId="4" xfId="0" applyFont="true" applyBorder="true" applyAlignment="true" applyProtection="true">
      <alignment horizontal="center" vertical="center" textRotation="0" wrapText="false" indent="0" shrinkToFit="false"/>
      <protection locked="false" hidden="false"/>
    </xf>
    <xf numFmtId="164" fontId="12" fillId="2" borderId="19" xfId="0" applyFont="true" applyBorder="true" applyAlignment="true" applyProtection="true">
      <alignment horizontal="general" vertical="center" textRotation="0" wrapText="false" indent="0" shrinkToFit="false"/>
      <protection locked="false" hidden="false"/>
    </xf>
    <xf numFmtId="167" fontId="12" fillId="0" borderId="4" xfId="0" applyFont="true" applyBorder="true" applyAlignment="true" applyProtection="true">
      <alignment horizontal="center" vertical="center" textRotation="0" wrapText="false" indent="0" shrinkToFit="false"/>
      <protection locked="true" hidden="false"/>
    </xf>
    <xf numFmtId="164" fontId="19" fillId="0" borderId="4" xfId="0" applyFont="true" applyBorder="true" applyAlignment="true" applyProtection="true">
      <alignment horizontal="general" vertical="bottom" textRotation="0" wrapText="true" indent="0" shrinkToFit="false"/>
      <protection locked="true" hidden="false"/>
    </xf>
    <xf numFmtId="164" fontId="12" fillId="0" borderId="4" xfId="0" applyFont="true" applyBorder="true" applyAlignment="true" applyProtection="true">
      <alignment horizontal="center" vertical="center" textRotation="0" wrapText="true" indent="0" shrinkToFit="false"/>
      <protection locked="true" hidden="false"/>
    </xf>
    <xf numFmtId="164" fontId="12" fillId="0" borderId="18" xfId="0" applyFont="true" applyBorder="true" applyAlignment="true" applyProtection="true">
      <alignment horizontal="center" vertical="center" textRotation="0" wrapText="true" indent="0" shrinkToFit="false"/>
      <protection locked="true" hidden="false"/>
    </xf>
    <xf numFmtId="164" fontId="14" fillId="0" borderId="17" xfId="0" applyFont="true" applyBorder="true" applyAlignment="true" applyProtection="true">
      <alignment horizontal="center" vertical="center" textRotation="0" wrapText="false" indent="0" shrinkToFit="false"/>
      <protection locked="true" hidden="false"/>
    </xf>
    <xf numFmtId="164" fontId="19" fillId="0" borderId="4" xfId="0" applyFont="true" applyBorder="true" applyAlignment="true" applyProtection="true">
      <alignment horizontal="general"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1" fillId="0" borderId="22" xfId="0" applyFont="true" applyBorder="true" applyAlignment="true" applyProtection="true">
      <alignment horizontal="center" vertical="center" textRotation="0" wrapText="false" indent="0" shrinkToFit="false"/>
      <protection locked="true" hidden="false"/>
    </xf>
    <xf numFmtId="178" fontId="10" fillId="12" borderId="25" xfId="0" applyFont="true" applyBorder="true" applyAlignment="true" applyProtection="true">
      <alignment horizontal="general" vertical="center" textRotation="0" wrapText="false" indent="0" shrinkToFit="false"/>
      <protection locked="true" hidden="false"/>
    </xf>
    <xf numFmtId="164" fontId="21" fillId="12" borderId="4" xfId="0" applyFont="true" applyBorder="true" applyAlignment="true" applyProtection="true">
      <alignment horizontal="center" vertical="center" textRotation="0" wrapText="false" indent="0" shrinkToFit="false"/>
      <protection locked="true" hidden="false"/>
    </xf>
    <xf numFmtId="167" fontId="21" fillId="12" borderId="4"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center" vertical="center" textRotation="0" wrapText="false" indent="0" shrinkToFit="false"/>
      <protection locked="true" hidden="false"/>
    </xf>
    <xf numFmtId="164" fontId="0" fillId="0" borderId="45" xfId="0" applyFont="false" applyBorder="true" applyAlignment="true" applyProtection="true">
      <alignment horizontal="general" vertical="bottom" textRotation="0" wrapText="false" indent="0" shrinkToFit="false"/>
      <protection locked="true" hidden="false"/>
    </xf>
    <xf numFmtId="164" fontId="10" fillId="0" borderId="3" xfId="0" applyFont="true" applyBorder="true" applyAlignment="true" applyProtection="true">
      <alignment horizontal="center" vertical="center" textRotation="0" wrapText="false" indent="0" shrinkToFit="false"/>
      <protection locked="true" hidden="false"/>
    </xf>
    <xf numFmtId="164" fontId="10" fillId="0" borderId="45" xfId="0" applyFont="true" applyBorder="true" applyAlignment="true" applyProtection="true">
      <alignment horizontal="center" vertical="center" textRotation="0" wrapText="false" indent="0" shrinkToFit="false"/>
      <protection locked="true" hidden="false"/>
    </xf>
    <xf numFmtId="164" fontId="29" fillId="18" borderId="12" xfId="0" applyFont="true" applyBorder="true" applyAlignment="true" applyProtection="true">
      <alignment horizontal="center" vertical="center" textRotation="0" wrapText="true" indent="0" shrinkToFit="false"/>
      <protection locked="true" hidden="false"/>
    </xf>
    <xf numFmtId="164" fontId="10" fillId="2" borderId="19" xfId="0" applyFont="true" applyBorder="true" applyAlignment="true" applyProtection="true">
      <alignment horizontal="center" vertical="center" textRotation="0" wrapText="false" indent="0" shrinkToFit="false"/>
      <protection locked="false" hidden="false"/>
    </xf>
    <xf numFmtId="164" fontId="17" fillId="0" borderId="17" xfId="0" applyFont="true" applyBorder="true" applyAlignment="true" applyProtection="true">
      <alignment horizontal="center" vertical="center" textRotation="0" wrapText="false" indent="0" shrinkToFit="false"/>
      <protection locked="true" hidden="false"/>
    </xf>
    <xf numFmtId="178" fontId="10" fillId="0" borderId="25" xfId="0" applyFont="true" applyBorder="true" applyAlignment="true" applyProtection="true">
      <alignment horizontal="general" vertical="center" textRotation="0" wrapText="false" indent="0" shrinkToFit="false"/>
      <protection locked="true" hidden="false"/>
    </xf>
    <xf numFmtId="164" fontId="21" fillId="12" borderId="4" xfId="0" applyFont="true" applyBorder="true" applyAlignment="true" applyProtection="true">
      <alignment horizontal="center" vertical="bottom" textRotation="0" wrapText="false" indent="0" shrinkToFit="false"/>
      <protection locked="true" hidden="false"/>
    </xf>
    <xf numFmtId="167" fontId="21" fillId="12" borderId="4" xfId="0" applyFont="true" applyBorder="true" applyAlignment="true" applyProtection="true">
      <alignment horizontal="center" vertical="bottom" textRotation="0" wrapText="false" indent="0" shrinkToFit="false"/>
      <protection locked="true" hidden="false"/>
    </xf>
    <xf numFmtId="164" fontId="9" fillId="0" borderId="2" xfId="0" applyFont="true" applyBorder="true" applyAlignment="true" applyProtection="true">
      <alignment horizontal="center" vertical="bottom" textRotation="0" wrapText="false" indent="0" shrinkToFit="false"/>
      <protection locked="true" hidden="false"/>
    </xf>
    <xf numFmtId="164" fontId="9" fillId="0" borderId="2" xfId="0" applyFont="true" applyBorder="true" applyAlignment="true" applyProtection="true">
      <alignment horizontal="general" vertical="bottom" textRotation="0" wrapText="false" indent="0" shrinkToFit="false"/>
      <protection locked="true" hidden="false"/>
    </xf>
    <xf numFmtId="164" fontId="9" fillId="0" borderId="44"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9" fillId="0" borderId="45" xfId="0" applyFont="true" applyBorder="true" applyAlignment="true" applyProtection="true">
      <alignment horizontal="general" vertical="bottom" textRotation="0" wrapText="false" indent="0" shrinkToFit="false"/>
      <protection locked="true" hidden="false"/>
    </xf>
    <xf numFmtId="164" fontId="21" fillId="0" borderId="46" xfId="0" applyFont="true" applyBorder="true" applyAlignment="true" applyProtection="true">
      <alignment horizontal="center" vertical="center" textRotation="0" wrapText="false" indent="0" shrinkToFit="false"/>
      <protection locked="true" hidden="false"/>
    </xf>
    <xf numFmtId="164" fontId="10" fillId="15" borderId="20" xfId="0" applyFont="true" applyBorder="true" applyAlignment="true" applyProtection="true">
      <alignment horizontal="center" vertical="center" textRotation="0" wrapText="true" indent="0" shrinkToFit="false"/>
      <protection locked="true" hidden="false"/>
    </xf>
    <xf numFmtId="164" fontId="21" fillId="0" borderId="3" xfId="0" applyFont="true" applyBorder="true" applyAlignment="true" applyProtection="true">
      <alignment horizontal="center" vertical="center" textRotation="0" wrapText="false" indent="0" shrinkToFit="false"/>
      <protection locked="true" hidden="false"/>
    </xf>
    <xf numFmtId="164" fontId="21" fillId="0" borderId="0" xfId="0" applyFont="true" applyBorder="false" applyAlignment="true" applyProtection="true">
      <alignment horizontal="center" vertical="center" textRotation="0" wrapText="false" indent="0" shrinkToFit="false"/>
      <protection locked="true" hidden="false"/>
    </xf>
    <xf numFmtId="177" fontId="34" fillId="0" borderId="45" xfId="0" applyFont="true" applyBorder="true" applyAlignment="true" applyProtection="true">
      <alignment horizontal="center" vertical="center" textRotation="0" wrapText="false" indent="0" shrinkToFit="false"/>
      <protection locked="true" hidden="false"/>
    </xf>
    <xf numFmtId="164" fontId="10" fillId="12" borderId="17" xfId="0" applyFont="true" applyBorder="true" applyAlignment="true" applyProtection="true">
      <alignment horizontal="center" vertical="center" textRotation="0" wrapText="true" indent="0" shrinkToFit="false"/>
      <protection locked="true" hidden="false"/>
    </xf>
    <xf numFmtId="171" fontId="10" fillId="12" borderId="4" xfId="0" applyFont="true" applyBorder="true" applyAlignment="true" applyProtection="true">
      <alignment horizontal="center" vertical="center" textRotation="0" wrapText="true" indent="0" shrinkToFit="false"/>
      <protection locked="true" hidden="false"/>
    </xf>
    <xf numFmtId="171" fontId="10" fillId="12" borderId="19" xfId="0" applyFont="true" applyBorder="true" applyAlignment="true" applyProtection="true">
      <alignment horizontal="center" vertical="center" textRotation="0" wrapText="true" indent="0" shrinkToFit="false"/>
      <protection locked="true" hidden="false"/>
    </xf>
    <xf numFmtId="164" fontId="10" fillId="0" borderId="17" xfId="15" applyFont="true" applyBorder="true" applyAlignment="true" applyProtection="true">
      <alignment horizontal="center" vertical="center" textRotation="0" wrapText="false" indent="0" shrinkToFit="false"/>
      <protection locked="true" hidden="false"/>
    </xf>
    <xf numFmtId="164" fontId="30" fillId="0" borderId="4" xfId="0" applyFont="true" applyBorder="true" applyAlignment="true" applyProtection="true">
      <alignment horizontal="justify" vertical="center" textRotation="0" wrapText="true" indent="0" shrinkToFit="false"/>
      <protection locked="true" hidden="false"/>
    </xf>
    <xf numFmtId="164" fontId="19" fillId="0" borderId="4" xfId="0" applyFont="true" applyBorder="true" applyAlignment="true" applyProtection="true">
      <alignment horizontal="center" vertical="center" textRotation="0" wrapText="false" indent="0" shrinkToFit="false"/>
      <protection locked="true" hidden="false"/>
    </xf>
    <xf numFmtId="164" fontId="19" fillId="14" borderId="4" xfId="0" applyFont="true" applyBorder="true" applyAlignment="true" applyProtection="true">
      <alignment horizontal="center" vertical="center" textRotation="0" wrapText="false" indent="0" shrinkToFit="false"/>
      <protection locked="false" hidden="false"/>
    </xf>
    <xf numFmtId="171" fontId="12" fillId="0" borderId="4" xfId="15" applyFont="true" applyBorder="true" applyAlignment="true" applyProtection="true">
      <alignment horizontal="center" vertical="center" textRotation="0" wrapText="false" indent="0" shrinkToFit="false"/>
      <protection locked="true" hidden="false"/>
    </xf>
    <xf numFmtId="171" fontId="12" fillId="0" borderId="19" xfId="15" applyFont="true" applyBorder="true" applyAlignment="true" applyProtection="true">
      <alignment horizontal="center" vertical="center" textRotation="0" wrapText="false" indent="0" shrinkToFit="false"/>
      <protection locked="true" hidden="false"/>
    </xf>
    <xf numFmtId="179" fontId="8" fillId="12" borderId="22" xfId="0" applyFont="true" applyBorder="true" applyAlignment="true" applyProtection="true">
      <alignment horizontal="center" vertical="center" textRotation="0" wrapText="true" indent="0" shrinkToFit="false"/>
      <protection locked="true" hidden="false"/>
    </xf>
    <xf numFmtId="171" fontId="30" fillId="12" borderId="25" xfId="15" applyFont="true" applyBorder="true" applyAlignment="true" applyProtection="true">
      <alignment horizontal="center" vertical="center" textRotation="0" wrapText="false" indent="0" shrinkToFit="false"/>
      <protection locked="true" hidden="false"/>
    </xf>
    <xf numFmtId="164" fontId="10" fillId="0" borderId="20" xfId="0" applyFont="true" applyBorder="true" applyAlignment="true" applyProtection="true">
      <alignment horizontal="center" vertical="center" textRotation="0" wrapText="false" indent="0" shrinkToFit="false"/>
      <protection locked="true" hidden="false"/>
    </xf>
    <xf numFmtId="164" fontId="12" fillId="0" borderId="4" xfId="15" applyFont="true" applyBorder="true" applyAlignment="true" applyProtection="true">
      <alignment horizontal="center" vertical="center" textRotation="0" wrapText="false" indent="0" shrinkToFit="false"/>
      <protection locked="true" hidden="false"/>
    </xf>
    <xf numFmtId="171" fontId="12" fillId="2" borderId="4" xfId="15" applyFont="true" applyBorder="true" applyAlignment="true" applyProtection="true">
      <alignment horizontal="center" vertical="center" textRotation="0" wrapText="false" indent="0" shrinkToFit="false"/>
      <protection locked="false" hidden="false"/>
    </xf>
    <xf numFmtId="179" fontId="8" fillId="12" borderId="22" xfId="0" applyFont="true" applyBorder="true" applyAlignment="true" applyProtection="true">
      <alignment horizontal="left" vertical="center" textRotation="0" wrapText="true" indent="0" shrinkToFit="false"/>
      <protection locked="true" hidden="false"/>
    </xf>
    <xf numFmtId="166" fontId="4" fillId="0" borderId="0" xfId="0" applyFont="true" applyBorder="false" applyAlignment="true" applyProtection="true">
      <alignment horizontal="center" vertical="bottom" textRotation="0" wrapText="false" indent="0" shrinkToFit="false"/>
      <protection locked="true" hidden="false"/>
    </xf>
    <xf numFmtId="167" fontId="4" fillId="0" borderId="0" xfId="0" applyFont="true" applyBorder="false" applyAlignment="true" applyProtection="true">
      <alignment horizontal="center" vertical="bottom" textRotation="0" wrapText="false" indent="0" shrinkToFit="false"/>
      <protection locked="true" hidden="false"/>
    </xf>
    <xf numFmtId="171" fontId="4"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20" fillId="0" borderId="50" xfId="0" applyFont="true" applyBorder="true" applyAlignment="true" applyProtection="true">
      <alignment horizontal="left" vertical="center" textRotation="0" wrapText="false" indent="0" shrinkToFit="false"/>
      <protection locked="true" hidden="false"/>
    </xf>
    <xf numFmtId="165" fontId="20" fillId="0" borderId="31" xfId="0" applyFont="true" applyBorder="true" applyAlignment="true" applyProtection="true">
      <alignment horizontal="left" vertical="bottom" textRotation="0" wrapText="false" indent="0" shrinkToFit="false"/>
      <protection locked="true" hidden="false"/>
    </xf>
    <xf numFmtId="166" fontId="20" fillId="0" borderId="31" xfId="0" applyFont="true" applyBorder="true" applyAlignment="true" applyProtection="true">
      <alignment horizontal="center" vertical="bottom" textRotation="0" wrapText="false" indent="0" shrinkToFit="false"/>
      <protection locked="true" hidden="false"/>
    </xf>
    <xf numFmtId="164" fontId="20" fillId="0" borderId="31" xfId="0" applyFont="true" applyBorder="true" applyAlignment="true" applyProtection="true">
      <alignment horizontal="general" vertical="bottom" textRotation="0" wrapText="false" indent="0" shrinkToFit="false"/>
      <protection locked="true" hidden="false"/>
    </xf>
    <xf numFmtId="164" fontId="4" fillId="0" borderId="31" xfId="0" applyFont="true" applyBorder="true" applyAlignment="true" applyProtection="true">
      <alignment horizontal="general" vertical="bottom" textRotation="0" wrapText="false" indent="0" shrinkToFit="false"/>
      <protection locked="true" hidden="false"/>
    </xf>
    <xf numFmtId="166" fontId="4" fillId="0" borderId="31" xfId="0" applyFont="true" applyBorder="true" applyAlignment="true" applyProtection="true">
      <alignment horizontal="center" vertical="bottom" textRotation="0" wrapText="false" indent="0" shrinkToFit="false"/>
      <protection locked="true" hidden="false"/>
    </xf>
    <xf numFmtId="167" fontId="4" fillId="0" borderId="31" xfId="0" applyFont="true" applyBorder="true" applyAlignment="true" applyProtection="true">
      <alignment horizontal="center" vertical="bottom" textRotation="0" wrapText="false" indent="0" shrinkToFit="false"/>
      <protection locked="true" hidden="false"/>
    </xf>
    <xf numFmtId="171" fontId="4" fillId="0" borderId="51" xfId="0" applyFont="true" applyBorder="true" applyAlignment="true" applyProtection="true">
      <alignment horizontal="center" vertical="bottom" textRotation="0" wrapText="false" indent="0" shrinkToFit="false"/>
      <protection locked="true" hidden="false"/>
    </xf>
    <xf numFmtId="164" fontId="10" fillId="15" borderId="4" xfId="0" applyFont="true" applyBorder="true" applyAlignment="true" applyProtection="true">
      <alignment horizontal="center" vertical="center" textRotation="0" wrapText="true" indent="0" shrinkToFit="false"/>
      <protection locked="true" hidden="false"/>
    </xf>
    <xf numFmtId="164" fontId="20" fillId="0" borderId="3" xfId="0" applyFont="true" applyBorder="true" applyAlignment="true" applyProtection="true">
      <alignment horizontal="left" vertical="center" textRotation="0" wrapText="false" indent="0" shrinkToFit="false"/>
      <protection locked="true" hidden="false"/>
    </xf>
    <xf numFmtId="165" fontId="20" fillId="0" borderId="0" xfId="0" applyFont="true" applyBorder="false" applyAlignment="true" applyProtection="true">
      <alignment horizontal="left" vertical="bottom" textRotation="0" wrapText="false" indent="0" shrinkToFit="false"/>
      <protection locked="true" hidden="false"/>
    </xf>
    <xf numFmtId="166" fontId="20" fillId="0" borderId="0" xfId="0" applyFont="true" applyBorder="fals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71" fontId="4" fillId="0" borderId="45" xfId="0" applyFont="true" applyBorder="true" applyAlignment="true" applyProtection="true">
      <alignment horizontal="center" vertical="bottom" textRotation="0" wrapText="false" indent="0" shrinkToFit="false"/>
      <protection locked="true" hidden="false"/>
    </xf>
    <xf numFmtId="165" fontId="20" fillId="0" borderId="0" xfId="0" applyFont="true" applyBorder="false" applyAlignment="true" applyProtection="true">
      <alignment horizontal="left" vertical="center" textRotation="0" wrapText="false" indent="0" shrinkToFit="false"/>
      <protection locked="true" hidden="false"/>
    </xf>
    <xf numFmtId="166" fontId="20" fillId="0" borderId="0" xfId="0" applyFont="true" applyBorder="false" applyAlignment="true" applyProtection="true">
      <alignment horizontal="center"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6" fontId="4" fillId="0" borderId="0" xfId="0" applyFont="true" applyBorder="false" applyAlignment="true" applyProtection="true">
      <alignment horizontal="center" vertical="center" textRotation="0" wrapText="false" indent="0" shrinkToFit="false"/>
      <protection locked="true" hidden="false"/>
    </xf>
    <xf numFmtId="167" fontId="4" fillId="0" borderId="0" xfId="0" applyFont="true" applyBorder="false" applyAlignment="true" applyProtection="true">
      <alignment horizontal="center" vertical="center" textRotation="0" wrapText="false" indent="0" shrinkToFit="false"/>
      <protection locked="true" hidden="false"/>
    </xf>
    <xf numFmtId="171" fontId="4" fillId="0" borderId="45" xfId="0" applyFont="true" applyBorder="true" applyAlignment="true" applyProtection="true">
      <alignment horizontal="center" vertical="center" textRotation="0" wrapText="false" indent="0" shrinkToFit="false"/>
      <protection locked="true" hidden="false"/>
    </xf>
    <xf numFmtId="164" fontId="21" fillId="12" borderId="9" xfId="0" applyFont="true" applyBorder="true" applyAlignment="true" applyProtection="true">
      <alignment horizontal="center" vertical="center" textRotation="0" wrapText="false" indent="0" shrinkToFit="false"/>
      <protection locked="true" hidden="false"/>
    </xf>
    <xf numFmtId="164" fontId="10" fillId="15" borderId="15" xfId="0" applyFont="true" applyBorder="true" applyAlignment="true" applyProtection="true">
      <alignment horizontal="center" vertical="center" textRotation="0" wrapText="true" indent="0" shrinkToFit="false"/>
      <protection locked="true" hidden="false"/>
    </xf>
    <xf numFmtId="164" fontId="35" fillId="5" borderId="4" xfId="0" applyFont="true" applyBorder="true" applyAlignment="true" applyProtection="true">
      <alignment horizontal="center" vertical="center" textRotation="0" wrapText="true" indent="0" shrinkToFit="false"/>
      <protection locked="true" hidden="false"/>
    </xf>
    <xf numFmtId="164" fontId="4" fillId="0" borderId="20" xfId="0" applyFont="true" applyBorder="true" applyAlignment="true" applyProtection="true">
      <alignment horizontal="left" vertical="center" textRotation="0" wrapText="false" indent="0" shrinkToFit="false"/>
      <protection locked="true" hidden="false"/>
    </xf>
    <xf numFmtId="164" fontId="4" fillId="0" borderId="37" xfId="0" applyFont="true" applyBorder="true" applyAlignment="true" applyProtection="true">
      <alignment horizontal="center" vertical="center" textRotation="0" wrapText="false" indent="0" shrinkToFit="false"/>
      <protection locked="true" hidden="false"/>
    </xf>
    <xf numFmtId="164" fontId="4" fillId="0" borderId="52" xfId="0" applyFont="true" applyBorder="true" applyAlignment="true" applyProtection="true">
      <alignment horizontal="left" vertical="center" textRotation="0" wrapText="false" indent="0" shrinkToFit="false"/>
      <protection locked="true" hidden="false"/>
    </xf>
    <xf numFmtId="166" fontId="4" fillId="0" borderId="52" xfId="0" applyFont="true" applyBorder="true" applyAlignment="true" applyProtection="true">
      <alignment horizontal="center" vertical="center" textRotation="0" wrapText="false" indent="0" shrinkToFit="false"/>
      <protection locked="true" hidden="false"/>
    </xf>
    <xf numFmtId="167" fontId="4" fillId="0" borderId="52" xfId="0" applyFont="true" applyBorder="true" applyAlignment="true" applyProtection="true">
      <alignment horizontal="center" vertical="center" textRotation="0" wrapText="false" indent="0" shrinkToFit="false"/>
      <protection locked="true" hidden="false"/>
    </xf>
    <xf numFmtId="171" fontId="4" fillId="0" borderId="47" xfId="0" applyFont="true" applyBorder="true" applyAlignment="true" applyProtection="true">
      <alignment horizontal="center" vertical="center" textRotation="0" wrapText="false" indent="0" shrinkToFit="false"/>
      <protection locked="true" hidden="false"/>
    </xf>
    <xf numFmtId="164" fontId="10" fillId="0" borderId="17" xfId="0" applyFont="true" applyBorder="true" applyAlignment="true" applyProtection="true">
      <alignment horizontal="center" vertical="center" textRotation="0" wrapText="false" indent="0" shrinkToFit="false"/>
      <protection locked="true" hidden="false"/>
    </xf>
    <xf numFmtId="164" fontId="33" fillId="0" borderId="4" xfId="0" applyFont="true" applyBorder="true" applyAlignment="true" applyProtection="true">
      <alignment horizontal="center" vertical="center" textRotation="0" wrapText="false" indent="0" shrinkToFit="false"/>
      <protection locked="true" hidden="false"/>
    </xf>
    <xf numFmtId="166" fontId="33" fillId="0" borderId="4" xfId="0" applyFont="true" applyBorder="true" applyAlignment="true" applyProtection="true">
      <alignment horizontal="center" vertical="center" textRotation="0" wrapText="false" indent="0" shrinkToFit="false"/>
      <protection locked="true" hidden="false"/>
    </xf>
    <xf numFmtId="164" fontId="10" fillId="0" borderId="4" xfId="0" applyFont="true" applyBorder="true" applyAlignment="true" applyProtection="true">
      <alignment horizontal="center" vertical="center" textRotation="0" wrapText="false" indent="0" shrinkToFit="false"/>
      <protection locked="true" hidden="false"/>
    </xf>
    <xf numFmtId="166" fontId="36" fillId="0" borderId="4" xfId="0" applyFont="true" applyBorder="true" applyAlignment="true" applyProtection="true">
      <alignment horizontal="center" vertical="center" textRotation="0" wrapText="true" indent="0" shrinkToFit="false"/>
      <protection locked="true" hidden="false"/>
    </xf>
    <xf numFmtId="167" fontId="10" fillId="0" borderId="43" xfId="0" applyFont="true" applyBorder="true" applyAlignment="true" applyProtection="true">
      <alignment horizontal="center" vertical="center" textRotation="0" wrapText="true" indent="0" shrinkToFit="false"/>
      <protection locked="true" hidden="false"/>
    </xf>
    <xf numFmtId="171" fontId="10" fillId="0" borderId="19" xfId="0" applyFont="true" applyBorder="true" applyAlignment="true" applyProtection="true">
      <alignment horizontal="center" vertical="center" textRotation="0" wrapText="false" indent="0" shrinkToFit="false"/>
      <protection locked="true" hidden="false"/>
    </xf>
    <xf numFmtId="164" fontId="12" fillId="0" borderId="48" xfId="0" applyFont="true" applyBorder="true" applyAlignment="true" applyProtection="true">
      <alignment horizontal="center" vertical="center" textRotation="0" wrapText="true" indent="0" shrinkToFit="false"/>
      <protection locked="true" hidden="false"/>
    </xf>
    <xf numFmtId="166" fontId="12" fillId="0" borderId="4" xfId="15" applyFont="true" applyBorder="true" applyAlignment="true" applyProtection="true">
      <alignment horizontal="center" vertical="center" textRotation="0" wrapText="false" indent="0" shrinkToFit="false"/>
      <protection locked="true" hidden="false"/>
    </xf>
    <xf numFmtId="164" fontId="19" fillId="0" borderId="4" xfId="0" applyFont="true" applyBorder="true" applyAlignment="true" applyProtection="true">
      <alignment horizontal="justify" vertical="center" textRotation="0" wrapText="true" indent="0" shrinkToFit="false"/>
      <protection locked="true" hidden="false"/>
    </xf>
    <xf numFmtId="166" fontId="12" fillId="0" borderId="18" xfId="15" applyFont="true" applyBorder="true" applyAlignment="true" applyProtection="true">
      <alignment horizontal="center" vertical="center" textRotation="0" wrapText="false" indent="0" shrinkToFit="false"/>
      <protection locked="true" hidden="false"/>
    </xf>
    <xf numFmtId="167" fontId="12" fillId="14" borderId="4" xfId="0" applyFont="true" applyBorder="true" applyAlignment="true" applyProtection="true">
      <alignment horizontal="center" vertical="center" textRotation="0" wrapText="false" indent="0" shrinkToFit="false"/>
      <protection locked="false" hidden="false"/>
    </xf>
    <xf numFmtId="171" fontId="12" fillId="0" borderId="47" xfId="15" applyFont="true" applyBorder="true" applyAlignment="true" applyProtection="true">
      <alignment horizontal="center" vertical="center" textRotation="0" wrapText="false" indent="0" shrinkToFit="false"/>
      <protection locked="true" hidden="false"/>
    </xf>
    <xf numFmtId="164" fontId="37" fillId="0" borderId="4" xfId="0" applyFont="true" applyBorder="true" applyAlignment="true" applyProtection="true">
      <alignment horizontal="center" vertical="center" textRotation="0" wrapText="false" indent="0" shrinkToFit="false"/>
      <protection locked="true" hidden="false"/>
    </xf>
    <xf numFmtId="164" fontId="12" fillId="0" borderId="17" xfId="0" applyFont="true" applyBorder="true" applyAlignment="true" applyProtection="true">
      <alignment horizontal="center" vertical="center" textRotation="0" wrapText="true" indent="0" shrinkToFit="false"/>
      <protection locked="true" hidden="false"/>
    </xf>
    <xf numFmtId="164" fontId="19" fillId="0" borderId="43" xfId="0" applyFont="true" applyBorder="true" applyAlignment="true" applyProtection="true">
      <alignment horizontal="center" vertical="center" textRotation="0" wrapText="true" indent="0" shrinkToFit="false"/>
      <protection locked="true" hidden="false"/>
    </xf>
    <xf numFmtId="166" fontId="38" fillId="0" borderId="11" xfId="0" applyFont="true" applyBorder="true" applyAlignment="true" applyProtection="true">
      <alignment horizontal="center" vertical="center" textRotation="0" wrapText="false" indent="0" shrinkToFit="false"/>
      <protection locked="true" hidden="false"/>
    </xf>
    <xf numFmtId="171" fontId="10" fillId="0" borderId="17" xfId="0" applyFont="true" applyBorder="true" applyAlignment="true" applyProtection="true">
      <alignment horizontal="center" vertical="center" textRotation="0" wrapText="false" indent="0" shrinkToFit="false"/>
      <protection locked="true" hidden="false"/>
    </xf>
    <xf numFmtId="171" fontId="10" fillId="0" borderId="19" xfId="15" applyFont="true" applyBorder="true" applyAlignment="true" applyProtection="true">
      <alignment horizontal="center" vertical="center" textRotation="0" wrapText="false" indent="0" shrinkToFit="false"/>
      <protection locked="true" hidden="false"/>
    </xf>
    <xf numFmtId="164" fontId="21" fillId="12" borderId="53" xfId="0" applyFont="true" applyBorder="true" applyAlignment="true" applyProtection="true">
      <alignment horizontal="left" vertical="center" textRotation="0" wrapText="false" indent="0" shrinkToFit="false"/>
      <protection locked="true" hidden="false"/>
    </xf>
    <xf numFmtId="167" fontId="21" fillId="12" borderId="54" xfId="0" applyFont="true" applyBorder="true" applyAlignment="true" applyProtection="true">
      <alignment horizontal="center" vertical="center" textRotation="0" wrapText="false" indent="0" shrinkToFit="false"/>
      <protection locked="true" hidden="false"/>
    </xf>
    <xf numFmtId="171" fontId="39" fillId="12" borderId="29" xfId="15" applyFont="true" applyBorder="true" applyAlignment="true" applyProtection="true">
      <alignment horizontal="center" vertical="center" textRotation="0" wrapText="false" indent="0" shrinkToFit="false"/>
      <protection locked="true" hidden="false"/>
    </xf>
    <xf numFmtId="166" fontId="12" fillId="0" borderId="0" xfId="15" applyFont="true" applyBorder="true" applyAlignment="true" applyProtection="true">
      <alignment horizontal="center" vertical="center" textRotation="0" wrapText="false" indent="0" shrinkToFit="false"/>
      <protection locked="true" hidden="false"/>
    </xf>
    <xf numFmtId="167" fontId="12" fillId="0" borderId="0" xfId="15" applyFont="true" applyBorder="true" applyAlignment="true" applyProtection="true">
      <alignment horizontal="center" vertical="center" textRotation="0" wrapText="false" indent="0" shrinkToFit="false"/>
      <protection locked="true" hidden="false"/>
    </xf>
    <xf numFmtId="171" fontId="12" fillId="0" borderId="45" xfId="15" applyFont="true" applyBorder="true" applyAlignment="true" applyProtection="true">
      <alignment horizontal="center" vertical="center" textRotation="0" wrapText="false" indent="0" shrinkToFit="false"/>
      <protection locked="true" hidden="false"/>
    </xf>
    <xf numFmtId="164" fontId="35" fillId="5" borderId="43" xfId="0" applyFont="true" applyBorder="true" applyAlignment="true" applyProtection="true">
      <alignment horizontal="center" vertical="center" textRotation="0" wrapText="true" indent="0" shrinkToFit="false"/>
      <protection locked="true" hidden="false"/>
    </xf>
    <xf numFmtId="164" fontId="10" fillId="5" borderId="43" xfId="0" applyFont="true" applyBorder="true" applyAlignment="true" applyProtection="true">
      <alignment horizontal="center" vertical="center" textRotation="0" wrapText="true" indent="0" shrinkToFit="false"/>
      <protection locked="true" hidden="false"/>
    </xf>
    <xf numFmtId="164" fontId="19" fillId="0" borderId="55" xfId="0" applyFont="true" applyBorder="true" applyAlignment="true" applyProtection="true">
      <alignment horizontal="justify" vertical="center" textRotation="0" wrapText="false" indent="0" shrinkToFit="false"/>
      <protection locked="true" hidden="false"/>
    </xf>
    <xf numFmtId="166" fontId="12" fillId="0" borderId="12" xfId="15" applyFont="true" applyBorder="true" applyAlignment="true" applyProtection="true">
      <alignment horizontal="center" vertical="center" textRotation="0" wrapText="false" indent="0" shrinkToFit="false"/>
      <protection locked="true" hidden="false"/>
    </xf>
    <xf numFmtId="164" fontId="12" fillId="0" borderId="12" xfId="0" applyFont="true" applyBorder="true" applyAlignment="true" applyProtection="true">
      <alignment horizontal="center" vertical="center" textRotation="0" wrapText="true" indent="0" shrinkToFit="false"/>
      <protection locked="true" hidden="false"/>
    </xf>
    <xf numFmtId="166" fontId="40" fillId="0" borderId="17" xfId="0" applyFont="true" applyBorder="true" applyAlignment="true" applyProtection="true">
      <alignment horizontal="center" vertical="center" textRotation="0" wrapText="false" indent="0" shrinkToFit="false"/>
      <protection locked="true" hidden="false"/>
    </xf>
    <xf numFmtId="167" fontId="4" fillId="0" borderId="4" xfId="0" applyFont="true" applyBorder="true" applyAlignment="true" applyProtection="true">
      <alignment horizontal="center" vertical="center" textRotation="0" wrapText="false" indent="0" shrinkToFit="false"/>
      <protection locked="false" hidden="false"/>
    </xf>
    <xf numFmtId="171" fontId="10" fillId="0" borderId="48" xfId="0" applyFont="true" applyBorder="true" applyAlignment="true" applyProtection="true">
      <alignment horizontal="center" vertical="center" textRotation="0" wrapText="false" indent="0" shrinkToFit="false"/>
      <protection locked="true" hidden="false"/>
    </xf>
    <xf numFmtId="171" fontId="10" fillId="0" borderId="25" xfId="15" applyFont="true" applyBorder="true" applyAlignment="true" applyProtection="true">
      <alignment horizontal="center" vertical="center" textRotation="0" wrapText="false" indent="0" shrinkToFit="false"/>
      <protection locked="true" hidden="false"/>
    </xf>
    <xf numFmtId="164" fontId="21" fillId="0" borderId="0" xfId="0" applyFont="true" applyBorder="false" applyAlignment="true" applyProtection="true">
      <alignment horizontal="left" vertical="center" textRotation="0" wrapText="false" indent="0" shrinkToFit="false"/>
      <protection locked="true" hidden="false"/>
    </xf>
    <xf numFmtId="166" fontId="21" fillId="0" borderId="0" xfId="0" applyFont="true" applyBorder="false" applyAlignment="true" applyProtection="true">
      <alignment horizontal="center" vertical="center" textRotation="0" wrapText="false" indent="0" shrinkToFit="false"/>
      <protection locked="true" hidden="false"/>
    </xf>
    <xf numFmtId="167" fontId="21" fillId="0" borderId="0" xfId="0" applyFont="true" applyBorder="false" applyAlignment="true" applyProtection="true">
      <alignment horizontal="center" vertical="center" textRotation="0" wrapText="false" indent="0" shrinkToFit="false"/>
      <protection locked="true" hidden="false"/>
    </xf>
    <xf numFmtId="171" fontId="21" fillId="0" borderId="45" xfId="15" applyFont="true" applyBorder="true" applyAlignment="true" applyProtection="true">
      <alignment horizontal="center" vertical="center" textRotation="0" wrapText="false" indent="0" shrinkToFit="false"/>
      <protection locked="true" hidden="false"/>
    </xf>
    <xf numFmtId="167" fontId="10" fillId="0" borderId="4" xfId="0" applyFont="true" applyBorder="true" applyAlignment="true" applyProtection="true">
      <alignment horizontal="center" vertical="center" textRotation="0" wrapText="true" indent="0" shrinkToFit="false"/>
      <protection locked="true" hidden="false"/>
    </xf>
    <xf numFmtId="164" fontId="19" fillId="0" borderId="55" xfId="0" applyFont="true" applyBorder="true" applyAlignment="true" applyProtection="true">
      <alignment horizontal="justify" vertical="center" textRotation="0" wrapText="true" indent="0" shrinkToFit="false"/>
      <protection locked="true" hidden="false"/>
    </xf>
    <xf numFmtId="167" fontId="4" fillId="14" borderId="4" xfId="0" applyFont="true" applyBorder="true" applyAlignment="true" applyProtection="true">
      <alignment horizontal="center" vertical="center" textRotation="0" wrapText="false" indent="0" shrinkToFit="false"/>
      <protection locked="false" hidden="false"/>
    </xf>
    <xf numFmtId="164" fontId="19" fillId="0" borderId="12" xfId="0" applyFont="true" applyBorder="true" applyAlignment="true" applyProtection="true">
      <alignment horizontal="justify" vertical="center" textRotation="0" wrapText="true" indent="0" shrinkToFit="false"/>
      <protection locked="true" hidden="false"/>
    </xf>
    <xf numFmtId="166" fontId="40" fillId="0" borderId="11" xfId="0" applyFont="true" applyBorder="true" applyAlignment="true" applyProtection="true">
      <alignment horizontal="center" vertical="center" textRotation="0" wrapText="false" indent="0" shrinkToFit="false"/>
      <protection locked="true" hidden="false"/>
    </xf>
    <xf numFmtId="171" fontId="10" fillId="0" borderId="22" xfId="0" applyFont="true" applyBorder="true" applyAlignment="true" applyProtection="true">
      <alignment horizontal="center" vertical="center" textRotation="0" wrapText="false" indent="0" shrinkToFit="false"/>
      <protection locked="true" hidden="false"/>
    </xf>
    <xf numFmtId="171" fontId="10" fillId="0" borderId="29" xfId="15" applyFont="true" applyBorder="true" applyAlignment="true" applyProtection="true">
      <alignment horizontal="center" vertical="center" textRotation="0" wrapText="false" indent="0" shrinkToFit="false"/>
      <protection locked="true" hidden="false"/>
    </xf>
    <xf numFmtId="164" fontId="41" fillId="0" borderId="56" xfId="0" applyFont="true" applyBorder="true" applyAlignment="true" applyProtection="true">
      <alignment horizontal="center" vertical="center" textRotation="0" wrapText="false" indent="0" shrinkToFit="false"/>
      <protection locked="true" hidden="false"/>
    </xf>
    <xf numFmtId="166" fontId="42" fillId="0" borderId="17" xfId="0" applyFont="true" applyBorder="true" applyAlignment="true" applyProtection="true">
      <alignment horizontal="center" vertical="center" textRotation="0" wrapText="false" indent="0" shrinkToFit="false"/>
      <protection locked="true" hidden="false"/>
    </xf>
    <xf numFmtId="164" fontId="8" fillId="0" borderId="17" xfId="0" applyFont="true" applyBorder="true" applyAlignment="true" applyProtection="true">
      <alignment horizontal="center" vertical="center" textRotation="0" wrapText="false" indent="0" shrinkToFit="false"/>
      <protection locked="true" hidden="false"/>
    </xf>
    <xf numFmtId="171" fontId="0" fillId="0" borderId="19" xfId="0" applyFont="false" applyBorder="true" applyAlignment="true" applyProtection="true">
      <alignment horizontal="center" vertical="bottom" textRotation="0" wrapText="false" indent="0" shrinkToFit="false"/>
      <protection locked="true" hidden="false"/>
    </xf>
    <xf numFmtId="171" fontId="12" fillId="0" borderId="0" xfId="0" applyFont="true" applyBorder="fals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12" fillId="0" borderId="2" xfId="0" applyFont="true" applyBorder="true" applyAlignment="true" applyProtection="true">
      <alignment horizontal="general" vertical="center" textRotation="0" wrapText="false" indent="0" shrinkToFit="false"/>
      <protection locked="true" hidden="false"/>
    </xf>
    <xf numFmtId="171" fontId="12" fillId="0" borderId="2" xfId="0" applyFont="true" applyBorder="true" applyAlignment="true" applyProtection="true">
      <alignment horizontal="center" vertical="center" textRotation="0" wrapText="false" indent="0" shrinkToFit="false"/>
      <protection locked="true" hidden="false"/>
    </xf>
    <xf numFmtId="171" fontId="12" fillId="0" borderId="2" xfId="0" applyFont="true" applyBorder="true" applyAlignment="true" applyProtection="true">
      <alignment horizontal="center" vertical="bottom" textRotation="0" wrapText="false" indent="0" shrinkToFit="false"/>
      <protection locked="true" hidden="false"/>
    </xf>
    <xf numFmtId="171" fontId="12" fillId="0" borderId="44" xfId="0" applyFont="true" applyBorder="true" applyAlignment="true" applyProtection="true">
      <alignment horizontal="center" vertical="bottom" textRotation="0" wrapText="false" indent="0" shrinkToFit="false"/>
      <protection locked="true" hidden="false"/>
    </xf>
    <xf numFmtId="164" fontId="5" fillId="0" borderId="3" xfId="0" applyFont="true" applyBorder="true" applyAlignment="true" applyProtection="true">
      <alignment horizontal="general" vertical="center" textRotation="0" wrapText="false" indent="0" shrinkToFit="false"/>
      <protection locked="true" hidden="false"/>
    </xf>
    <xf numFmtId="171" fontId="12" fillId="0" borderId="0" xfId="0" applyFont="true" applyBorder="false" applyAlignment="true" applyProtection="true">
      <alignment horizontal="center" vertical="center" textRotation="0" wrapText="false" indent="0" shrinkToFit="false"/>
      <protection locked="true" hidden="false"/>
    </xf>
    <xf numFmtId="171" fontId="12" fillId="0" borderId="45" xfId="0" applyFont="true" applyBorder="true" applyAlignment="true" applyProtection="true">
      <alignment horizontal="center" vertical="bottom" textRotation="0" wrapText="false" indent="0" shrinkToFit="false"/>
      <protection locked="true" hidden="false"/>
    </xf>
    <xf numFmtId="165" fontId="13" fillId="0" borderId="0" xfId="0" applyFont="true" applyBorder="false" applyAlignment="true" applyProtection="true">
      <alignment horizontal="general" vertical="bottom" textRotation="0" wrapText="false" indent="0" shrinkToFit="false"/>
      <protection locked="true" hidden="false"/>
    </xf>
    <xf numFmtId="164" fontId="21" fillId="12" borderId="9" xfId="0" applyFont="true" applyBorder="true" applyAlignment="true" applyProtection="true">
      <alignment horizontal="center" vertical="center" textRotation="0" wrapText="true" indent="0" shrinkToFit="false"/>
      <protection locked="true" hidden="false"/>
    </xf>
    <xf numFmtId="164" fontId="21" fillId="12" borderId="46" xfId="0" applyFont="true" applyBorder="true" applyAlignment="true" applyProtection="true">
      <alignment horizontal="center" vertical="center" textRotation="0" wrapText="false" indent="0" shrinkToFit="false"/>
      <protection locked="true" hidden="false"/>
    </xf>
    <xf numFmtId="165" fontId="5" fillId="0" borderId="49" xfId="0" applyFont="true" applyBorder="true" applyAlignment="true" applyProtection="true">
      <alignment horizontal="left" vertical="center" textRotation="0" wrapText="false" indent="0" shrinkToFit="false"/>
      <protection locked="true" hidden="false"/>
    </xf>
    <xf numFmtId="165" fontId="10" fillId="0" borderId="35" xfId="0" applyFont="true" applyBorder="true" applyAlignment="true" applyProtection="true">
      <alignment horizontal="left" vertical="center" textRotation="0" wrapText="false" indent="0" shrinkToFit="false"/>
      <protection locked="true" hidden="false"/>
    </xf>
    <xf numFmtId="171" fontId="29" fillId="12" borderId="9" xfId="0" applyFont="true" applyBorder="true" applyAlignment="true" applyProtection="true">
      <alignment horizontal="center" vertical="center" textRotation="0" wrapText="true" indent="0" shrinkToFit="false"/>
      <protection locked="true" hidden="false"/>
    </xf>
    <xf numFmtId="164" fontId="10" fillId="12" borderId="57" xfId="0" applyFont="true" applyBorder="true" applyAlignment="true" applyProtection="true">
      <alignment horizontal="left" vertical="center" textRotation="0" wrapText="true" indent="0" shrinkToFit="false"/>
      <protection locked="true" hidden="false"/>
    </xf>
    <xf numFmtId="164" fontId="12" fillId="12" borderId="54" xfId="0" applyFont="true" applyBorder="true" applyAlignment="true" applyProtection="true">
      <alignment horizontal="general" vertical="center" textRotation="0" wrapText="true" indent="0" shrinkToFit="false"/>
      <protection locked="true" hidden="false"/>
    </xf>
    <xf numFmtId="164" fontId="10" fillId="12" borderId="35" xfId="0" applyFont="true" applyBorder="true" applyAlignment="true" applyProtection="true">
      <alignment horizontal="center" vertical="center" textRotation="0" wrapText="false" indent="0" shrinkToFit="false"/>
      <protection locked="true" hidden="false"/>
    </xf>
    <xf numFmtId="164" fontId="13" fillId="0" borderId="4" xfId="0" applyFont="true" applyBorder="true" applyAlignment="true" applyProtection="true">
      <alignment horizontal="center" vertical="center" textRotation="0" wrapText="false" indent="0" shrinkToFit="false"/>
      <protection locked="true" hidden="false"/>
    </xf>
    <xf numFmtId="164" fontId="13" fillId="0" borderId="58" xfId="0" applyFont="true" applyBorder="true" applyAlignment="true" applyProtection="true">
      <alignment horizontal="center" vertical="center" textRotation="0" wrapText="false" indent="0" shrinkToFit="false"/>
      <protection locked="true" hidden="false"/>
    </xf>
    <xf numFmtId="171" fontId="13" fillId="0" borderId="19" xfId="0" applyFont="true" applyBorder="true" applyAlignment="true" applyProtection="true">
      <alignment horizontal="center" vertical="center" textRotation="0" wrapText="true" indent="0" shrinkToFit="false"/>
      <protection locked="true" hidden="false"/>
    </xf>
    <xf numFmtId="164" fontId="12" fillId="0" borderId="48" xfId="0" applyFont="true" applyBorder="true" applyAlignment="true" applyProtection="true">
      <alignment horizontal="center" vertical="center" textRotation="0" wrapText="false" indent="0" shrinkToFit="false"/>
      <protection locked="true" hidden="false"/>
    </xf>
    <xf numFmtId="171" fontId="12" fillId="12" borderId="4" xfId="0" applyFont="true" applyBorder="true" applyAlignment="true" applyProtection="true">
      <alignment horizontal="center" vertical="center" textRotation="0" wrapText="false" indent="0" shrinkToFit="false"/>
      <protection locked="true" hidden="false"/>
    </xf>
    <xf numFmtId="171" fontId="12" fillId="0" borderId="4" xfId="0" applyFont="true" applyBorder="true" applyAlignment="true" applyProtection="true">
      <alignment horizontal="center" vertical="center" textRotation="0" wrapText="false" indent="0" shrinkToFit="false"/>
      <protection locked="true" hidden="false"/>
    </xf>
    <xf numFmtId="171" fontId="12" fillId="0" borderId="19" xfId="0" applyFont="true" applyBorder="true" applyAlignment="true" applyProtection="true">
      <alignment horizontal="center" vertical="center" textRotation="0" wrapText="false" indent="0" shrinkToFit="false"/>
      <protection locked="true" hidden="false"/>
    </xf>
    <xf numFmtId="173" fontId="12" fillId="0" borderId="4" xfId="0" applyFont="true" applyBorder="true" applyAlignment="true" applyProtection="true">
      <alignment horizontal="center" vertical="center" textRotation="0" wrapText="false" indent="0" shrinkToFit="false"/>
      <protection locked="true" hidden="false"/>
    </xf>
    <xf numFmtId="164" fontId="12" fillId="0" borderId="43" xfId="0" applyFont="true" applyBorder="true" applyAlignment="true" applyProtection="true">
      <alignment horizontal="general" vertical="center" textRotation="0" wrapText="true" indent="0" shrinkToFit="false"/>
      <protection locked="true" hidden="false"/>
    </xf>
    <xf numFmtId="173" fontId="12" fillId="0" borderId="43" xfId="0" applyFont="true" applyBorder="true" applyAlignment="true" applyProtection="true">
      <alignment horizontal="center" vertical="center" textRotation="0" wrapText="false" indent="0" shrinkToFit="false"/>
      <protection locked="true" hidden="false"/>
    </xf>
    <xf numFmtId="171" fontId="12" fillId="12" borderId="43" xfId="0" applyFont="true" applyBorder="true" applyAlignment="true" applyProtection="true">
      <alignment horizontal="center" vertical="center" textRotation="0" wrapText="false" indent="0" shrinkToFit="false"/>
      <protection locked="true" hidden="false"/>
    </xf>
    <xf numFmtId="171" fontId="12" fillId="0" borderId="43" xfId="0" applyFont="true" applyBorder="true" applyAlignment="true" applyProtection="true">
      <alignment horizontal="center" vertical="center" textRotation="0" wrapText="false" indent="0" shrinkToFit="false"/>
      <protection locked="true" hidden="false"/>
    </xf>
    <xf numFmtId="171" fontId="12" fillId="0" borderId="59" xfId="0" applyFont="true" applyBorder="true" applyAlignment="true" applyProtection="true">
      <alignment horizontal="center" vertical="center" textRotation="0" wrapText="false" indent="0" shrinkToFit="false"/>
      <protection locked="true" hidden="false"/>
    </xf>
    <xf numFmtId="164" fontId="10" fillId="12" borderId="4" xfId="0" applyFont="true" applyBorder="true" applyAlignment="true" applyProtection="true">
      <alignment horizontal="left" vertical="center" textRotation="0" wrapText="false" indent="0" shrinkToFit="false"/>
      <protection locked="true" hidden="false"/>
    </xf>
    <xf numFmtId="171" fontId="10" fillId="12" borderId="4" xfId="0" applyFont="true" applyBorder="true" applyAlignment="true" applyProtection="true">
      <alignment horizontal="center" vertical="center" textRotation="0" wrapText="false" indent="0" shrinkToFit="false"/>
      <protection locked="true" hidden="false"/>
    </xf>
    <xf numFmtId="171" fontId="10" fillId="12" borderId="19" xfId="0" applyFont="true" applyBorder="true" applyAlignment="true" applyProtection="true">
      <alignment horizontal="center" vertical="center" textRotation="0" wrapText="false" indent="0" shrinkToFit="false"/>
      <protection locked="true" hidden="false"/>
    </xf>
    <xf numFmtId="164" fontId="12" fillId="0" borderId="55" xfId="0" applyFont="true" applyBorder="true" applyAlignment="true" applyProtection="true">
      <alignment horizontal="left" vertical="center" textRotation="0" wrapText="false" indent="0" shrinkToFit="false"/>
      <protection locked="true" hidden="false"/>
    </xf>
    <xf numFmtId="173" fontId="12" fillId="0" borderId="12" xfId="0" applyFont="true" applyBorder="true" applyAlignment="true" applyProtection="true">
      <alignment horizontal="center" vertical="center" textRotation="0" wrapText="false" indent="0" shrinkToFit="false"/>
      <protection locked="true" hidden="false"/>
    </xf>
    <xf numFmtId="164" fontId="10" fillId="12" borderId="60" xfId="0" applyFont="true" applyBorder="true" applyAlignment="true" applyProtection="true">
      <alignment horizontal="left" vertical="center" textRotation="0" wrapText="false" indent="0" shrinkToFit="false"/>
      <protection locked="true" hidden="false"/>
    </xf>
    <xf numFmtId="171" fontId="10" fillId="12" borderId="7" xfId="0" applyFont="true" applyBorder="true" applyAlignment="true" applyProtection="true">
      <alignment horizontal="center" vertical="center" textRotation="0" wrapText="false" indent="0" shrinkToFit="false"/>
      <protection locked="true" hidden="false"/>
    </xf>
    <xf numFmtId="171" fontId="10" fillId="12" borderId="8" xfId="0" applyFont="true" applyBorder="true" applyAlignment="true" applyProtection="true">
      <alignment horizontal="center" vertical="center" textRotation="0" wrapText="false" indent="0" shrinkToFit="false"/>
      <protection locked="true" hidden="false"/>
    </xf>
    <xf numFmtId="164" fontId="10" fillId="12" borderId="15"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false" indent="0" shrinkToFit="false"/>
      <protection locked="true" hidden="false"/>
    </xf>
    <xf numFmtId="164" fontId="12" fillId="0" borderId="17" xfId="0" applyFont="true" applyBorder="true" applyAlignment="true" applyProtection="true">
      <alignment horizontal="left" vertical="center" textRotation="0" wrapText="false" indent="0" shrinkToFit="false"/>
      <protection locked="true" hidden="false"/>
    </xf>
    <xf numFmtId="164" fontId="12" fillId="0" borderId="17" xfId="0" applyFont="true" applyBorder="true" applyAlignment="true" applyProtection="true">
      <alignment horizontal="left" vertical="center" textRotation="0" wrapText="true" indent="0" shrinkToFit="false"/>
      <protection locked="true" hidden="false"/>
    </xf>
    <xf numFmtId="167" fontId="12" fillId="0" borderId="4" xfId="15" applyFont="true" applyBorder="true" applyAlignment="true" applyProtection="true">
      <alignment horizontal="center" vertical="center" textRotation="0" wrapText="false" indent="0" shrinkToFit="false"/>
      <protection locked="true" hidden="false"/>
    </xf>
    <xf numFmtId="173" fontId="12" fillId="0" borderId="4" xfId="19"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left" vertical="center" textRotation="0" wrapText="false" indent="0" shrinkToFit="false"/>
      <protection locked="true" hidden="false"/>
    </xf>
    <xf numFmtId="164" fontId="12" fillId="0" borderId="48" xfId="0" applyFont="true" applyBorder="true" applyAlignment="true" applyProtection="true">
      <alignment horizontal="left" vertical="center" textRotation="0" wrapText="false" indent="0" shrinkToFit="false"/>
      <protection locked="true" hidden="false"/>
    </xf>
    <xf numFmtId="167" fontId="12" fillId="0" borderId="43" xfId="15" applyFont="true" applyBorder="true" applyAlignment="true" applyProtection="true">
      <alignment horizontal="center" vertical="center" textRotation="0" wrapText="false" indent="0" shrinkToFit="false"/>
      <protection locked="true" hidden="false"/>
    </xf>
    <xf numFmtId="167" fontId="12" fillId="0" borderId="43" xfId="0" applyFont="true" applyBorder="true" applyAlignment="true" applyProtection="true">
      <alignment horizontal="center" vertical="center" textRotation="0" wrapText="false" indent="0" shrinkToFit="false"/>
      <protection locked="true" hidden="false"/>
    </xf>
    <xf numFmtId="164" fontId="10" fillId="12" borderId="5" xfId="0" applyFont="true" applyBorder="true" applyAlignment="true" applyProtection="true">
      <alignment horizontal="left" vertical="center" textRotation="0" wrapText="false" indent="0" shrinkToFit="false"/>
      <protection locked="true" hidden="false"/>
    </xf>
    <xf numFmtId="171" fontId="12" fillId="0" borderId="47" xfId="0" applyFont="true" applyBorder="true" applyAlignment="true" applyProtection="true">
      <alignment horizontal="center" vertical="center" textRotation="0" wrapText="true" indent="0" shrinkToFit="false"/>
      <protection locked="true" hidden="false"/>
    </xf>
    <xf numFmtId="164" fontId="12" fillId="0" borderId="37" xfId="0" applyFont="true" applyBorder="true" applyAlignment="true" applyProtection="true">
      <alignment horizontal="general" vertical="center" textRotation="0" wrapText="false" indent="0" shrinkToFit="false"/>
      <protection locked="true" hidden="false"/>
    </xf>
    <xf numFmtId="164" fontId="12" fillId="0" borderId="52" xfId="0" applyFont="true" applyBorder="true" applyAlignment="true" applyProtection="true">
      <alignment horizontal="general" vertical="center" textRotation="0" wrapText="false" indent="0" shrinkToFit="false"/>
      <protection locked="true" hidden="false"/>
    </xf>
    <xf numFmtId="171" fontId="12" fillId="0" borderId="52" xfId="0" applyFont="true" applyBorder="true" applyAlignment="true" applyProtection="true">
      <alignment horizontal="general" vertical="center" textRotation="0" wrapText="false" indent="0" shrinkToFit="false"/>
      <protection locked="true" hidden="false"/>
    </xf>
    <xf numFmtId="164" fontId="12" fillId="0" borderId="17" xfId="0" applyFont="true" applyBorder="true" applyAlignment="true" applyProtection="true">
      <alignment horizontal="general" vertical="center" textRotation="0" wrapText="false" indent="0" shrinkToFit="false"/>
      <protection locked="true" hidden="false"/>
    </xf>
    <xf numFmtId="164" fontId="12" fillId="0" borderId="50" xfId="0" applyFont="true" applyBorder="true" applyAlignment="true" applyProtection="true">
      <alignment horizontal="general" vertical="center" textRotation="0" wrapText="false" indent="0" shrinkToFit="false"/>
      <protection locked="true" hidden="false"/>
    </xf>
    <xf numFmtId="164" fontId="12" fillId="0" borderId="31" xfId="0" applyFont="true" applyBorder="true" applyAlignment="true" applyProtection="true">
      <alignment horizontal="general" vertical="center" textRotation="0" wrapText="false" indent="0" shrinkToFit="false"/>
      <protection locked="true" hidden="false"/>
    </xf>
    <xf numFmtId="171" fontId="12" fillId="0" borderId="31" xfId="0" applyFont="true" applyBorder="true" applyAlignment="true" applyProtection="true">
      <alignment horizontal="general" vertical="center" textRotation="0" wrapText="false" indent="0" shrinkToFit="false"/>
      <protection locked="true" hidden="false"/>
    </xf>
    <xf numFmtId="164" fontId="10" fillId="12" borderId="60" xfId="0" applyFont="true" applyBorder="true" applyAlignment="true" applyProtection="true">
      <alignment horizontal="general" vertical="center" textRotation="0" wrapText="false" indent="0" shrinkToFit="false"/>
      <protection locked="true" hidden="false"/>
    </xf>
    <xf numFmtId="164" fontId="10" fillId="12" borderId="61" xfId="0" applyFont="true" applyBorder="true" applyAlignment="true" applyProtection="true">
      <alignment horizontal="general" vertical="center" textRotation="0" wrapText="false" indent="0" shrinkToFit="false"/>
      <protection locked="true" hidden="false"/>
    </xf>
    <xf numFmtId="173" fontId="10" fillId="12" borderId="7" xfId="0" applyFont="true" applyBorder="true" applyAlignment="true" applyProtection="true">
      <alignment horizontal="center" vertical="center" textRotation="0" wrapText="false" indent="0" shrinkToFit="false"/>
      <protection locked="true" hidden="false"/>
    </xf>
    <xf numFmtId="171" fontId="10" fillId="12" borderId="7" xfId="0" applyFont="true" applyBorder="true" applyAlignment="true" applyProtection="true">
      <alignment horizontal="general" vertical="center" textRotation="0" wrapText="false" indent="0" shrinkToFit="false"/>
      <protection locked="true" hidden="false"/>
    </xf>
    <xf numFmtId="164" fontId="10" fillId="12" borderId="53" xfId="0" applyFont="true" applyBorder="true" applyAlignment="true" applyProtection="true">
      <alignment horizontal="left" vertical="center" textRotation="0" wrapText="false" indent="0" shrinkToFit="false"/>
      <protection locked="true" hidden="false"/>
    </xf>
    <xf numFmtId="171" fontId="10" fillId="12" borderId="62" xfId="0" applyFont="true" applyBorder="true" applyAlignment="true" applyProtection="true">
      <alignment horizontal="center" vertical="center" textRotation="0" wrapText="false" indent="0" shrinkToFit="false"/>
      <protection locked="true" hidden="false"/>
    </xf>
    <xf numFmtId="171" fontId="10" fillId="12" borderId="29" xfId="0" applyFont="true" applyBorder="true" applyAlignment="true" applyProtection="true">
      <alignment horizontal="center" vertical="center" textRotation="0" wrapText="false" indent="0" shrinkToFit="false"/>
      <protection locked="true" hidden="false"/>
    </xf>
    <xf numFmtId="164" fontId="10" fillId="12" borderId="36" xfId="0" applyFont="true" applyBorder="true" applyAlignment="true" applyProtection="true">
      <alignment horizontal="center" vertical="center" textRotation="0" wrapText="false" indent="0" shrinkToFit="false"/>
      <protection locked="true" hidden="false"/>
    </xf>
    <xf numFmtId="164" fontId="10" fillId="12" borderId="48" xfId="0" applyFont="true" applyBorder="true" applyAlignment="true" applyProtection="true">
      <alignment horizontal="center" vertical="center" textRotation="0" wrapText="false" indent="0" shrinkToFit="false"/>
      <protection locked="true" hidden="false"/>
    </xf>
    <xf numFmtId="173" fontId="10" fillId="12" borderId="43" xfId="0" applyFont="true" applyBorder="true" applyAlignment="true" applyProtection="true">
      <alignment horizontal="center" vertical="center" textRotation="0" wrapText="false" indent="0" shrinkToFit="false"/>
      <protection locked="true" hidden="false"/>
    </xf>
    <xf numFmtId="171" fontId="10" fillId="12" borderId="43" xfId="0" applyFont="true" applyBorder="true" applyAlignment="true" applyProtection="true">
      <alignment horizontal="center" vertical="center" textRotation="0" wrapText="false" indent="0" shrinkToFit="false"/>
      <protection locked="true" hidden="false"/>
    </xf>
    <xf numFmtId="171" fontId="10" fillId="12" borderId="55" xfId="0" applyFont="true" applyBorder="true" applyAlignment="true" applyProtection="true">
      <alignment horizontal="center" vertical="center" textRotation="0" wrapText="false" indent="0" shrinkToFit="false"/>
      <protection locked="true" hidden="false"/>
    </xf>
    <xf numFmtId="171" fontId="10" fillId="12" borderId="63" xfId="0" applyFont="true" applyBorder="true" applyAlignment="true" applyProtection="true">
      <alignment horizontal="center" vertical="center" textRotation="0" wrapText="false" indent="0" shrinkToFit="false"/>
      <protection locked="true" hidden="false"/>
    </xf>
    <xf numFmtId="165" fontId="10" fillId="12" borderId="17" xfId="0" applyFont="true" applyBorder="true" applyAlignment="true" applyProtection="true">
      <alignment horizontal="general" vertical="center" textRotation="0" wrapText="false" indent="0" shrinkToFit="false"/>
      <protection locked="true" hidden="false"/>
    </xf>
    <xf numFmtId="171" fontId="21" fillId="12" borderId="4" xfId="0" applyFont="true" applyBorder="true" applyAlignment="true" applyProtection="true">
      <alignment horizontal="center" vertical="center" textRotation="0" wrapText="false" indent="0" shrinkToFit="false"/>
      <protection locked="true" hidden="false"/>
    </xf>
    <xf numFmtId="171" fontId="21" fillId="12" borderId="19" xfId="0" applyFont="true" applyBorder="true" applyAlignment="true" applyProtection="true">
      <alignment horizontal="center" vertical="center" textRotation="0" wrapText="false" indent="0" shrinkToFit="false"/>
      <protection locked="true" hidden="false"/>
    </xf>
    <xf numFmtId="168" fontId="12" fillId="0" borderId="0" xfId="0" applyFont="true" applyBorder="false" applyAlignment="true" applyProtection="true">
      <alignment horizontal="general" vertical="bottom" textRotation="0" wrapText="false" indent="0" shrinkToFit="false"/>
      <protection locked="true" hidden="false"/>
    </xf>
    <xf numFmtId="164" fontId="10" fillId="12" borderId="22" xfId="0" applyFont="true" applyBorder="true" applyAlignment="true" applyProtection="true">
      <alignment horizontal="general" vertical="center" textRotation="0" wrapText="false" indent="0" shrinkToFit="false"/>
      <protection locked="true" hidden="false"/>
    </xf>
    <xf numFmtId="167" fontId="21" fillId="12" borderId="23" xfId="0" applyFont="true" applyBorder="true" applyAlignment="true" applyProtection="true">
      <alignment horizontal="center" vertical="center" textRotation="0" wrapText="false" indent="0" shrinkToFit="false"/>
      <protection locked="true" hidden="false"/>
    </xf>
    <xf numFmtId="171" fontId="10" fillId="15" borderId="23" xfId="0" applyFont="true" applyBorder="true" applyAlignment="true" applyProtection="true">
      <alignment horizontal="center" vertical="center" textRotation="0" wrapText="true" indent="0" shrinkToFit="false"/>
      <protection locked="true" hidden="false"/>
    </xf>
    <xf numFmtId="170" fontId="10" fillId="15" borderId="25" xfId="17" applyFont="true" applyBorder="true" applyAlignment="true" applyProtection="true">
      <alignment horizontal="center" vertical="center" textRotation="0" wrapText="false" indent="0" shrinkToFit="false"/>
      <protection locked="true" hidden="false"/>
    </xf>
    <xf numFmtId="165" fontId="5" fillId="0" borderId="2"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general" vertical="bottom" textRotation="0" wrapText="false" indent="0" shrinkToFit="false"/>
      <protection locked="true" hidden="false"/>
    </xf>
    <xf numFmtId="164" fontId="4" fillId="0" borderId="44" xfId="0" applyFont="true" applyBorder="true" applyAlignment="true" applyProtection="true">
      <alignment horizontal="general" vertical="bottom" textRotation="0" wrapText="fals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4" fontId="4" fillId="0" borderId="45" xfId="0" applyFont="true" applyBorder="true" applyAlignment="true" applyProtection="true">
      <alignment horizontal="general" vertical="bottom" textRotation="0" wrapText="false" indent="0" shrinkToFit="false"/>
      <protection locked="true" hidden="false"/>
    </xf>
    <xf numFmtId="164" fontId="23" fillId="19" borderId="20" xfId="0" applyFont="true" applyBorder="true" applyAlignment="true" applyProtection="true">
      <alignment horizontal="center" vertical="center" textRotation="0" wrapText="true" indent="0" shrinkToFit="false"/>
      <protection locked="true" hidden="false"/>
    </xf>
    <xf numFmtId="164" fontId="43" fillId="0" borderId="0" xfId="0" applyFont="true" applyBorder="false" applyAlignment="true" applyProtection="true">
      <alignment horizontal="general" vertical="center" textRotation="0" wrapText="false" indent="0" shrinkToFit="false"/>
      <protection locked="true" hidden="false"/>
    </xf>
    <xf numFmtId="165" fontId="8" fillId="0" borderId="20" xfId="0" applyFont="true" applyBorder="true" applyAlignment="true" applyProtection="true">
      <alignment horizontal="center" vertical="center" textRotation="0" wrapText="false" indent="0" shrinkToFit="false"/>
      <protection locked="true" hidden="false"/>
    </xf>
    <xf numFmtId="165" fontId="12" fillId="8" borderId="56" xfId="0" applyFont="true" applyBorder="true" applyAlignment="true" applyProtection="true">
      <alignment horizontal="center" vertical="center" textRotation="0" wrapText="false" indent="0" shrinkToFit="false"/>
      <protection locked="true" hidden="false"/>
    </xf>
    <xf numFmtId="164" fontId="9" fillId="12" borderId="60" xfId="0" applyFont="true" applyBorder="true" applyAlignment="true" applyProtection="true">
      <alignment horizontal="general" vertical="center" textRotation="0" wrapText="false" indent="0" shrinkToFit="false"/>
      <protection locked="true" hidden="false"/>
    </xf>
    <xf numFmtId="164" fontId="44" fillId="12" borderId="61" xfId="0" applyFont="true" applyBorder="true" applyAlignment="true" applyProtection="true">
      <alignment horizontal="general" vertical="center" textRotation="0" wrapText="false" indent="0" shrinkToFit="false"/>
      <protection locked="true" hidden="false"/>
    </xf>
    <xf numFmtId="164" fontId="23" fillId="12" borderId="61" xfId="0" applyFont="true" applyBorder="true" applyAlignment="true" applyProtection="true">
      <alignment horizontal="general" vertical="center" textRotation="0" wrapText="false" indent="0" shrinkToFit="false"/>
      <protection locked="true" hidden="false"/>
    </xf>
    <xf numFmtId="164" fontId="21" fillId="12" borderId="61" xfId="0" applyFont="true" applyBorder="true" applyAlignment="true" applyProtection="true">
      <alignment horizontal="general" vertical="center" textRotation="0" wrapText="false" indent="0" shrinkToFit="false"/>
      <protection locked="true" hidden="false"/>
    </xf>
    <xf numFmtId="164" fontId="9" fillId="12" borderId="61" xfId="0" applyFont="true" applyBorder="true" applyAlignment="true" applyProtection="true">
      <alignment horizontal="general" vertical="center" textRotation="0" wrapText="false" indent="0" shrinkToFit="false"/>
      <protection locked="true" hidden="false"/>
    </xf>
    <xf numFmtId="164" fontId="21" fillId="12" borderId="64" xfId="0" applyFont="true" applyBorder="true" applyAlignment="true" applyProtection="true">
      <alignment horizontal="center" vertical="center" textRotation="0" wrapText="true" indent="0" shrinkToFit="false"/>
      <protection locked="true" hidden="false"/>
    </xf>
    <xf numFmtId="164" fontId="10" fillId="12" borderId="49" xfId="0" applyFont="true" applyBorder="true" applyAlignment="true" applyProtection="true">
      <alignment horizontal="center" vertical="center" textRotation="90" wrapText="false" indent="0" shrinkToFit="false"/>
      <protection locked="true" hidden="false"/>
    </xf>
    <xf numFmtId="164" fontId="8" fillId="12" borderId="46" xfId="0" applyFont="true" applyBorder="true" applyAlignment="true" applyProtection="true">
      <alignment horizontal="center" vertical="center" textRotation="0" wrapText="true" indent="0" shrinkToFit="false"/>
      <protection locked="true" hidden="false"/>
    </xf>
    <xf numFmtId="164" fontId="21" fillId="12" borderId="53" xfId="0" applyFont="true" applyBorder="true" applyAlignment="true" applyProtection="true">
      <alignment horizontal="center" vertical="center" textRotation="0" wrapText="false" indent="0" shrinkToFit="false"/>
      <protection locked="true" hidden="false"/>
    </xf>
    <xf numFmtId="164" fontId="21" fillId="12" borderId="49" xfId="0" applyFont="true" applyBorder="true" applyAlignment="true" applyProtection="true">
      <alignment horizontal="center" vertical="center" textRotation="0" wrapText="true" indent="0" shrinkToFit="false"/>
      <protection locked="true" hidden="false"/>
    </xf>
    <xf numFmtId="164" fontId="8" fillId="12" borderId="65" xfId="0" applyFont="true" applyBorder="true" applyAlignment="true" applyProtection="true">
      <alignment horizontal="center" vertical="center" textRotation="0" wrapText="true" indent="0" shrinkToFit="false"/>
      <protection locked="true" hidden="false"/>
    </xf>
    <xf numFmtId="164" fontId="8" fillId="12" borderId="9" xfId="0" applyFont="true" applyBorder="true" applyAlignment="true" applyProtection="true">
      <alignment horizontal="center" vertical="center" textRotation="0" wrapText="true" indent="0" shrinkToFit="false"/>
      <protection locked="true" hidden="false"/>
    </xf>
    <xf numFmtId="164" fontId="8" fillId="12" borderId="36" xfId="0" applyFont="true" applyBorder="true" applyAlignment="true" applyProtection="true">
      <alignment horizontal="center" vertical="center" textRotation="0" wrapText="true" indent="0" shrinkToFit="false"/>
      <protection locked="true" hidden="false"/>
    </xf>
    <xf numFmtId="164" fontId="8" fillId="12" borderId="2" xfId="0" applyFont="true" applyBorder="true" applyAlignment="true" applyProtection="true">
      <alignment horizontal="center" vertical="center" textRotation="0" wrapText="true" indent="0" shrinkToFit="false"/>
      <protection locked="true" hidden="false"/>
    </xf>
    <xf numFmtId="164" fontId="10" fillId="12" borderId="36" xfId="0" applyFont="true" applyBorder="true" applyAlignment="true" applyProtection="true">
      <alignment horizontal="center" vertical="center" textRotation="0" wrapText="true" indent="0" shrinkToFit="false"/>
      <protection locked="true" hidden="false"/>
    </xf>
    <xf numFmtId="164" fontId="12" fillId="12" borderId="37" xfId="0" applyFont="true" applyBorder="true" applyAlignment="true" applyProtection="true">
      <alignment horizontal="center" vertical="center" textRotation="0" wrapText="true" indent="0" shrinkToFit="false"/>
      <protection locked="true" hidden="false"/>
    </xf>
    <xf numFmtId="164" fontId="20" fillId="12" borderId="66" xfId="0" applyFont="true" applyBorder="true" applyAlignment="true" applyProtection="true">
      <alignment horizontal="center" vertical="center" textRotation="0" wrapText="true" indent="0" shrinkToFit="false"/>
      <protection locked="true" hidden="false"/>
    </xf>
    <xf numFmtId="164" fontId="12" fillId="12" borderId="34" xfId="0" applyFont="true" applyBorder="true" applyAlignment="true" applyProtection="true">
      <alignment horizontal="center" vertical="center" textRotation="0" wrapText="true" indent="0" shrinkToFit="false"/>
      <protection locked="true" hidden="false"/>
    </xf>
    <xf numFmtId="164" fontId="12" fillId="12" borderId="41" xfId="0" applyFont="true" applyBorder="true" applyAlignment="true" applyProtection="true">
      <alignment horizontal="center" vertical="center" textRotation="0" wrapText="true" indent="0" shrinkToFit="false"/>
      <protection locked="true" hidden="false"/>
    </xf>
    <xf numFmtId="164" fontId="12" fillId="12" borderId="65" xfId="0" applyFont="true" applyBorder="true" applyAlignment="true" applyProtection="true">
      <alignment horizontal="center" vertical="center" textRotation="0" wrapText="true" indent="0" shrinkToFit="false"/>
      <protection locked="true" hidden="false"/>
    </xf>
    <xf numFmtId="164" fontId="12" fillId="12" borderId="35" xfId="0" applyFont="true" applyBorder="true" applyAlignment="true" applyProtection="true">
      <alignment horizontal="center" vertical="center" textRotation="0" wrapText="true" indent="0" shrinkToFit="false"/>
      <protection locked="true" hidden="false"/>
    </xf>
    <xf numFmtId="164" fontId="12" fillId="12" borderId="60" xfId="0" applyFont="true" applyBorder="true" applyAlignment="true" applyProtection="true">
      <alignment horizontal="center" vertical="center" textRotation="0" wrapText="true" indent="0" shrinkToFit="false"/>
      <protection locked="true" hidden="false"/>
    </xf>
    <xf numFmtId="164" fontId="12" fillId="12" borderId="22" xfId="0" applyFont="true" applyBorder="true" applyAlignment="true" applyProtection="true">
      <alignment horizontal="center" vertical="center" textRotation="0" wrapText="true" indent="0" shrinkToFit="false"/>
      <protection locked="true" hidden="false"/>
    </xf>
    <xf numFmtId="164" fontId="13" fillId="12" borderId="25" xfId="0" applyFont="true" applyBorder="true" applyAlignment="true" applyProtection="true">
      <alignment horizontal="center" vertical="center" textRotation="0" wrapText="true" indent="0" shrinkToFit="false"/>
      <protection locked="true" hidden="false"/>
    </xf>
    <xf numFmtId="164" fontId="12" fillId="12" borderId="22" xfId="0" applyFont="true" applyBorder="true" applyAlignment="true" applyProtection="true">
      <alignment horizontal="center" vertical="center" textRotation="0" wrapText="false" indent="0" shrinkToFit="false"/>
      <protection locked="true" hidden="false"/>
    </xf>
    <xf numFmtId="164" fontId="12" fillId="12" borderId="23" xfId="0" applyFont="true" applyBorder="true" applyAlignment="true" applyProtection="true">
      <alignment horizontal="center" vertical="center" textRotation="0" wrapText="true" indent="0" shrinkToFit="false"/>
      <protection locked="true" hidden="false"/>
    </xf>
    <xf numFmtId="164" fontId="12" fillId="12" borderId="24" xfId="0" applyFont="true" applyBorder="true" applyAlignment="true" applyProtection="true">
      <alignment horizontal="center" vertical="center" textRotation="0" wrapText="true" indent="0" shrinkToFit="false"/>
      <protection locked="true" hidden="false"/>
    </xf>
    <xf numFmtId="164" fontId="12" fillId="12" borderId="43" xfId="0" applyFont="true" applyBorder="true" applyAlignment="true" applyProtection="true">
      <alignment horizontal="center" vertical="center" textRotation="0" wrapText="true" indent="0" shrinkToFit="false"/>
      <protection locked="true" hidden="false"/>
    </xf>
    <xf numFmtId="164" fontId="12" fillId="12" borderId="59" xfId="0" applyFont="true" applyBorder="true" applyAlignment="true" applyProtection="true">
      <alignment horizontal="center" vertical="center" textRotation="0" wrapText="true" indent="0" shrinkToFit="false"/>
      <protection locked="true" hidden="false"/>
    </xf>
    <xf numFmtId="164" fontId="12" fillId="12" borderId="67" xfId="0" applyFont="true" applyBorder="true" applyAlignment="true" applyProtection="true">
      <alignment horizontal="center" vertical="center" textRotation="0" wrapText="true" indent="0" shrinkToFit="false"/>
      <protection locked="true" hidden="false"/>
    </xf>
    <xf numFmtId="164" fontId="12" fillId="12" borderId="58" xfId="0" applyFont="true" applyBorder="true" applyAlignment="true" applyProtection="true">
      <alignment horizontal="center" vertical="center" textRotation="0" wrapText="true" indent="0" shrinkToFit="false"/>
      <protection locked="true" hidden="false"/>
    </xf>
    <xf numFmtId="164" fontId="13" fillId="12" borderId="24" xfId="0" applyFont="true" applyBorder="true" applyAlignment="true" applyProtection="true">
      <alignment horizontal="center" vertical="center" textRotation="0" wrapText="true" indent="0" shrinkToFit="false"/>
      <protection locked="true" hidden="false"/>
    </xf>
    <xf numFmtId="164" fontId="12" fillId="12" borderId="25" xfId="0" applyFont="true" applyBorder="true" applyAlignment="true" applyProtection="true">
      <alignment horizontal="center" vertical="center" textRotation="0" wrapText="true" indent="0" shrinkToFit="false"/>
      <protection locked="true" hidden="false"/>
    </xf>
    <xf numFmtId="165" fontId="10" fillId="0" borderId="5" xfId="0" applyFont="true" applyBorder="true" applyAlignment="true" applyProtection="true">
      <alignment horizontal="center" vertical="center" textRotation="91" wrapText="false" indent="0" shrinkToFit="false"/>
      <protection locked="true" hidden="false"/>
    </xf>
    <xf numFmtId="165" fontId="4" fillId="0" borderId="12" xfId="0" applyFont="true" applyBorder="true" applyAlignment="true" applyProtection="true">
      <alignment horizontal="general" vertical="center" textRotation="0" wrapText="false" indent="0" shrinkToFit="false"/>
      <protection locked="true" hidden="false"/>
    </xf>
    <xf numFmtId="166" fontId="4" fillId="0" borderId="12" xfId="0" applyFont="true" applyBorder="true" applyAlignment="true" applyProtection="true">
      <alignment horizontal="center" vertical="center" textRotation="0" wrapText="false" indent="0" shrinkToFit="false"/>
      <protection locked="true" hidden="false"/>
    </xf>
    <xf numFmtId="166" fontId="4" fillId="0" borderId="11" xfId="0" applyFont="true" applyBorder="true" applyAlignment="true" applyProtection="true">
      <alignment horizontal="center" vertical="center" textRotation="0" wrapText="false" indent="0" shrinkToFit="false"/>
      <protection locked="true" hidden="false"/>
    </xf>
    <xf numFmtId="171" fontId="4" fillId="0" borderId="12" xfId="0" applyFont="true" applyBorder="true" applyAlignment="true" applyProtection="true">
      <alignment horizontal="center" vertical="center" textRotation="0" wrapText="false" indent="0" shrinkToFit="false"/>
      <protection locked="true" hidden="false"/>
    </xf>
    <xf numFmtId="171" fontId="4" fillId="0" borderId="13" xfId="0" applyFont="true" applyBorder="true" applyAlignment="true" applyProtection="true">
      <alignment horizontal="center" vertical="center" textRotation="0" wrapText="false" indent="0" shrinkToFit="false"/>
      <protection locked="true" hidden="false"/>
    </xf>
    <xf numFmtId="171" fontId="4" fillId="0" borderId="32" xfId="0" applyFont="true" applyBorder="true" applyAlignment="true" applyProtection="true">
      <alignment horizontal="center" vertical="center" textRotation="0" wrapText="false" indent="0" shrinkToFit="false"/>
      <protection locked="true" hidden="false"/>
    </xf>
    <xf numFmtId="168" fontId="8" fillId="0" borderId="33" xfId="15" applyFont="true" applyBorder="true" applyAlignment="true" applyProtection="true">
      <alignment horizontal="center" vertical="center" textRotation="0" wrapText="false" indent="0" shrinkToFit="false"/>
      <protection locked="true" hidden="false"/>
    </xf>
    <xf numFmtId="168" fontId="8" fillId="0" borderId="34" xfId="15" applyFont="true" applyBorder="true" applyAlignment="true" applyProtection="true">
      <alignment horizontal="center" vertical="center" textRotation="0" wrapText="false" indent="0" shrinkToFit="false"/>
      <protection locked="true" hidden="false"/>
    </xf>
    <xf numFmtId="171" fontId="4" fillId="0" borderId="42" xfId="0" applyFont="true" applyBorder="true" applyAlignment="true" applyProtection="true">
      <alignment horizontal="center" vertical="center" textRotation="0" wrapText="false" indent="0" shrinkToFit="false"/>
      <protection locked="true" hidden="false"/>
    </xf>
    <xf numFmtId="171" fontId="4" fillId="0" borderId="16" xfId="0" applyFont="true" applyBorder="true" applyAlignment="true" applyProtection="true">
      <alignment horizontal="center" vertical="center" textRotation="0" wrapText="false" indent="0" shrinkToFit="false"/>
      <protection locked="true" hidden="false"/>
    </xf>
    <xf numFmtId="168" fontId="8" fillId="0" borderId="12" xfId="15" applyFont="true" applyBorder="true" applyAlignment="true" applyProtection="true">
      <alignment horizontal="center" vertical="center" textRotation="0" wrapText="false" indent="0" shrinkToFit="false"/>
      <protection locked="true" hidden="false"/>
    </xf>
    <xf numFmtId="168" fontId="8" fillId="0" borderId="13" xfId="15" applyFont="true" applyBorder="true" applyAlignment="true" applyProtection="true">
      <alignment horizontal="center" vertical="center" textRotation="0" wrapText="false" indent="0" shrinkToFit="false"/>
      <protection locked="true" hidden="false"/>
    </xf>
    <xf numFmtId="168" fontId="4" fillId="0" borderId="11" xfId="15" applyFont="true" applyBorder="true" applyAlignment="true" applyProtection="true">
      <alignment horizontal="center" vertical="center" textRotation="0" wrapText="false" indent="0" shrinkToFit="false"/>
      <protection locked="true" hidden="false"/>
    </xf>
    <xf numFmtId="168" fontId="4" fillId="0" borderId="12" xfId="15" applyFont="true" applyBorder="true" applyAlignment="true" applyProtection="true">
      <alignment horizontal="center" vertical="center" textRotation="0" wrapText="false" indent="0" shrinkToFit="false"/>
      <protection locked="true" hidden="false"/>
    </xf>
    <xf numFmtId="168" fontId="8" fillId="0" borderId="68" xfId="15" applyFont="true" applyBorder="true" applyAlignment="true" applyProtection="true">
      <alignment horizontal="center" vertical="center" textRotation="0" wrapText="false" indent="0" shrinkToFit="false"/>
      <protection locked="true" hidden="false"/>
    </xf>
    <xf numFmtId="168" fontId="8" fillId="12" borderId="11" xfId="15" applyFont="true" applyBorder="true" applyAlignment="true" applyProtection="true">
      <alignment horizontal="center" vertical="center" textRotation="0" wrapText="false" indent="0" shrinkToFit="false"/>
      <protection locked="true" hidden="false"/>
    </xf>
    <xf numFmtId="168" fontId="8" fillId="12" borderId="12" xfId="15" applyFont="true" applyBorder="true" applyAlignment="true" applyProtection="true">
      <alignment horizontal="center" vertical="center" textRotation="0" wrapText="false" indent="0" shrinkToFit="false"/>
      <protection locked="true" hidden="false"/>
    </xf>
    <xf numFmtId="168" fontId="8" fillId="12" borderId="14" xfId="15" applyFont="true" applyBorder="true" applyAlignment="true" applyProtection="true">
      <alignment horizontal="center" vertical="center" textRotation="0" wrapText="false" indent="0" shrinkToFit="false"/>
      <protection locked="true" hidden="false"/>
    </xf>
    <xf numFmtId="170" fontId="4" fillId="0" borderId="69" xfId="17" applyFont="true" applyBorder="true" applyAlignment="true" applyProtection="true">
      <alignment horizontal="right" vertical="center" textRotation="0" wrapText="false" indent="0" shrinkToFit="false"/>
      <protection locked="true" hidden="false"/>
    </xf>
    <xf numFmtId="171" fontId="4" fillId="0" borderId="17" xfId="0" applyFont="true" applyBorder="true" applyAlignment="true" applyProtection="true">
      <alignment horizontal="center" vertical="center" textRotation="0" wrapText="false" indent="0" shrinkToFit="false"/>
      <protection locked="true" hidden="false"/>
    </xf>
    <xf numFmtId="168" fontId="8" fillId="0" borderId="4" xfId="15" applyFont="true" applyBorder="true" applyAlignment="true" applyProtection="true">
      <alignment horizontal="center" vertical="center" textRotation="0" wrapText="false" indent="0" shrinkToFit="false"/>
      <protection locked="true" hidden="false"/>
    </xf>
    <xf numFmtId="168" fontId="8" fillId="0" borderId="19" xfId="15" applyFont="true" applyBorder="true" applyAlignment="true" applyProtection="true">
      <alignment horizontal="center" vertical="center" textRotation="0" wrapText="false" indent="0" shrinkToFit="false"/>
      <protection locked="true" hidden="false"/>
    </xf>
    <xf numFmtId="171" fontId="4" fillId="0" borderId="21" xfId="0" applyFont="true" applyBorder="true" applyAlignment="true" applyProtection="true">
      <alignment horizontal="center" vertical="center" textRotation="0" wrapText="false" indent="0" shrinkToFit="false"/>
      <protection locked="true" hidden="false"/>
    </xf>
    <xf numFmtId="168" fontId="8" fillId="0" borderId="18" xfId="15" applyFont="true" applyBorder="true" applyAlignment="true" applyProtection="true">
      <alignment horizontal="center" vertical="center" textRotation="0" wrapText="false" indent="0" shrinkToFit="false"/>
      <protection locked="true" hidden="false"/>
    </xf>
    <xf numFmtId="168" fontId="4" fillId="0" borderId="17" xfId="15" applyFont="true" applyBorder="true" applyAlignment="true" applyProtection="true">
      <alignment horizontal="center" vertical="center" textRotation="0" wrapText="false" indent="0" shrinkToFit="false"/>
      <protection locked="true" hidden="false"/>
    </xf>
    <xf numFmtId="168" fontId="4" fillId="0" borderId="4" xfId="15" applyFont="true" applyBorder="true" applyAlignment="true" applyProtection="true">
      <alignment horizontal="center" vertical="center" textRotation="0" wrapText="false" indent="0" shrinkToFit="false"/>
      <protection locked="true" hidden="false"/>
    </xf>
    <xf numFmtId="168" fontId="8" fillId="0" borderId="37" xfId="15" applyFont="true" applyBorder="true" applyAlignment="true" applyProtection="true">
      <alignment horizontal="center" vertical="center" textRotation="0" wrapText="false" indent="0" shrinkToFit="false"/>
      <protection locked="true" hidden="false"/>
    </xf>
    <xf numFmtId="168" fontId="4" fillId="0" borderId="19" xfId="15" applyFont="true" applyBorder="true" applyAlignment="true" applyProtection="true">
      <alignment horizontal="center" vertical="center" textRotation="0" wrapText="false" indent="0" shrinkToFit="false"/>
      <protection locked="true" hidden="false"/>
    </xf>
    <xf numFmtId="168" fontId="8" fillId="12" borderId="17" xfId="15" applyFont="true" applyBorder="true" applyAlignment="true" applyProtection="true">
      <alignment horizontal="center" vertical="center" textRotation="0" wrapText="false" indent="0" shrinkToFit="false"/>
      <protection locked="true" hidden="false"/>
    </xf>
    <xf numFmtId="168" fontId="8" fillId="12" borderId="4" xfId="15" applyFont="true" applyBorder="true" applyAlignment="true" applyProtection="true">
      <alignment horizontal="center" vertical="center" textRotation="0" wrapText="false" indent="0" shrinkToFit="false"/>
      <protection locked="true" hidden="false"/>
    </xf>
    <xf numFmtId="168" fontId="8" fillId="12" borderId="19" xfId="15" applyFont="true" applyBorder="true" applyAlignment="true" applyProtection="true">
      <alignment horizontal="center" vertical="center" textRotation="0" wrapText="false" indent="0" shrinkToFit="false"/>
      <protection locked="true" hidden="false"/>
    </xf>
    <xf numFmtId="165" fontId="8" fillId="0" borderId="55" xfId="0" applyFont="true" applyBorder="true" applyAlignment="true" applyProtection="true">
      <alignment horizontal="center" vertical="center" textRotation="0" wrapText="false" indent="0" shrinkToFit="false"/>
      <protection locked="true" hidden="false"/>
    </xf>
    <xf numFmtId="165" fontId="4" fillId="0" borderId="55" xfId="0" applyFont="true" applyBorder="true" applyAlignment="true" applyProtection="true">
      <alignment horizontal="general" vertical="center" textRotation="0" wrapText="false" indent="0" shrinkToFit="false"/>
      <protection locked="true" hidden="false"/>
    </xf>
    <xf numFmtId="166" fontId="4" fillId="0" borderId="55" xfId="0" applyFont="true" applyBorder="true" applyAlignment="true" applyProtection="true">
      <alignment horizontal="center" vertical="center" textRotation="0" wrapText="false" indent="0" shrinkToFit="false"/>
      <protection locked="true" hidden="false"/>
    </xf>
    <xf numFmtId="166" fontId="4" fillId="0" borderId="70" xfId="0" applyFont="true" applyBorder="true" applyAlignment="true" applyProtection="true">
      <alignment horizontal="center" vertical="center" textRotation="0" wrapText="false" indent="0" shrinkToFit="false"/>
      <protection locked="true" hidden="false"/>
    </xf>
    <xf numFmtId="171" fontId="4" fillId="0" borderId="55" xfId="0" applyFont="true" applyBorder="true" applyAlignment="true" applyProtection="true">
      <alignment horizontal="center" vertical="center" textRotation="0" wrapText="false" indent="0" shrinkToFit="false"/>
      <protection locked="true" hidden="false"/>
    </xf>
    <xf numFmtId="171" fontId="4" fillId="0" borderId="40" xfId="0" applyFont="true" applyBorder="true" applyAlignment="true" applyProtection="true">
      <alignment horizontal="center" vertical="center" textRotation="0" wrapText="false" indent="0" shrinkToFit="false"/>
      <protection locked="true" hidden="false"/>
    </xf>
    <xf numFmtId="171" fontId="4" fillId="0" borderId="48" xfId="0" applyFont="true" applyBorder="true" applyAlignment="true" applyProtection="true">
      <alignment horizontal="center" vertical="center" textRotation="0" wrapText="false" indent="0" shrinkToFit="false"/>
      <protection locked="true" hidden="false"/>
    </xf>
    <xf numFmtId="168" fontId="8" fillId="0" borderId="43" xfId="15" applyFont="true" applyBorder="true" applyAlignment="true" applyProtection="true">
      <alignment horizontal="center" vertical="center" textRotation="0" wrapText="false" indent="0" shrinkToFit="false"/>
      <protection locked="true" hidden="false"/>
    </xf>
    <xf numFmtId="168" fontId="8" fillId="0" borderId="59" xfId="15" applyFont="true" applyBorder="true" applyAlignment="true" applyProtection="true">
      <alignment horizontal="center" vertical="center" textRotation="0" wrapText="false" indent="0" shrinkToFit="false"/>
      <protection locked="true" hidden="false"/>
    </xf>
    <xf numFmtId="171" fontId="4" fillId="0" borderId="67" xfId="0" applyFont="true" applyBorder="true" applyAlignment="true" applyProtection="true">
      <alignment horizontal="center" vertical="center" textRotation="0" wrapText="false" indent="0" shrinkToFit="false"/>
      <protection locked="true" hidden="false"/>
    </xf>
    <xf numFmtId="168" fontId="8" fillId="0" borderId="58" xfId="15" applyFont="true" applyBorder="true" applyAlignment="true" applyProtection="true">
      <alignment horizontal="center" vertical="center" textRotation="0" wrapText="false" indent="0" shrinkToFit="false"/>
      <protection locked="true" hidden="false"/>
    </xf>
    <xf numFmtId="168" fontId="4" fillId="0" borderId="48" xfId="15" applyFont="true" applyBorder="true" applyAlignment="true" applyProtection="true">
      <alignment horizontal="center" vertical="center" textRotation="0" wrapText="false" indent="0" shrinkToFit="false"/>
      <protection locked="true" hidden="false"/>
    </xf>
    <xf numFmtId="168" fontId="4" fillId="0" borderId="43" xfId="15" applyFont="true" applyBorder="true" applyAlignment="true" applyProtection="true">
      <alignment horizontal="center" vertical="center" textRotation="0" wrapText="false" indent="0" shrinkToFit="false"/>
      <protection locked="true" hidden="false"/>
    </xf>
    <xf numFmtId="168" fontId="8" fillId="0" borderId="50" xfId="15" applyFont="true" applyBorder="true" applyAlignment="true" applyProtection="true">
      <alignment horizontal="center" vertical="center" textRotation="0" wrapText="false" indent="0" shrinkToFit="false"/>
      <protection locked="true" hidden="false"/>
    </xf>
    <xf numFmtId="168" fontId="8" fillId="12" borderId="48" xfId="15" applyFont="true" applyBorder="true" applyAlignment="true" applyProtection="true">
      <alignment horizontal="center" vertical="center" textRotation="0" wrapText="false" indent="0" shrinkToFit="false"/>
      <protection locked="true" hidden="false"/>
    </xf>
    <xf numFmtId="168" fontId="8" fillId="12" borderId="43" xfId="15" applyFont="true" applyBorder="true" applyAlignment="true" applyProtection="true">
      <alignment horizontal="center" vertical="center" textRotation="0" wrapText="false" indent="0" shrinkToFit="false"/>
      <protection locked="true" hidden="false"/>
    </xf>
    <xf numFmtId="168" fontId="8" fillId="12" borderId="59" xfId="15" applyFont="true" applyBorder="true" applyAlignment="true" applyProtection="true">
      <alignment horizontal="center" vertical="center" textRotation="0" wrapText="false" indent="0" shrinkToFit="false"/>
      <protection locked="true" hidden="false"/>
    </xf>
    <xf numFmtId="170" fontId="4" fillId="0" borderId="45" xfId="17" applyFont="true" applyBorder="true" applyAlignment="true" applyProtection="true">
      <alignment horizontal="right" vertical="center" textRotation="0" wrapText="false" indent="0" shrinkToFit="false"/>
      <protection locked="true" hidden="false"/>
    </xf>
    <xf numFmtId="166" fontId="21" fillId="12" borderId="5" xfId="0" applyFont="true" applyBorder="true" applyAlignment="true" applyProtection="true">
      <alignment horizontal="center" vertical="center" textRotation="0" wrapText="false" indent="0" shrinkToFit="false"/>
      <protection locked="true" hidden="false"/>
    </xf>
    <xf numFmtId="171" fontId="21" fillId="12" borderId="7" xfId="0" applyFont="true" applyBorder="true" applyAlignment="true" applyProtection="true">
      <alignment horizontal="center" vertical="center" textRotation="0" wrapText="false" indent="0" shrinkToFit="false"/>
      <protection locked="true" hidden="false"/>
    </xf>
    <xf numFmtId="171" fontId="21" fillId="12" borderId="6" xfId="0" applyFont="true" applyBorder="true" applyAlignment="true" applyProtection="true">
      <alignment horizontal="center" vertical="center" textRotation="0" wrapText="false" indent="0" shrinkToFit="false"/>
      <protection locked="true" hidden="false"/>
    </xf>
    <xf numFmtId="171" fontId="21" fillId="12" borderId="5" xfId="0" applyFont="true" applyBorder="true" applyAlignment="true" applyProtection="true">
      <alignment horizontal="center" vertical="center" textRotation="0" wrapText="false" indent="0" shrinkToFit="false"/>
      <protection locked="true" hidden="false"/>
    </xf>
    <xf numFmtId="171" fontId="21" fillId="12" borderId="8" xfId="0" applyFont="true" applyBorder="true" applyAlignment="true" applyProtection="true">
      <alignment horizontal="center" vertical="center" textRotation="0" wrapText="false" indent="0" shrinkToFit="false"/>
      <protection locked="true" hidden="false"/>
    </xf>
    <xf numFmtId="168" fontId="21" fillId="12" borderId="10" xfId="15" applyFont="true" applyBorder="true" applyAlignment="true" applyProtection="true">
      <alignment horizontal="center" vertical="center" textRotation="0" wrapText="false" indent="0" shrinkToFit="false"/>
      <protection locked="true" hidden="false"/>
    </xf>
    <xf numFmtId="171" fontId="21" fillId="12" borderId="10" xfId="0" applyFont="true" applyBorder="true" applyAlignment="true" applyProtection="true">
      <alignment horizontal="center" vertical="center" textRotation="0" wrapText="false" indent="0" shrinkToFit="false"/>
      <protection locked="true" hidden="false"/>
    </xf>
    <xf numFmtId="168" fontId="21" fillId="12" borderId="60" xfId="15" applyFont="true" applyBorder="true" applyAlignment="true" applyProtection="true">
      <alignment horizontal="center" vertical="center" textRotation="0" wrapText="false" indent="0" shrinkToFit="false"/>
      <protection locked="true" hidden="false"/>
    </xf>
    <xf numFmtId="168" fontId="21" fillId="12" borderId="5" xfId="15" applyFont="true" applyBorder="true" applyAlignment="true" applyProtection="true">
      <alignment horizontal="center" vertical="center" textRotation="0" wrapText="false" indent="0" shrinkToFit="false"/>
      <protection locked="true" hidden="false"/>
    </xf>
    <xf numFmtId="170" fontId="21" fillId="20" borderId="64" xfId="17" applyFont="true" applyBorder="true" applyAlignment="true" applyProtection="true">
      <alignment horizontal="center" vertical="center" textRotation="0" wrapText="false" indent="0" shrinkToFit="false"/>
      <protection locked="true" hidden="false"/>
    </xf>
    <xf numFmtId="164" fontId="10" fillId="0" borderId="3" xfId="0" applyFont="true" applyBorder="true" applyAlignment="true" applyProtection="true">
      <alignment horizontal="general" vertical="center" textRotation="0" wrapText="false" indent="0" shrinkToFit="false"/>
      <protection locked="true" hidden="false"/>
    </xf>
    <xf numFmtId="164" fontId="21" fillId="12" borderId="9" xfId="0" applyFont="true" applyBorder="true" applyAlignment="true" applyProtection="true">
      <alignment horizontal="left" vertical="center" textRotation="0" wrapText="false" indent="0" shrinkToFit="false"/>
      <protection locked="true" hidden="false"/>
    </xf>
    <xf numFmtId="170" fontId="9" fillId="12" borderId="49" xfId="17" applyFont="true" applyBorder="true" applyAlignment="true" applyProtection="true">
      <alignment horizontal="general" vertical="center" textRotation="0" wrapText="false" indent="0" shrinkToFit="false"/>
      <protection locked="true" hidden="false"/>
    </xf>
    <xf numFmtId="170" fontId="21" fillId="12" borderId="9" xfId="17" applyFont="true" applyBorder="true" applyAlignment="true" applyProtection="true">
      <alignment horizontal="general" vertical="center" textRotation="0" wrapText="false" indent="0" shrinkToFit="false"/>
      <protection locked="true" hidden="false"/>
    </xf>
    <xf numFmtId="164" fontId="16" fillId="0" borderId="46" xfId="0" applyFont="true" applyBorder="true" applyAlignment="true" applyProtection="true">
      <alignment horizontal="left" vertical="bottom" textRotation="0" wrapText="false" indent="0" shrinkToFit="false"/>
      <protection locked="true" hidden="false"/>
    </xf>
    <xf numFmtId="165" fontId="12" fillId="0" borderId="46" xfId="0" applyFont="true" applyBorder="true" applyAlignment="true" applyProtection="true">
      <alignment horizontal="left" vertical="center" textRotation="0" wrapText="false" indent="0" shrinkToFit="false"/>
      <protection locked="true" hidden="false"/>
    </xf>
    <xf numFmtId="164" fontId="12" fillId="0" borderId="49" xfId="0" applyFont="true" applyBorder="true" applyAlignment="true" applyProtection="true">
      <alignment horizontal="left" vertical="top" textRotation="0" wrapText="true" indent="0" shrinkToFit="false"/>
      <protection locked="true" hidden="false"/>
    </xf>
    <xf numFmtId="164" fontId="12" fillId="0" borderId="0" xfId="0" applyFont="true" applyBorder="false" applyAlignment="true" applyProtection="true">
      <alignment horizontal="general" vertical="top" textRotation="0" wrapText="false" indent="0" shrinkToFit="false"/>
      <protection locked="true" hidden="false"/>
    </xf>
    <xf numFmtId="164" fontId="4" fillId="0" borderId="3" xfId="0" applyFont="true" applyBorder="true" applyAlignment="true" applyProtection="true">
      <alignment horizontal="left" vertical="center" textRotation="0" wrapText="false" indent="0" shrinkToFit="false"/>
      <protection locked="true" hidden="false"/>
    </xf>
    <xf numFmtId="164" fontId="5" fillId="0" borderId="2"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center" vertical="bottom" textRotation="0" wrapText="false" indent="0" shrinkToFit="false"/>
      <protection locked="true" hidden="false"/>
    </xf>
    <xf numFmtId="164" fontId="13" fillId="0" borderId="45" xfId="0" applyFont="true" applyBorder="true" applyAlignment="true" applyProtection="true">
      <alignment horizontal="general" vertical="bottom" textRotation="0" wrapText="false" indent="0" shrinkToFit="false"/>
      <protection locked="true" hidden="false"/>
    </xf>
    <xf numFmtId="164" fontId="45" fillId="12" borderId="49" xfId="0" applyFont="true" applyBorder="true" applyAlignment="true" applyProtection="true">
      <alignment horizontal="center" vertical="center" textRotation="0" wrapText="true" indent="0" shrinkToFit="false"/>
      <protection locked="true" hidden="false"/>
    </xf>
    <xf numFmtId="164" fontId="45" fillId="0" borderId="0" xfId="0" applyFont="true" applyBorder="false" applyAlignment="true" applyProtection="true">
      <alignment horizontal="general" vertical="center" textRotation="0" wrapText="false" indent="0" shrinkToFit="false"/>
      <protection locked="true" hidden="false"/>
    </xf>
    <xf numFmtId="164" fontId="29" fillId="8" borderId="9" xfId="0" applyFont="true" applyBorder="true" applyAlignment="true" applyProtection="true">
      <alignment horizontal="center" vertical="center" textRotation="0" wrapText="false" indent="0" shrinkToFit="false"/>
      <protection locked="true" hidden="false"/>
    </xf>
    <xf numFmtId="173" fontId="30" fillId="8" borderId="36" xfId="0" applyFont="true" applyBorder="true" applyAlignment="true" applyProtection="true">
      <alignment horizontal="center" vertical="center" textRotation="0" wrapText="false" indent="0" shrinkToFit="false"/>
      <protection locked="true" hidden="false"/>
    </xf>
    <xf numFmtId="179" fontId="46" fillId="8" borderId="10" xfId="0" applyFont="true" applyBorder="true" applyAlignment="true" applyProtection="true">
      <alignment horizontal="center" vertical="center" textRotation="0" wrapText="false" indent="0" shrinkToFit="false"/>
      <protection locked="true" hidden="false"/>
    </xf>
    <xf numFmtId="179" fontId="29" fillId="0" borderId="7" xfId="0" applyFont="true" applyBorder="true" applyAlignment="true" applyProtection="true">
      <alignment horizontal="center" vertical="center" textRotation="0" wrapText="false" indent="0" shrinkToFit="false"/>
      <protection locked="true" hidden="false"/>
    </xf>
    <xf numFmtId="179" fontId="29" fillId="0" borderId="8" xfId="0" applyFont="true" applyBorder="true" applyAlignment="true" applyProtection="true">
      <alignment horizontal="center" vertical="center" textRotation="0" wrapText="false" indent="0" shrinkToFit="false"/>
      <protection locked="true" hidden="false"/>
    </xf>
    <xf numFmtId="164" fontId="29" fillId="0" borderId="0" xfId="0" applyFont="true" applyBorder="false" applyAlignment="true" applyProtection="true">
      <alignment horizontal="general" vertical="center" textRotation="0" wrapText="false" indent="0" shrinkToFit="false"/>
      <protection locked="true" hidden="false"/>
    </xf>
    <xf numFmtId="164" fontId="30" fillId="8" borderId="3" xfId="0" applyFont="true" applyBorder="true" applyAlignment="true" applyProtection="true">
      <alignment horizontal="center" vertical="center" textRotation="0" wrapText="false" indent="0" shrinkToFit="false"/>
      <protection locked="true" hidden="false"/>
    </xf>
    <xf numFmtId="164" fontId="30" fillId="8" borderId="36" xfId="0" applyFont="true" applyBorder="true" applyAlignment="true" applyProtection="true">
      <alignment horizontal="left" vertical="center" textRotation="0" wrapText="true" indent="0" shrinkToFit="false"/>
      <protection locked="true" hidden="false"/>
    </xf>
    <xf numFmtId="164" fontId="46" fillId="8" borderId="9" xfId="0" applyFont="true" applyBorder="true" applyAlignment="true" applyProtection="true">
      <alignment horizontal="center" vertical="center" textRotation="0" wrapText="false" indent="0" shrinkToFit="false"/>
      <protection locked="true" hidden="false"/>
    </xf>
    <xf numFmtId="164" fontId="46" fillId="8" borderId="36" xfId="0" applyFont="true" applyBorder="true" applyAlignment="true" applyProtection="true">
      <alignment horizontal="general" vertical="center" textRotation="0" wrapText="false" indent="0" shrinkToFit="false"/>
      <protection locked="true" hidden="false"/>
    </xf>
    <xf numFmtId="164" fontId="47" fillId="21" borderId="5" xfId="0" applyFont="true" applyBorder="true" applyAlignment="true" applyProtection="true">
      <alignment horizontal="center" vertical="center" textRotation="0" wrapText="false" indent="0" shrinkToFit="false"/>
      <protection locked="true" hidden="false"/>
    </xf>
    <xf numFmtId="164" fontId="47" fillId="21" borderId="7" xfId="0" applyFont="true" applyBorder="true" applyAlignment="true" applyProtection="true">
      <alignment horizontal="left" vertical="center" textRotation="0" wrapText="false" indent="0" shrinkToFit="false"/>
      <protection locked="true" hidden="false"/>
    </xf>
    <xf numFmtId="171" fontId="47" fillId="21" borderId="7" xfId="0" applyFont="true" applyBorder="true" applyAlignment="true" applyProtection="true">
      <alignment horizontal="center" vertical="center" textRotation="0" wrapText="false" indent="0" shrinkToFit="false"/>
      <protection locked="true" hidden="false"/>
    </xf>
    <xf numFmtId="171" fontId="47" fillId="21" borderId="8" xfId="0" applyFont="true" applyBorder="true" applyAlignment="true" applyProtection="true">
      <alignment horizontal="general" vertical="center" textRotation="0" wrapText="false" indent="0" shrinkToFit="false"/>
      <protection locked="true" hidden="false"/>
    </xf>
    <xf numFmtId="164" fontId="12" fillId="0" borderId="11" xfId="0" applyFont="true" applyBorder="true" applyAlignment="true" applyProtection="true">
      <alignment horizontal="center" vertical="center" textRotation="0" wrapText="false" indent="0" shrinkToFit="false"/>
      <protection locked="true" hidden="false"/>
    </xf>
    <xf numFmtId="164" fontId="12" fillId="0" borderId="12" xfId="0" applyFont="true" applyBorder="true" applyAlignment="true" applyProtection="true">
      <alignment horizontal="left" vertical="center" textRotation="0" wrapText="false" indent="0" shrinkToFit="false"/>
      <protection locked="true" hidden="false"/>
    </xf>
    <xf numFmtId="171" fontId="12" fillId="8" borderId="12" xfId="20" applyFont="true" applyBorder="true" applyAlignment="true" applyProtection="true">
      <alignment horizontal="center" vertical="center" textRotation="0" wrapText="false" indent="0" shrinkToFit="false"/>
      <protection locked="true" hidden="false"/>
    </xf>
    <xf numFmtId="171" fontId="12" fillId="8" borderId="14" xfId="20" applyFont="true" applyBorder="true" applyAlignment="true" applyProtection="true">
      <alignment horizontal="general" vertical="center" textRotation="0" wrapText="false" indent="0" shrinkToFit="false"/>
      <protection locked="true" hidden="false"/>
    </xf>
    <xf numFmtId="173" fontId="19" fillId="0" borderId="4" xfId="0" applyFont="true" applyBorder="true" applyAlignment="true" applyProtection="true">
      <alignment horizontal="center" vertical="center" textRotation="0" wrapText="false" indent="0" shrinkToFit="false"/>
      <protection locked="true" hidden="false"/>
    </xf>
    <xf numFmtId="171" fontId="12" fillId="8" borderId="4" xfId="20" applyFont="true" applyBorder="true" applyAlignment="true" applyProtection="true">
      <alignment horizontal="center" vertical="center" textRotation="0" wrapText="false" indent="0" shrinkToFit="false"/>
      <protection locked="true" hidden="false"/>
    </xf>
    <xf numFmtId="171" fontId="12" fillId="8" borderId="19" xfId="20" applyFont="true" applyBorder="true" applyAlignment="true" applyProtection="true">
      <alignment horizontal="general" vertical="center" textRotation="0" wrapText="false" indent="0" shrinkToFit="false"/>
      <protection locked="true" hidden="false"/>
    </xf>
    <xf numFmtId="164" fontId="30" fillId="0" borderId="17" xfId="0" applyFont="true" applyBorder="true" applyAlignment="true" applyProtection="true">
      <alignment horizontal="left" vertical="center" textRotation="0" wrapText="true" indent="0" shrinkToFit="false"/>
      <protection locked="true" hidden="false"/>
    </xf>
    <xf numFmtId="173" fontId="30" fillId="0" borderId="4" xfId="0" applyFont="true" applyBorder="true" applyAlignment="true" applyProtection="true">
      <alignment horizontal="center" vertical="center" textRotation="0" wrapText="false" indent="0" shrinkToFit="false"/>
      <protection locked="true" hidden="false"/>
    </xf>
    <xf numFmtId="171" fontId="10" fillId="8" borderId="4" xfId="20" applyFont="true" applyBorder="true" applyAlignment="true" applyProtection="true">
      <alignment horizontal="center" vertical="center" textRotation="0" wrapText="false" indent="0" shrinkToFit="false"/>
      <protection locked="true" hidden="false"/>
    </xf>
    <xf numFmtId="171" fontId="10" fillId="8" borderId="19" xfId="20" applyFont="true" applyBorder="true" applyAlignment="true" applyProtection="true">
      <alignment horizontal="right" vertical="center" textRotation="0" wrapText="false" indent="0" shrinkToFit="false"/>
      <protection locked="true" hidden="false"/>
    </xf>
    <xf numFmtId="164" fontId="30" fillId="12" borderId="17" xfId="0" applyFont="true" applyBorder="true" applyAlignment="true" applyProtection="true">
      <alignment horizontal="center" vertical="center" textRotation="0" wrapText="false" indent="0" shrinkToFit="false"/>
      <protection locked="true" hidden="false"/>
    </xf>
    <xf numFmtId="164" fontId="30" fillId="12" borderId="4" xfId="0" applyFont="true" applyBorder="true" applyAlignment="true" applyProtection="true">
      <alignment horizontal="general" vertical="center" textRotation="0" wrapText="false" indent="0" shrinkToFit="false"/>
      <protection locked="true" hidden="false"/>
    </xf>
    <xf numFmtId="164" fontId="30" fillId="12" borderId="4" xfId="0" applyFont="true" applyBorder="true" applyAlignment="true" applyProtection="true">
      <alignment horizontal="center" vertical="center" textRotation="0" wrapText="false" indent="0" shrinkToFit="false"/>
      <protection locked="true" hidden="false"/>
    </xf>
    <xf numFmtId="164" fontId="30" fillId="12" borderId="19" xfId="0" applyFont="true" applyBorder="true" applyAlignment="true" applyProtection="true">
      <alignment horizontal="center" vertical="center" textRotation="0" wrapText="false" indent="0" shrinkToFit="false"/>
      <protection locked="true" hidden="false"/>
    </xf>
    <xf numFmtId="164" fontId="30" fillId="12" borderId="4" xfId="0" applyFont="true" applyBorder="true" applyAlignment="true" applyProtection="true">
      <alignment horizontal="left" vertical="center" textRotation="0" wrapText="false" indent="0" shrinkToFit="false"/>
      <protection locked="true" hidden="false"/>
    </xf>
    <xf numFmtId="164" fontId="30" fillId="12" borderId="19" xfId="0" applyFont="true" applyBorder="true" applyAlignment="true" applyProtection="true">
      <alignment horizontal="general" vertical="center" textRotation="0" wrapText="false" indent="0" shrinkToFit="false"/>
      <protection locked="true" hidden="false"/>
    </xf>
    <xf numFmtId="171" fontId="12" fillId="0" borderId="18" xfId="0" applyFont="true" applyBorder="true" applyAlignment="true" applyProtection="true">
      <alignment horizontal="general" vertical="center" textRotation="0" wrapText="false" indent="0" shrinkToFit="false"/>
      <protection locked="true" hidden="false"/>
    </xf>
    <xf numFmtId="171" fontId="12" fillId="0" borderId="19" xfId="0" applyFont="true" applyBorder="true" applyAlignment="true" applyProtection="true">
      <alignment horizontal="general" vertical="center" textRotation="0" wrapText="false" indent="0" shrinkToFit="false"/>
      <protection locked="true" hidden="false"/>
    </xf>
    <xf numFmtId="164" fontId="12" fillId="0" borderId="4" xfId="0" applyFont="true" applyBorder="true" applyAlignment="true" applyProtection="true">
      <alignment horizontal="general" vertical="center" textRotation="0" wrapText="false" indent="0" shrinkToFit="false"/>
      <protection locked="true" hidden="false"/>
    </xf>
    <xf numFmtId="164" fontId="30" fillId="0" borderId="17" xfId="0" applyFont="true" applyBorder="true" applyAlignment="true" applyProtection="true">
      <alignment horizontal="left" vertical="center" textRotation="0" wrapText="false" indent="0" shrinkToFit="false"/>
      <protection locked="true" hidden="false"/>
    </xf>
    <xf numFmtId="171" fontId="30" fillId="0" borderId="4" xfId="0" applyFont="true" applyBorder="true" applyAlignment="true" applyProtection="true">
      <alignment horizontal="center" vertical="center" textRotation="0" wrapText="false" indent="0" shrinkToFit="false"/>
      <protection locked="true" hidden="false"/>
    </xf>
    <xf numFmtId="171" fontId="30" fillId="0" borderId="19" xfId="0" applyFont="true" applyBorder="true" applyAlignment="true" applyProtection="true">
      <alignment horizontal="general" vertical="center" textRotation="0" wrapText="false" indent="0" shrinkToFit="false"/>
      <protection locked="true" hidden="false"/>
    </xf>
    <xf numFmtId="164" fontId="30" fillId="12" borderId="4" xfId="0" applyFont="true" applyBorder="true" applyAlignment="true" applyProtection="true">
      <alignment horizontal="left" vertical="center" textRotation="0" wrapText="true" indent="0" shrinkToFit="false"/>
      <protection locked="true" hidden="false"/>
    </xf>
    <xf numFmtId="173" fontId="30" fillId="12" borderId="4" xfId="0" applyFont="true" applyBorder="true" applyAlignment="true" applyProtection="true">
      <alignment horizontal="center" vertical="center" textRotation="0" wrapText="false" indent="0" shrinkToFit="false"/>
      <protection locked="true" hidden="false"/>
    </xf>
    <xf numFmtId="171" fontId="12" fillId="8" borderId="4" xfId="0" applyFont="true" applyBorder="true" applyAlignment="true" applyProtection="true">
      <alignment horizontal="center" vertical="center" textRotation="0" wrapText="false" indent="0" shrinkToFit="false"/>
      <protection locked="true" hidden="false"/>
    </xf>
    <xf numFmtId="173" fontId="12" fillId="0" borderId="4" xfId="0" applyFont="true" applyBorder="true" applyAlignment="true" applyProtection="true">
      <alignment horizontal="general" vertical="center" textRotation="0" wrapText="false" indent="0" shrinkToFit="false"/>
      <protection locked="true" hidden="false"/>
    </xf>
    <xf numFmtId="171" fontId="12" fillId="8" borderId="19" xfId="0" applyFont="true" applyBorder="true" applyAlignment="true" applyProtection="true">
      <alignment horizontal="right" vertical="center" textRotation="0" wrapText="false" indent="0" shrinkToFit="false"/>
      <protection locked="true" hidden="false"/>
    </xf>
    <xf numFmtId="164" fontId="30" fillId="0" borderId="17" xfId="0" applyFont="true" applyBorder="true" applyAlignment="true" applyProtection="true">
      <alignment horizontal="center" vertical="center" textRotation="0" wrapText="false" indent="0" shrinkToFit="false"/>
      <protection locked="true" hidden="false"/>
    </xf>
    <xf numFmtId="164" fontId="10" fillId="0" borderId="4" xfId="0" applyFont="true" applyBorder="true" applyAlignment="true" applyProtection="true">
      <alignment horizontal="left" vertical="center" textRotation="0" wrapText="true" indent="0" shrinkToFit="false"/>
      <protection locked="true" hidden="false"/>
    </xf>
    <xf numFmtId="171" fontId="30" fillId="8" borderId="4" xfId="0" applyFont="true" applyBorder="true" applyAlignment="true" applyProtection="true">
      <alignment horizontal="center" vertical="center" textRotation="0" wrapText="false" indent="0" shrinkToFit="false"/>
      <protection locked="true" hidden="false"/>
    </xf>
    <xf numFmtId="173" fontId="30" fillId="0" borderId="4" xfId="0" applyFont="true" applyBorder="true" applyAlignment="true" applyProtection="true">
      <alignment horizontal="general" vertical="center" textRotation="0" wrapText="false" indent="0" shrinkToFit="false"/>
      <protection locked="true" hidden="false"/>
    </xf>
    <xf numFmtId="171" fontId="30" fillId="8" borderId="19" xfId="0" applyFont="true" applyBorder="true" applyAlignment="true" applyProtection="true">
      <alignment horizontal="right" vertical="center" textRotation="0" wrapText="false" indent="0" shrinkToFit="false"/>
      <protection locked="true" hidden="false"/>
    </xf>
    <xf numFmtId="164" fontId="30" fillId="0" borderId="48" xfId="0" applyFont="true" applyBorder="true" applyAlignment="true" applyProtection="true">
      <alignment horizontal="general" vertical="center" textRotation="0" wrapText="false" indent="0" shrinkToFit="false"/>
      <protection locked="true" hidden="false"/>
    </xf>
    <xf numFmtId="164" fontId="12" fillId="0" borderId="43" xfId="0" applyFont="true" applyBorder="true" applyAlignment="true" applyProtection="true">
      <alignment horizontal="center" vertical="center" textRotation="0" wrapText="false" indent="0" shrinkToFit="false"/>
      <protection locked="true" hidden="false"/>
    </xf>
    <xf numFmtId="171" fontId="30" fillId="0" borderId="43" xfId="0" applyFont="true" applyBorder="true" applyAlignment="true" applyProtection="true">
      <alignment horizontal="center" vertical="center" textRotation="0" wrapText="false" indent="0" shrinkToFit="false"/>
      <protection locked="true" hidden="false"/>
    </xf>
    <xf numFmtId="164" fontId="30" fillId="0" borderId="22" xfId="0" applyFont="true" applyBorder="true" applyAlignment="true" applyProtection="true">
      <alignment horizontal="left" vertical="center" textRotation="0" wrapText="false" indent="0" shrinkToFit="false"/>
      <protection locked="true" hidden="false"/>
    </xf>
    <xf numFmtId="171" fontId="30" fillId="0" borderId="58" xfId="0" applyFont="true" applyBorder="true" applyAlignment="true" applyProtection="true">
      <alignment horizontal="right" vertical="center" textRotation="0" wrapText="false" indent="0" shrinkToFit="false"/>
      <protection locked="true" hidden="false"/>
    </xf>
    <xf numFmtId="171" fontId="30" fillId="0" borderId="59" xfId="0" applyFont="true" applyBorder="true" applyAlignment="true" applyProtection="true">
      <alignment horizontal="right" vertical="center" textRotation="0" wrapText="false" indent="0" shrinkToFit="false"/>
      <protection locked="true" hidden="false"/>
    </xf>
    <xf numFmtId="164" fontId="30" fillId="12" borderId="9" xfId="0" applyFont="true" applyBorder="true" applyAlignment="true" applyProtection="true">
      <alignment horizontal="center" vertical="center" textRotation="0" wrapText="false" indent="0" shrinkToFit="false"/>
      <protection locked="true" hidden="false"/>
    </xf>
    <xf numFmtId="164" fontId="30" fillId="8" borderId="9" xfId="0" applyFont="true" applyBorder="true" applyAlignment="true" applyProtection="true">
      <alignment horizontal="center" vertical="center" textRotation="0" wrapText="false" indent="0" shrinkToFit="false"/>
      <protection locked="true" hidden="false"/>
    </xf>
    <xf numFmtId="164" fontId="30" fillId="12" borderId="11" xfId="0" applyFont="true" applyBorder="true" applyAlignment="true" applyProtection="true">
      <alignment horizontal="general" vertical="center" textRotation="0" wrapText="false" indent="0" shrinkToFit="false"/>
      <protection locked="true" hidden="false"/>
    </xf>
    <xf numFmtId="164" fontId="30" fillId="12" borderId="12" xfId="0" applyFont="true" applyBorder="true" applyAlignment="true" applyProtection="true">
      <alignment horizontal="general" vertical="center" textRotation="0" wrapText="false" indent="0" shrinkToFit="false"/>
      <protection locked="true" hidden="false"/>
    </xf>
    <xf numFmtId="164" fontId="30" fillId="12" borderId="12" xfId="0" applyFont="true" applyBorder="true" applyAlignment="true" applyProtection="true">
      <alignment horizontal="center" vertical="center" textRotation="0" wrapText="false" indent="0" shrinkToFit="false"/>
      <protection locked="true" hidden="false"/>
    </xf>
    <xf numFmtId="164" fontId="30" fillId="12" borderId="34" xfId="0" applyFont="true" applyBorder="true" applyAlignment="true" applyProtection="true">
      <alignment horizontal="center" vertical="center" textRotation="0" wrapText="false" indent="0" shrinkToFit="false"/>
      <protection locked="true" hidden="false"/>
    </xf>
    <xf numFmtId="164" fontId="30" fillId="12" borderId="11" xfId="0" applyFont="true" applyBorder="true" applyAlignment="true" applyProtection="true">
      <alignment horizontal="center" vertical="center" textRotation="0" wrapText="false" indent="0" shrinkToFit="false"/>
      <protection locked="true" hidden="false"/>
    </xf>
    <xf numFmtId="164" fontId="30" fillId="12" borderId="14" xfId="0" applyFont="true" applyBorder="true" applyAlignment="true" applyProtection="true">
      <alignment horizontal="general" vertical="center" textRotation="0" wrapText="false" indent="0" shrinkToFit="false"/>
      <protection locked="true" hidden="false"/>
    </xf>
    <xf numFmtId="171" fontId="19" fillId="8" borderId="4" xfId="0" applyFont="true" applyBorder="true" applyAlignment="true" applyProtection="true">
      <alignment horizontal="center" vertical="center" textRotation="0" wrapText="false" indent="0" shrinkToFit="false"/>
      <protection locked="true" hidden="false"/>
    </xf>
    <xf numFmtId="171" fontId="19" fillId="8" borderId="43" xfId="0" applyFont="true" applyBorder="true" applyAlignment="true" applyProtection="true">
      <alignment horizontal="general" vertical="center" textRotation="0" wrapText="false" indent="0" shrinkToFit="false"/>
      <protection locked="true" hidden="false"/>
    </xf>
    <xf numFmtId="171" fontId="19" fillId="8" borderId="19" xfId="0" applyFont="true" applyBorder="true" applyAlignment="true" applyProtection="true">
      <alignment horizontal="general" vertical="center" textRotation="0" wrapText="false" indent="0" shrinkToFit="false"/>
      <protection locked="true" hidden="false"/>
    </xf>
    <xf numFmtId="171" fontId="19" fillId="8" borderId="55" xfId="0" applyFont="true" applyBorder="true" applyAlignment="true" applyProtection="true">
      <alignment horizontal="general" vertical="center" textRotation="0" wrapText="false" indent="0" shrinkToFit="false"/>
      <protection locked="true" hidden="false"/>
    </xf>
    <xf numFmtId="164" fontId="30" fillId="0" borderId="4" xfId="0" applyFont="true" applyBorder="true" applyAlignment="true" applyProtection="true">
      <alignment horizontal="center" vertical="center" textRotation="0" wrapText="false" indent="0" shrinkToFit="false"/>
      <protection locked="true" hidden="false"/>
    </xf>
    <xf numFmtId="171" fontId="30" fillId="8" borderId="19" xfId="0" applyFont="true" applyBorder="true" applyAlignment="true" applyProtection="true">
      <alignment horizontal="general" vertical="center" textRotation="0" wrapText="false" indent="0" shrinkToFit="false"/>
      <protection locked="true" hidden="false"/>
    </xf>
    <xf numFmtId="164" fontId="12" fillId="0" borderId="43" xfId="0" applyFont="true" applyBorder="true" applyAlignment="true" applyProtection="true">
      <alignment horizontal="general" vertical="center" textRotation="0" wrapText="false" indent="0" shrinkToFit="false"/>
      <protection locked="true" hidden="false"/>
    </xf>
    <xf numFmtId="171" fontId="19" fillId="8" borderId="43" xfId="0" applyFont="true" applyBorder="true" applyAlignment="true" applyProtection="true">
      <alignment horizontal="center" vertical="center" textRotation="0" wrapText="false" indent="0" shrinkToFit="false"/>
      <protection locked="true" hidden="false"/>
    </xf>
    <xf numFmtId="171" fontId="19" fillId="8" borderId="12" xfId="0" applyFont="true" applyBorder="true" applyAlignment="true" applyProtection="true">
      <alignment horizontal="general" vertical="center" textRotation="0" wrapText="false" indent="0" shrinkToFit="false"/>
      <protection locked="true" hidden="false"/>
    </xf>
    <xf numFmtId="171" fontId="19" fillId="8" borderId="59" xfId="0" applyFont="true" applyBorder="true" applyAlignment="true" applyProtection="true">
      <alignment horizontal="general" vertical="center" textRotation="0" wrapText="false" indent="0" shrinkToFit="false"/>
      <protection locked="true" hidden="false"/>
    </xf>
    <xf numFmtId="164" fontId="30" fillId="12" borderId="5" xfId="0" applyFont="true" applyBorder="true" applyAlignment="true" applyProtection="true">
      <alignment horizontal="general" vertical="center" textRotation="0" wrapText="false" indent="0" shrinkToFit="false"/>
      <protection locked="true" hidden="false"/>
    </xf>
    <xf numFmtId="164" fontId="30" fillId="12" borderId="7" xfId="0" applyFont="true" applyBorder="true" applyAlignment="true" applyProtection="true">
      <alignment horizontal="general" vertical="center" textRotation="0" wrapText="false" indent="0" shrinkToFit="false"/>
      <protection locked="true" hidden="false"/>
    </xf>
    <xf numFmtId="164" fontId="30" fillId="12" borderId="7" xfId="0" applyFont="true" applyBorder="true" applyAlignment="true" applyProtection="true">
      <alignment horizontal="center" vertical="center" textRotation="0" wrapText="false" indent="0" shrinkToFit="false"/>
      <protection locked="true" hidden="false"/>
    </xf>
    <xf numFmtId="171" fontId="30" fillId="12" borderId="7" xfId="0" applyFont="true" applyBorder="true" applyAlignment="true" applyProtection="true">
      <alignment horizontal="center" vertical="center" textRotation="0" wrapText="false" indent="0" shrinkToFit="false"/>
      <protection locked="true" hidden="false"/>
    </xf>
    <xf numFmtId="164" fontId="30" fillId="12" borderId="5" xfId="0" applyFont="true" applyBorder="true" applyAlignment="true" applyProtection="true">
      <alignment horizontal="center" vertical="center" textRotation="0" wrapText="false" indent="0" shrinkToFit="false"/>
      <protection locked="true" hidden="false"/>
    </xf>
    <xf numFmtId="171" fontId="19" fillId="12" borderId="71" xfId="0" applyFont="true" applyBorder="true" applyAlignment="true" applyProtection="true">
      <alignment horizontal="general" vertical="center" textRotation="0" wrapText="false" indent="0" shrinkToFit="false"/>
      <protection locked="true" hidden="false"/>
    </xf>
    <xf numFmtId="171" fontId="30" fillId="12" borderId="8" xfId="0" applyFont="true" applyBorder="true" applyAlignment="true" applyProtection="true">
      <alignment horizontal="general" vertical="center" textRotation="0" wrapText="false" indent="0" shrinkToFit="false"/>
      <protection locked="true" hidden="false"/>
    </xf>
    <xf numFmtId="164" fontId="21" fillId="18" borderId="4" xfId="0" applyFont="true" applyBorder="true" applyAlignment="true" applyProtection="true">
      <alignment horizontal="center" vertical="center" textRotation="0" wrapText="true" indent="0" shrinkToFit="false"/>
      <protection locked="true" hidden="false"/>
    </xf>
    <xf numFmtId="164" fontId="29" fillId="0" borderId="18" xfId="0" applyFont="true" applyBorder="true" applyAlignment="true" applyProtection="true">
      <alignment horizontal="right" vertical="center" textRotation="0" wrapText="false" indent="0" shrinkToFit="false"/>
      <protection locked="true" hidden="false"/>
    </xf>
    <xf numFmtId="164" fontId="29" fillId="0" borderId="21" xfId="0" applyFont="true" applyBorder="true" applyAlignment="true" applyProtection="true">
      <alignment horizontal="left" vertical="center" textRotation="0" wrapText="false" indent="0" shrinkToFit="false"/>
      <protection locked="true" hidden="false"/>
    </xf>
    <xf numFmtId="164" fontId="31" fillId="18" borderId="4" xfId="0" applyFont="true" applyBorder="true" applyAlignment="true" applyProtection="true">
      <alignment horizontal="center" vertical="center" textRotation="0" wrapText="false" indent="0" shrinkToFit="false"/>
      <protection locked="true" hidden="false"/>
    </xf>
    <xf numFmtId="164" fontId="8" fillId="18" borderId="4" xfId="0" applyFont="true" applyBorder="true" applyAlignment="true" applyProtection="true">
      <alignment horizontal="center" vertical="center" textRotation="0" wrapText="false" indent="0" shrinkToFit="false"/>
      <protection locked="true" hidden="false"/>
    </xf>
    <xf numFmtId="164" fontId="20" fillId="0" borderId="4" xfId="0" applyFont="true" applyBorder="true" applyAlignment="true" applyProtection="true">
      <alignment horizontal="center" vertical="center" textRotation="0" wrapText="false" indent="0" shrinkToFit="false"/>
      <protection locked="true" hidden="false"/>
    </xf>
    <xf numFmtId="173" fontId="31" fillId="0" borderId="4" xfId="0" applyFont="true" applyBorder="true" applyAlignment="true" applyProtection="true">
      <alignment horizontal="center" vertical="center" textRotation="0" wrapText="false" indent="0" shrinkToFit="false"/>
      <protection locked="true" hidden="false"/>
    </xf>
    <xf numFmtId="164" fontId="31" fillId="0" borderId="4" xfId="0" applyFont="true" applyBorder="true" applyAlignment="true" applyProtection="true">
      <alignment horizontal="center" vertical="center" textRotation="0" wrapText="false" indent="0" shrinkToFit="false"/>
      <protection locked="true" hidden="false"/>
    </xf>
    <xf numFmtId="171" fontId="4" fillId="0" borderId="4" xfId="0" applyFont="true" applyBorder="true" applyAlignment="true" applyProtection="true">
      <alignment horizontal="center" vertical="bottom" textRotation="0" wrapText="false" indent="0" shrinkToFit="false"/>
      <protection locked="true" hidden="false"/>
    </xf>
    <xf numFmtId="164" fontId="20" fillId="0" borderId="12" xfId="0" applyFont="true" applyBorder="true" applyAlignment="true" applyProtection="true">
      <alignment horizontal="center" vertical="center" textRotation="0" wrapText="false" indent="0" shrinkToFit="false"/>
      <protection locked="true" hidden="false"/>
    </xf>
    <xf numFmtId="173" fontId="31" fillId="0" borderId="12" xfId="0" applyFont="true" applyBorder="true" applyAlignment="true" applyProtection="true">
      <alignment horizontal="center" vertical="center" textRotation="0" wrapText="false" indent="0" shrinkToFit="false"/>
      <protection locked="true" hidden="false"/>
    </xf>
    <xf numFmtId="164" fontId="31" fillId="0" borderId="12" xfId="0" applyFont="true" applyBorder="true" applyAlignment="true" applyProtection="true">
      <alignment horizontal="center" vertical="center" textRotation="0" wrapText="false" indent="0" shrinkToFit="false"/>
      <protection locked="true" hidden="false"/>
    </xf>
    <xf numFmtId="173" fontId="49" fillId="8" borderId="4" xfId="0" applyFont="true" applyBorder="true" applyAlignment="true" applyProtection="tru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dxfs count="2">
    <dxf>
      <font>
        <color rgb="FF006100"/>
      </font>
      <fill>
        <patternFill>
          <bgColor rgb="FFC6EFCE"/>
        </patternFill>
      </fill>
    </dxf>
    <dxf>
      <font>
        <color rgb="FF9C0006"/>
      </font>
      <fill>
        <patternFill>
          <bgColor rgb="FFFFC7CE"/>
        </patternFill>
      </fill>
    </dxf>
  </dxfs>
  <colors>
    <indexedColors>
      <rgbColor rgb="FF000000"/>
      <rgbColor rgb="FFFFFFFF"/>
      <rgbColor rgb="FFFF0000"/>
      <rgbColor rgb="FF00FF00"/>
      <rgbColor rgb="FF0000FF"/>
      <rgbColor rgb="FFFFFFA6"/>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2DCDB"/>
      <rgbColor rgb="FF0066CC"/>
      <rgbColor rgb="FFBDD7EE"/>
      <rgbColor rgb="FF000080"/>
      <rgbColor rgb="FFFF00FF"/>
      <rgbColor rgb="FFF2F2F2"/>
      <rgbColor rgb="FF00FFFF"/>
      <rgbColor rgb="FF800080"/>
      <rgbColor rgb="FFC00000"/>
      <rgbColor rgb="FF008080"/>
      <rgbColor rgb="FF0000FF"/>
      <rgbColor rgb="FF00B0F0"/>
      <rgbColor rgb="FFC6EFCE"/>
      <rgbColor rgb="FFCCFFCC"/>
      <rgbColor rgb="FFFFFF99"/>
      <rgbColor rgb="FFADB9CA"/>
      <rgbColor rgb="FFFFC7CE"/>
      <rgbColor rgb="FFBFBFBF"/>
      <rgbColor rgb="FFF8CBAD"/>
      <rgbColor rgb="FF3366CC"/>
      <rgbColor rgb="FF33CCCC"/>
      <rgbColor rgb="FF99CC00"/>
      <rgbColor rgb="FFFFD966"/>
      <rgbColor rgb="FFFF9900"/>
      <rgbColor rgb="FFFF6600"/>
      <rgbColor rgb="FF606060"/>
      <rgbColor rgb="FFDCE6F2"/>
      <rgbColor rgb="FF10243E"/>
      <rgbColor rgb="FF339966"/>
      <rgbColor rgb="FF003300"/>
      <rgbColor rgb="FF333300"/>
      <rgbColor rgb="FF993300"/>
      <rgbColor rgb="FF993366"/>
      <rgbColor rgb="FF59595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png"/>
</Relationships>
</file>

<file path=xl/drawings/_rels/drawing11.xml.rels><?xml version="1.0" encoding="UTF-8"?>
<Relationships xmlns="http://schemas.openxmlformats.org/package/2006/relationships"><Relationship Id="rId1" Type="http://schemas.openxmlformats.org/officeDocument/2006/relationships/image" Target="../media/image1.png"/>
</Relationships>
</file>

<file path=xl/drawings/_rels/drawing12.xml.rels><?xml version="1.0" encoding="UTF-8"?>
<Relationships xmlns="http://schemas.openxmlformats.org/package/2006/relationships"><Relationship Id="rId1" Type="http://schemas.openxmlformats.org/officeDocument/2006/relationships/image" Target="../media/image1.png"/>
</Relationships>
</file>

<file path=xl/drawings/_rels/drawing13.xml.rels><?xml version="1.0" encoding="UTF-8"?>
<Relationships xmlns="http://schemas.openxmlformats.org/package/2006/relationships"><Relationship Id="rId1" Type="http://schemas.openxmlformats.org/officeDocument/2006/relationships/image" Target="../media/image1.png"/>
</Relationships>
</file>

<file path=xl/drawings/_rels/drawing14.xml.rels><?xml version="1.0" encoding="UTF-8"?>
<Relationships xmlns="http://schemas.openxmlformats.org/package/2006/relationships"><Relationship Id="rId1" Type="http://schemas.openxmlformats.org/officeDocument/2006/relationships/image" Target="../media/image1.png"/>
</Relationships>
</file>

<file path=xl/drawings/_rels/drawing15.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image" Target="../media/image1.png"/>
</Relationships>
</file>

<file path=xl/drawings/_rels/drawing6.xml.rels><?xml version="1.0" encoding="UTF-8"?>
<Relationships xmlns="http://schemas.openxmlformats.org/package/2006/relationships"><Relationship Id="rId1" Type="http://schemas.openxmlformats.org/officeDocument/2006/relationships/image" Target="../media/image1.png"/>
</Relationships>
</file>

<file path=xl/drawings/_rels/drawing7.xml.rels><?xml version="1.0" encoding="UTF-8"?>
<Relationships xmlns="http://schemas.openxmlformats.org/package/2006/relationships"><Relationship Id="rId1" Type="http://schemas.openxmlformats.org/officeDocument/2006/relationships/image" Target="../media/image1.png"/>
</Relationships>
</file>

<file path=xl/drawings/_rels/drawing8.xml.rels><?xml version="1.0" encoding="UTF-8"?>
<Relationships xmlns="http://schemas.openxmlformats.org/package/2006/relationships"><Relationship Id="rId1" Type="http://schemas.openxmlformats.org/officeDocument/2006/relationships/image" Target="../media/image1.png"/>
</Relationships>
</file>

<file path=xl/drawings/_rels/drawing9.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76320</xdr:rowOff>
    </xdr:from>
    <xdr:to>
      <xdr:col>0</xdr:col>
      <xdr:colOff>442800</xdr:colOff>
      <xdr:row>2</xdr:row>
      <xdr:rowOff>90720</xdr:rowOff>
    </xdr:to>
    <xdr:pic>
      <xdr:nvPicPr>
        <xdr:cNvPr id="0" name="Picture 1" descr=""/>
        <xdr:cNvPicPr/>
      </xdr:nvPicPr>
      <xdr:blipFill>
        <a:blip r:embed="rId1"/>
        <a:stretch/>
      </xdr:blipFill>
      <xdr:spPr>
        <a:xfrm>
          <a:off x="38160" y="76320"/>
          <a:ext cx="404640" cy="48096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576720</xdr:colOff>
      <xdr:row>2</xdr:row>
      <xdr:rowOff>129240</xdr:rowOff>
    </xdr:to>
    <xdr:pic>
      <xdr:nvPicPr>
        <xdr:cNvPr id="9" name="Picture 1" descr=""/>
        <xdr:cNvPicPr/>
      </xdr:nvPicPr>
      <xdr:blipFill>
        <a:blip r:embed="rId1"/>
        <a:stretch/>
      </xdr:blipFill>
      <xdr:spPr>
        <a:xfrm>
          <a:off x="171360" y="38160"/>
          <a:ext cx="405360" cy="4719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576720</xdr:colOff>
      <xdr:row>2</xdr:row>
      <xdr:rowOff>129240</xdr:rowOff>
    </xdr:to>
    <xdr:pic>
      <xdr:nvPicPr>
        <xdr:cNvPr id="10" name="Picture 1" descr=""/>
        <xdr:cNvPicPr/>
      </xdr:nvPicPr>
      <xdr:blipFill>
        <a:blip r:embed="rId1"/>
        <a:stretch/>
      </xdr:blipFill>
      <xdr:spPr>
        <a:xfrm>
          <a:off x="171360" y="38160"/>
          <a:ext cx="405360" cy="4719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576720</xdr:colOff>
      <xdr:row>2</xdr:row>
      <xdr:rowOff>129240</xdr:rowOff>
    </xdr:to>
    <xdr:pic>
      <xdr:nvPicPr>
        <xdr:cNvPr id="11" name="Picture 1" descr=""/>
        <xdr:cNvPicPr/>
      </xdr:nvPicPr>
      <xdr:blipFill>
        <a:blip r:embed="rId1"/>
        <a:stretch/>
      </xdr:blipFill>
      <xdr:spPr>
        <a:xfrm>
          <a:off x="171360" y="38160"/>
          <a:ext cx="405360" cy="4719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257040</xdr:colOff>
      <xdr:row>0</xdr:row>
      <xdr:rowOff>66600</xdr:rowOff>
    </xdr:from>
    <xdr:to>
      <xdr:col>0</xdr:col>
      <xdr:colOff>662400</xdr:colOff>
      <xdr:row>2</xdr:row>
      <xdr:rowOff>100440</xdr:rowOff>
    </xdr:to>
    <xdr:pic>
      <xdr:nvPicPr>
        <xdr:cNvPr id="12" name="Picture 1" descr=""/>
        <xdr:cNvPicPr/>
      </xdr:nvPicPr>
      <xdr:blipFill>
        <a:blip r:embed="rId1"/>
        <a:stretch/>
      </xdr:blipFill>
      <xdr:spPr>
        <a:xfrm>
          <a:off x="257040" y="66600"/>
          <a:ext cx="405360" cy="4147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57240</xdr:rowOff>
    </xdr:from>
    <xdr:to>
      <xdr:col>0</xdr:col>
      <xdr:colOff>396000</xdr:colOff>
      <xdr:row>2</xdr:row>
      <xdr:rowOff>24480</xdr:rowOff>
    </xdr:to>
    <xdr:pic>
      <xdr:nvPicPr>
        <xdr:cNvPr id="13" name="Picture 1" descr=""/>
        <xdr:cNvPicPr/>
      </xdr:nvPicPr>
      <xdr:blipFill>
        <a:blip r:embed="rId1"/>
        <a:stretch/>
      </xdr:blipFill>
      <xdr:spPr>
        <a:xfrm>
          <a:off x="95400" y="57240"/>
          <a:ext cx="300600" cy="34812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142920</xdr:colOff>
      <xdr:row>0</xdr:row>
      <xdr:rowOff>38160</xdr:rowOff>
    </xdr:from>
    <xdr:to>
      <xdr:col>0</xdr:col>
      <xdr:colOff>452880</xdr:colOff>
      <xdr:row>2</xdr:row>
      <xdr:rowOff>129240</xdr:rowOff>
    </xdr:to>
    <xdr:pic>
      <xdr:nvPicPr>
        <xdr:cNvPr id="14" name="Picture 1" descr=""/>
        <xdr:cNvPicPr/>
      </xdr:nvPicPr>
      <xdr:blipFill>
        <a:blip r:embed="rId1"/>
        <a:stretch/>
      </xdr:blipFill>
      <xdr:spPr>
        <a:xfrm>
          <a:off x="142920" y="38160"/>
          <a:ext cx="309960" cy="4719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57240</xdr:rowOff>
    </xdr:from>
    <xdr:to>
      <xdr:col>0</xdr:col>
      <xdr:colOff>398880</xdr:colOff>
      <xdr:row>2</xdr:row>
      <xdr:rowOff>24480</xdr:rowOff>
    </xdr:to>
    <xdr:pic>
      <xdr:nvPicPr>
        <xdr:cNvPr id="1" name="Picture 1" descr=""/>
        <xdr:cNvPicPr/>
      </xdr:nvPicPr>
      <xdr:blipFill>
        <a:blip r:embed="rId1"/>
        <a:stretch/>
      </xdr:blipFill>
      <xdr:spPr>
        <a:xfrm>
          <a:off x="95400" y="57240"/>
          <a:ext cx="303480" cy="3481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112680</xdr:colOff>
      <xdr:row>0</xdr:row>
      <xdr:rowOff>56160</xdr:rowOff>
    </xdr:from>
    <xdr:to>
      <xdr:col>0</xdr:col>
      <xdr:colOff>567360</xdr:colOff>
      <xdr:row>2</xdr:row>
      <xdr:rowOff>200520</xdr:rowOff>
    </xdr:to>
    <xdr:pic>
      <xdr:nvPicPr>
        <xdr:cNvPr id="2" name="Picture 1" descr=""/>
        <xdr:cNvPicPr/>
      </xdr:nvPicPr>
      <xdr:blipFill>
        <a:blip r:embed="rId1"/>
        <a:stretch/>
      </xdr:blipFill>
      <xdr:spPr>
        <a:xfrm>
          <a:off x="112680" y="56160"/>
          <a:ext cx="454680" cy="5252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47520</xdr:colOff>
      <xdr:row>0</xdr:row>
      <xdr:rowOff>0</xdr:rowOff>
    </xdr:from>
    <xdr:to>
      <xdr:col>0</xdr:col>
      <xdr:colOff>452880</xdr:colOff>
      <xdr:row>2</xdr:row>
      <xdr:rowOff>91080</xdr:rowOff>
    </xdr:to>
    <xdr:pic>
      <xdr:nvPicPr>
        <xdr:cNvPr id="3" name="Picture 1" descr=""/>
        <xdr:cNvPicPr/>
      </xdr:nvPicPr>
      <xdr:blipFill>
        <a:blip r:embed="rId1"/>
        <a:stretch/>
      </xdr:blipFill>
      <xdr:spPr>
        <a:xfrm>
          <a:off x="47520" y="0"/>
          <a:ext cx="405360" cy="4719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67320</xdr:colOff>
      <xdr:row>0</xdr:row>
      <xdr:rowOff>111960</xdr:rowOff>
    </xdr:from>
    <xdr:to>
      <xdr:col>1</xdr:col>
      <xdr:colOff>16560</xdr:colOff>
      <xdr:row>2</xdr:row>
      <xdr:rowOff>51840</xdr:rowOff>
    </xdr:to>
    <xdr:pic>
      <xdr:nvPicPr>
        <xdr:cNvPr id="4" name="Picture 1" descr=""/>
        <xdr:cNvPicPr/>
      </xdr:nvPicPr>
      <xdr:blipFill>
        <a:blip r:embed="rId1"/>
        <a:stretch/>
      </xdr:blipFill>
      <xdr:spPr>
        <a:xfrm>
          <a:off x="67320" y="111960"/>
          <a:ext cx="301680" cy="34956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85680</xdr:rowOff>
    </xdr:from>
    <xdr:to>
      <xdr:col>0</xdr:col>
      <xdr:colOff>357840</xdr:colOff>
      <xdr:row>2</xdr:row>
      <xdr:rowOff>92880</xdr:rowOff>
    </xdr:to>
    <xdr:pic>
      <xdr:nvPicPr>
        <xdr:cNvPr id="5" name="Picture 1" descr=""/>
        <xdr:cNvPicPr/>
      </xdr:nvPicPr>
      <xdr:blipFill>
        <a:blip r:embed="rId1"/>
        <a:stretch/>
      </xdr:blipFill>
      <xdr:spPr>
        <a:xfrm>
          <a:off x="38160" y="85680"/>
          <a:ext cx="319680" cy="2930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85680</xdr:rowOff>
    </xdr:from>
    <xdr:to>
      <xdr:col>0</xdr:col>
      <xdr:colOff>357840</xdr:colOff>
      <xdr:row>2</xdr:row>
      <xdr:rowOff>92880</xdr:rowOff>
    </xdr:to>
    <xdr:pic>
      <xdr:nvPicPr>
        <xdr:cNvPr id="6" name="Picture 1" descr=""/>
        <xdr:cNvPicPr/>
      </xdr:nvPicPr>
      <xdr:blipFill>
        <a:blip r:embed="rId1"/>
        <a:stretch/>
      </xdr:blipFill>
      <xdr:spPr>
        <a:xfrm>
          <a:off x="38160" y="85680"/>
          <a:ext cx="319680" cy="29304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264600</xdr:colOff>
      <xdr:row>0</xdr:row>
      <xdr:rowOff>52200</xdr:rowOff>
    </xdr:from>
    <xdr:to>
      <xdr:col>0</xdr:col>
      <xdr:colOff>628920</xdr:colOff>
      <xdr:row>2</xdr:row>
      <xdr:rowOff>93600</xdr:rowOff>
    </xdr:to>
    <xdr:pic>
      <xdr:nvPicPr>
        <xdr:cNvPr id="7" name="Picture 1" descr=""/>
        <xdr:cNvPicPr/>
      </xdr:nvPicPr>
      <xdr:blipFill>
        <a:blip r:embed="rId1"/>
        <a:stretch/>
      </xdr:blipFill>
      <xdr:spPr>
        <a:xfrm>
          <a:off x="264600" y="52200"/>
          <a:ext cx="364320" cy="36540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576720</xdr:colOff>
      <xdr:row>2</xdr:row>
      <xdr:rowOff>129240</xdr:rowOff>
    </xdr:to>
    <xdr:pic>
      <xdr:nvPicPr>
        <xdr:cNvPr id="8" name="Picture 1" descr=""/>
        <xdr:cNvPicPr/>
      </xdr:nvPicPr>
      <xdr:blipFill>
        <a:blip r:embed="rId1"/>
        <a:stretch/>
      </xdr:blipFill>
      <xdr:spPr>
        <a:xfrm>
          <a:off x="171360" y="38160"/>
          <a:ext cx="405360" cy="47196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drawing" Target="../drawings/drawing15.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10"/>
  <sheetViews>
    <sheetView showFormulas="false" showGridLines="false" showRowColHeaders="true" showZeros="true" rightToLeft="false" tabSelected="false" showOutlineSymbols="true" defaultGridColor="true" view="pageBreakPreview" topLeftCell="A1" colorId="64" zoomScale="120" zoomScaleNormal="115" zoomScalePageLayoutView="120" workbookViewId="0">
      <selection pane="topLeft" activeCell="I27" activeCellId="0" sqref="I27"/>
    </sheetView>
  </sheetViews>
  <sheetFormatPr defaultColWidth="8.71484375" defaultRowHeight="15" zeroHeight="false" outlineLevelRow="0" outlineLevelCol="0"/>
  <cols>
    <col collapsed="false" customWidth="true" hidden="false" outlineLevel="0" max="1" min="1" style="1" width="6.29"/>
    <col collapsed="false" customWidth="true" hidden="false" outlineLevel="0" max="2" min="2" style="2" width="41.42"/>
    <col collapsed="false" customWidth="true" hidden="false" outlineLevel="0" max="3" min="3" style="1" width="7.86"/>
    <col collapsed="false" customWidth="true" hidden="false" outlineLevel="0" max="4" min="4" style="1" width="16.29"/>
    <col collapsed="false" customWidth="true" hidden="false" outlineLevel="0" max="5" min="5" style="1" width="12.86"/>
    <col collapsed="false" customWidth="true" hidden="false" outlineLevel="0" max="6" min="6" style="1" width="16.29"/>
    <col collapsed="false" customWidth="true" hidden="false" outlineLevel="0" max="7" min="7" style="1" width="17.71"/>
    <col collapsed="false" customWidth="true" hidden="false" outlineLevel="0" max="8" min="8" style="1" width="20"/>
    <col collapsed="false" customWidth="true" hidden="false" outlineLevel="0" max="10" min="9" style="1" width="16.29"/>
    <col collapsed="false" customWidth="true" hidden="false" outlineLevel="0" max="12" min="11" style="3" width="13.86"/>
    <col collapsed="false" customWidth="true" hidden="false" outlineLevel="0" max="13" min="13" style="3" width="14.29"/>
    <col collapsed="false" customWidth="true" hidden="false" outlineLevel="0" max="14" min="14" style="1" width="15.42"/>
    <col collapsed="false" customWidth="true" hidden="false" outlineLevel="0" max="15" min="15" style="1" width="12.86"/>
    <col collapsed="false" customWidth="true" hidden="false" outlineLevel="0" max="16" min="16" style="1" width="16.43"/>
    <col collapsed="false" customWidth="true" hidden="false" outlineLevel="0" max="17" min="17" style="1" width="12"/>
    <col collapsed="false" customWidth="true" hidden="false" outlineLevel="0" max="18" min="18" style="4" width="16.43"/>
    <col collapsed="false" customWidth="true" hidden="false" outlineLevel="0" max="19" min="19" style="4" width="10.14"/>
    <col collapsed="false" customWidth="true" hidden="false" outlineLevel="0" max="20" min="20" style="4" width="13.29"/>
    <col collapsed="false" customWidth="true" hidden="false" outlineLevel="0" max="21" min="21" style="4" width="13.86"/>
    <col collapsed="false" customWidth="true" hidden="false" outlineLevel="0" max="22" min="22" style="4" width="13.71"/>
    <col collapsed="false" customWidth="true" hidden="false" outlineLevel="0" max="23" min="23" style="4" width="12.29"/>
    <col collapsed="false" customWidth="true" hidden="false" outlineLevel="0" max="256" min="24" style="1" width="9.14"/>
    <col collapsed="false" customWidth="true" hidden="false" outlineLevel="0" max="257" min="257" style="1" width="6.29"/>
    <col collapsed="false" customWidth="true" hidden="false" outlineLevel="0" max="258" min="258" style="1" width="41.42"/>
    <col collapsed="false" customWidth="true" hidden="false" outlineLevel="0" max="259" min="259" style="1" width="7.86"/>
    <col collapsed="false" customWidth="true" hidden="false" outlineLevel="0" max="260" min="260" style="1" width="16.29"/>
    <col collapsed="false" customWidth="true" hidden="false" outlineLevel="0" max="261" min="261" style="1" width="12.86"/>
    <col collapsed="false" customWidth="true" hidden="false" outlineLevel="0" max="263" min="262" style="1" width="16.29"/>
    <col collapsed="false" customWidth="true" hidden="false" outlineLevel="0" max="264" min="264" style="1" width="13.29"/>
    <col collapsed="false" customWidth="true" hidden="false" outlineLevel="0" max="266" min="265" style="1" width="16.29"/>
    <col collapsed="false" customWidth="true" hidden="false" outlineLevel="0" max="268" min="267" style="1" width="13.86"/>
    <col collapsed="false" customWidth="true" hidden="false" outlineLevel="0" max="269" min="269" style="1" width="13"/>
    <col collapsed="false" customWidth="true" hidden="false" outlineLevel="0" max="270" min="270" style="1" width="13.57"/>
    <col collapsed="false" customWidth="true" hidden="false" outlineLevel="0" max="271" min="271" style="1" width="12.86"/>
    <col collapsed="false" customWidth="true" hidden="false" outlineLevel="0" max="272" min="272" style="1" width="14.14"/>
    <col collapsed="false" customWidth="true" hidden="false" outlineLevel="0" max="273" min="273" style="1" width="12"/>
    <col collapsed="false" customWidth="true" hidden="false" outlineLevel="0" max="274" min="274" style="1" width="13"/>
    <col collapsed="false" customWidth="true" hidden="false" outlineLevel="0" max="275" min="275" style="1" width="11.85"/>
    <col collapsed="false" customWidth="true" hidden="false" outlineLevel="0" max="276" min="276" style="1" width="13.29"/>
    <col collapsed="false" customWidth="true" hidden="false" outlineLevel="0" max="277" min="277" style="1" width="12.29"/>
    <col collapsed="false" customWidth="true" hidden="false" outlineLevel="0" max="278" min="278" style="1" width="12.42"/>
    <col collapsed="false" customWidth="true" hidden="false" outlineLevel="0" max="279" min="279" style="1" width="10.57"/>
    <col collapsed="false" customWidth="true" hidden="false" outlineLevel="0" max="512" min="280" style="1" width="9.14"/>
    <col collapsed="false" customWidth="true" hidden="false" outlineLevel="0" max="513" min="513" style="1" width="6.29"/>
    <col collapsed="false" customWidth="true" hidden="false" outlineLevel="0" max="514" min="514" style="1" width="41.42"/>
    <col collapsed="false" customWidth="true" hidden="false" outlineLevel="0" max="515" min="515" style="1" width="7.86"/>
    <col collapsed="false" customWidth="true" hidden="false" outlineLevel="0" max="516" min="516" style="1" width="16.29"/>
    <col collapsed="false" customWidth="true" hidden="false" outlineLevel="0" max="517" min="517" style="1" width="12.86"/>
    <col collapsed="false" customWidth="true" hidden="false" outlineLevel="0" max="519" min="518" style="1" width="16.29"/>
    <col collapsed="false" customWidth="true" hidden="false" outlineLevel="0" max="520" min="520" style="1" width="13.29"/>
    <col collapsed="false" customWidth="true" hidden="false" outlineLevel="0" max="522" min="521" style="1" width="16.29"/>
    <col collapsed="false" customWidth="true" hidden="false" outlineLevel="0" max="524" min="523" style="1" width="13.86"/>
    <col collapsed="false" customWidth="true" hidden="false" outlineLevel="0" max="525" min="525" style="1" width="13"/>
    <col collapsed="false" customWidth="true" hidden="false" outlineLevel="0" max="526" min="526" style="1" width="13.57"/>
    <col collapsed="false" customWidth="true" hidden="false" outlineLevel="0" max="527" min="527" style="1" width="12.86"/>
    <col collapsed="false" customWidth="true" hidden="false" outlineLevel="0" max="528" min="528" style="1" width="14.14"/>
    <col collapsed="false" customWidth="true" hidden="false" outlineLevel="0" max="529" min="529" style="1" width="12"/>
    <col collapsed="false" customWidth="true" hidden="false" outlineLevel="0" max="530" min="530" style="1" width="13"/>
    <col collapsed="false" customWidth="true" hidden="false" outlineLevel="0" max="531" min="531" style="1" width="11.85"/>
    <col collapsed="false" customWidth="true" hidden="false" outlineLevel="0" max="532" min="532" style="1" width="13.29"/>
    <col collapsed="false" customWidth="true" hidden="false" outlineLevel="0" max="533" min="533" style="1" width="12.29"/>
    <col collapsed="false" customWidth="true" hidden="false" outlineLevel="0" max="534" min="534" style="1" width="12.42"/>
    <col collapsed="false" customWidth="true" hidden="false" outlineLevel="0" max="535" min="535" style="1" width="10.57"/>
    <col collapsed="false" customWidth="true" hidden="false" outlineLevel="0" max="768" min="536" style="1" width="9.14"/>
    <col collapsed="false" customWidth="true" hidden="false" outlineLevel="0" max="769" min="769" style="1" width="6.29"/>
    <col collapsed="false" customWidth="true" hidden="false" outlineLevel="0" max="770" min="770" style="1" width="41.42"/>
    <col collapsed="false" customWidth="true" hidden="false" outlineLevel="0" max="771" min="771" style="1" width="7.86"/>
    <col collapsed="false" customWidth="true" hidden="false" outlineLevel="0" max="772" min="772" style="1" width="16.29"/>
    <col collapsed="false" customWidth="true" hidden="false" outlineLevel="0" max="773" min="773" style="1" width="12.86"/>
    <col collapsed="false" customWidth="true" hidden="false" outlineLevel="0" max="775" min="774" style="1" width="16.29"/>
    <col collapsed="false" customWidth="true" hidden="false" outlineLevel="0" max="776" min="776" style="1" width="13.29"/>
    <col collapsed="false" customWidth="true" hidden="false" outlineLevel="0" max="778" min="777" style="1" width="16.29"/>
    <col collapsed="false" customWidth="true" hidden="false" outlineLevel="0" max="780" min="779" style="1" width="13.86"/>
    <col collapsed="false" customWidth="true" hidden="false" outlineLevel="0" max="781" min="781" style="1" width="13"/>
    <col collapsed="false" customWidth="true" hidden="false" outlineLevel="0" max="782" min="782" style="1" width="13.57"/>
    <col collapsed="false" customWidth="true" hidden="false" outlineLevel="0" max="783" min="783" style="1" width="12.86"/>
    <col collapsed="false" customWidth="true" hidden="false" outlineLevel="0" max="784" min="784" style="1" width="14.14"/>
    <col collapsed="false" customWidth="true" hidden="false" outlineLevel="0" max="785" min="785" style="1" width="12"/>
    <col collapsed="false" customWidth="true" hidden="false" outlineLevel="0" max="786" min="786" style="1" width="13"/>
    <col collapsed="false" customWidth="true" hidden="false" outlineLevel="0" max="787" min="787" style="1" width="11.85"/>
    <col collapsed="false" customWidth="true" hidden="false" outlineLevel="0" max="788" min="788" style="1" width="13.29"/>
    <col collapsed="false" customWidth="true" hidden="false" outlineLevel="0" max="789" min="789" style="1" width="12.29"/>
    <col collapsed="false" customWidth="true" hidden="false" outlineLevel="0" max="790" min="790" style="1" width="12.42"/>
    <col collapsed="false" customWidth="true" hidden="false" outlineLevel="0" max="791" min="791" style="1" width="10.57"/>
    <col collapsed="false" customWidth="true" hidden="false" outlineLevel="0" max="1025" min="792" style="1" width="9.14"/>
  </cols>
  <sheetData>
    <row r="1" customFormat="false" ht="17.25" hidden="false" customHeight="true" outlineLevel="0" collapsed="false">
      <c r="A1" s="5"/>
      <c r="B1" s="6" t="str">
        <f aca="false">INSTRUÇÕES!B1</f>
        <v>Tribunal Regional Federal da 6ª Região</v>
      </c>
      <c r="T1" s="7"/>
      <c r="U1" s="7"/>
      <c r="V1" s="7"/>
    </row>
    <row r="2" s="13" customFormat="true" ht="19.5" hidden="false" customHeight="true" outlineLevel="0" collapsed="false">
      <c r="A2" s="8"/>
      <c r="B2" s="9" t="str">
        <f aca="false">INSTRUÇÕES!B2</f>
        <v>Seção Judiciária de Minas Gerais</v>
      </c>
      <c r="C2" s="10" t="s">
        <v>0</v>
      </c>
      <c r="D2" s="10"/>
      <c r="E2" s="10"/>
      <c r="F2" s="10"/>
      <c r="G2" s="10"/>
      <c r="H2" s="10"/>
      <c r="I2" s="10"/>
      <c r="J2" s="10"/>
      <c r="K2" s="10"/>
      <c r="L2" s="10"/>
      <c r="M2" s="10"/>
      <c r="N2" s="10"/>
      <c r="O2" s="10"/>
      <c r="P2" s="10"/>
      <c r="Q2" s="10"/>
      <c r="R2" s="10"/>
      <c r="S2" s="10"/>
      <c r="T2" s="11"/>
      <c r="U2" s="11"/>
      <c r="V2" s="11"/>
      <c r="W2" s="12"/>
    </row>
    <row r="3" s="13" customFormat="true" ht="22.05" hidden="false" customHeight="false" outlineLevel="0" collapsed="false">
      <c r="A3" s="8"/>
      <c r="B3" s="9" t="str">
        <f aca="false">INSTRUÇÕES!B3</f>
        <v>Subseção Judiciária de Lavras</v>
      </c>
      <c r="C3" s="10" t="s">
        <v>1</v>
      </c>
      <c r="D3" s="10"/>
      <c r="E3" s="10"/>
      <c r="F3" s="10"/>
      <c r="G3" s="10"/>
      <c r="H3" s="10"/>
      <c r="I3" s="10"/>
      <c r="J3" s="10"/>
      <c r="K3" s="10"/>
      <c r="L3" s="10"/>
      <c r="M3" s="10"/>
      <c r="N3" s="10"/>
      <c r="O3" s="10"/>
      <c r="P3" s="10"/>
      <c r="Q3" s="10"/>
      <c r="R3" s="10"/>
      <c r="S3" s="10"/>
      <c r="W3" s="12"/>
    </row>
    <row r="4" s="17" customFormat="true" ht="30.75" hidden="false" customHeight="true" outlineLevel="0" collapsed="false">
      <c r="A4" s="14" t="s">
        <v>2</v>
      </c>
      <c r="B4" s="14"/>
      <c r="C4" s="14"/>
      <c r="D4" s="15" t="s">
        <v>3</v>
      </c>
      <c r="E4" s="15"/>
      <c r="F4" s="2"/>
      <c r="G4" s="2"/>
      <c r="H4" s="2"/>
      <c r="I4" s="2"/>
      <c r="J4" s="16"/>
      <c r="K4" s="16"/>
      <c r="L4" s="16"/>
      <c r="M4" s="16"/>
      <c r="N4" s="16"/>
      <c r="R4" s="18"/>
      <c r="S4" s="18"/>
      <c r="T4" s="18"/>
      <c r="U4" s="18"/>
      <c r="V4" s="18"/>
      <c r="W4" s="18"/>
    </row>
    <row r="5" s="17" customFormat="true" ht="23.25" hidden="false" customHeight="true" outlineLevel="0" collapsed="false">
      <c r="A5" s="14" t="s">
        <v>4</v>
      </c>
      <c r="B5" s="14"/>
      <c r="C5" s="14"/>
      <c r="D5" s="15" t="s">
        <v>5</v>
      </c>
      <c r="E5" s="19" t="n">
        <f aca="false">VLOOKUP(D5,B93:C96,2,FALSE())</f>
        <v>30</v>
      </c>
      <c r="F5" s="2" t="str">
        <f aca="false">VLOOKUP(D5,B94:D96,3,FALSE())</f>
        <v>Obs: Desconto atualmente aplicado (30 dias corridos).</v>
      </c>
      <c r="G5" s="2"/>
      <c r="H5" s="2"/>
      <c r="I5" s="2"/>
      <c r="J5" s="16"/>
      <c r="K5" s="16"/>
      <c r="L5" s="16"/>
      <c r="M5" s="16"/>
      <c r="N5" s="16"/>
      <c r="R5" s="18"/>
      <c r="S5" s="18"/>
      <c r="T5" s="18"/>
      <c r="U5" s="18"/>
      <c r="V5" s="18"/>
      <c r="W5" s="18"/>
    </row>
    <row r="6" s="17" customFormat="true" ht="12" hidden="false" customHeight="true" outlineLevel="0" collapsed="false">
      <c r="A6" s="16"/>
      <c r="B6" s="20"/>
      <c r="C6" s="16"/>
      <c r="D6" s="16"/>
      <c r="E6" s="16"/>
      <c r="F6" s="16"/>
      <c r="G6" s="16"/>
      <c r="H6" s="16"/>
      <c r="I6" s="16"/>
      <c r="J6" s="16"/>
      <c r="K6" s="16"/>
      <c r="L6" s="16"/>
      <c r="M6" s="16"/>
      <c r="N6" s="16"/>
      <c r="R6" s="18"/>
      <c r="S6" s="18"/>
      <c r="T6" s="18"/>
      <c r="U6" s="18"/>
      <c r="V6" s="18"/>
      <c r="W6" s="18"/>
    </row>
    <row r="7" s="17" customFormat="true" ht="31.5" hidden="false" customHeight="true" outlineLevel="0" collapsed="false">
      <c r="A7" s="21" t="s">
        <v>6</v>
      </c>
      <c r="B7" s="21"/>
      <c r="C7" s="21"/>
      <c r="D7" s="22" t="s">
        <v>7</v>
      </c>
      <c r="E7" s="23" t="s">
        <v>8</v>
      </c>
      <c r="F7" s="24" t="s">
        <v>9</v>
      </c>
      <c r="G7" s="24" t="s">
        <v>10</v>
      </c>
      <c r="H7" s="22" t="s">
        <v>11</v>
      </c>
      <c r="I7" s="23" t="s">
        <v>12</v>
      </c>
      <c r="J7" s="24" t="s">
        <v>13</v>
      </c>
      <c r="K7" s="25" t="s">
        <v>14</v>
      </c>
      <c r="L7" s="26" t="s">
        <v>15</v>
      </c>
      <c r="M7" s="26" t="s">
        <v>16</v>
      </c>
      <c r="N7" s="27" t="s">
        <v>17</v>
      </c>
      <c r="O7" s="28" t="s">
        <v>18</v>
      </c>
      <c r="P7" s="24" t="s">
        <v>19</v>
      </c>
      <c r="Q7" s="24" t="s">
        <v>20</v>
      </c>
      <c r="R7" s="25" t="s">
        <v>21</v>
      </c>
      <c r="S7" s="23" t="s">
        <v>22</v>
      </c>
      <c r="T7" s="29" t="s">
        <v>23</v>
      </c>
      <c r="U7" s="29"/>
      <c r="V7" s="29"/>
      <c r="W7" s="29"/>
    </row>
    <row r="8" s="17" customFormat="true" ht="31.5" hidden="false" customHeight="true" outlineLevel="0" collapsed="false">
      <c r="A8" s="21"/>
      <c r="B8" s="21"/>
      <c r="C8" s="21"/>
      <c r="D8" s="22"/>
      <c r="E8" s="23"/>
      <c r="F8" s="24"/>
      <c r="G8" s="24"/>
      <c r="H8" s="22"/>
      <c r="I8" s="23"/>
      <c r="J8" s="24"/>
      <c r="K8" s="25"/>
      <c r="L8" s="26"/>
      <c r="M8" s="26"/>
      <c r="N8" s="27"/>
      <c r="O8" s="28"/>
      <c r="P8" s="24"/>
      <c r="Q8" s="24"/>
      <c r="R8" s="25"/>
      <c r="S8" s="23"/>
      <c r="T8" s="29"/>
      <c r="U8" s="29"/>
      <c r="V8" s="29"/>
      <c r="W8" s="29"/>
    </row>
    <row r="9" s="17" customFormat="true" ht="31.5" hidden="false" customHeight="true" outlineLevel="0" collapsed="false">
      <c r="A9" s="21"/>
      <c r="B9" s="21"/>
      <c r="C9" s="21"/>
      <c r="D9" s="22"/>
      <c r="E9" s="23"/>
      <c r="F9" s="24"/>
      <c r="G9" s="24"/>
      <c r="H9" s="22"/>
      <c r="I9" s="23"/>
      <c r="J9" s="24"/>
      <c r="K9" s="25"/>
      <c r="L9" s="26"/>
      <c r="M9" s="26"/>
      <c r="N9" s="27"/>
      <c r="O9" s="28"/>
      <c r="P9" s="24"/>
      <c r="Q9" s="24"/>
      <c r="R9" s="25"/>
      <c r="S9" s="23"/>
      <c r="T9" s="29"/>
      <c r="U9" s="29"/>
      <c r="V9" s="29"/>
      <c r="W9" s="29"/>
    </row>
    <row r="10" s="17" customFormat="true" ht="49.95" hidden="false" customHeight="false" outlineLevel="0" collapsed="false">
      <c r="A10" s="30" t="s">
        <v>24</v>
      </c>
      <c r="B10" s="31" t="s">
        <v>25</v>
      </c>
      <c r="C10" s="32" t="s">
        <v>26</v>
      </c>
      <c r="D10" s="33" t="s">
        <v>27</v>
      </c>
      <c r="E10" s="30" t="s">
        <v>28</v>
      </c>
      <c r="F10" s="32" t="s">
        <v>29</v>
      </c>
      <c r="G10" s="32" t="s">
        <v>30</v>
      </c>
      <c r="H10" s="33" t="s">
        <v>31</v>
      </c>
      <c r="I10" s="30" t="s">
        <v>32</v>
      </c>
      <c r="J10" s="32" t="s">
        <v>33</v>
      </c>
      <c r="K10" s="34" t="s">
        <v>33</v>
      </c>
      <c r="L10" s="35" t="s">
        <v>34</v>
      </c>
      <c r="M10" s="35" t="s">
        <v>35</v>
      </c>
      <c r="N10" s="35" t="s">
        <v>36</v>
      </c>
      <c r="O10" s="36" t="s">
        <v>37</v>
      </c>
      <c r="P10" s="32" t="s">
        <v>38</v>
      </c>
      <c r="Q10" s="32" t="s">
        <v>39</v>
      </c>
      <c r="R10" s="34" t="s">
        <v>40</v>
      </c>
      <c r="S10" s="30" t="s">
        <v>41</v>
      </c>
      <c r="T10" s="32" t="s">
        <v>42</v>
      </c>
      <c r="U10" s="32" t="s">
        <v>43</v>
      </c>
      <c r="V10" s="32" t="s">
        <v>44</v>
      </c>
      <c r="W10" s="34" t="s">
        <v>45</v>
      </c>
    </row>
    <row r="11" s="17" customFormat="true" ht="15" hidden="false" customHeight="false" outlineLevel="0" collapsed="false">
      <c r="A11" s="37" t="n">
        <f aca="false">Dados!B7</f>
        <v>1</v>
      </c>
      <c r="B11" s="38" t="str">
        <f aca="false">Dados!C7</f>
        <v>Servente de Limpeza 40% Insalubridade</v>
      </c>
      <c r="C11" s="39" t="n">
        <f aca="false">Dados!D7</f>
        <v>200</v>
      </c>
      <c r="D11" s="40" t="n">
        <v>0</v>
      </c>
      <c r="E11" s="37" t="s">
        <v>46</v>
      </c>
      <c r="F11" s="39" t="n">
        <f aca="false">IF(E11="NÃO",0,D11*Dados!$G$34)</f>
        <v>0</v>
      </c>
      <c r="G11" s="41" t="n">
        <v>0</v>
      </c>
      <c r="H11" s="40" t="n">
        <v>0</v>
      </c>
      <c r="I11" s="42" t="n">
        <v>0</v>
      </c>
      <c r="J11" s="41" t="n">
        <v>0</v>
      </c>
      <c r="K11" s="43" t="n">
        <f aca="false">I11+J11</f>
        <v>0</v>
      </c>
      <c r="L11" s="44" t="n">
        <v>0</v>
      </c>
      <c r="M11" s="44" t="n">
        <v>0</v>
      </c>
      <c r="N11" s="45"/>
      <c r="O11" s="46" t="n">
        <f aca="false">Resumo!S12</f>
        <v>0</v>
      </c>
      <c r="P11" s="47" t="n">
        <f aca="false">Resumo!V12</f>
        <v>0</v>
      </c>
      <c r="Q11" s="48" t="n">
        <f aca="false">Resumo!W12</f>
        <v>6101.33</v>
      </c>
      <c r="R11" s="49" t="n">
        <f aca="false">Dados!O7+Dados!P7</f>
        <v>494.02</v>
      </c>
      <c r="S11" s="37" t="n">
        <f aca="false">Dados!S7</f>
        <v>2</v>
      </c>
      <c r="T11" s="50" t="n">
        <f aca="false">ROUND((Dados!M7*Encargos!$H$59*A11),2)</f>
        <v>693.41</v>
      </c>
      <c r="U11" s="50" t="s">
        <v>47</v>
      </c>
      <c r="V11" s="51" t="n">
        <f aca="false">SUMIF($S$11:$S$14,1,$Q$11:$Q$14)</f>
        <v>5198.33</v>
      </c>
      <c r="W11" s="52" t="n">
        <f aca="false">SUMIF($S$11:$S$14,1,$T$11:$T$14)</f>
        <v>635.52</v>
      </c>
    </row>
    <row r="12" s="17" customFormat="true" ht="15" hidden="false" customHeight="false" outlineLevel="0" collapsed="false">
      <c r="A12" s="37" t="n">
        <f aca="false">Dados!B8</f>
        <v>1</v>
      </c>
      <c r="B12" s="38" t="str">
        <f aca="false">Dados!C8</f>
        <v>Servente de Limpeza  ac. Copeira</v>
      </c>
      <c r="C12" s="39" t="n">
        <f aca="false">Dados!D8</f>
        <v>200</v>
      </c>
      <c r="D12" s="40" t="n">
        <v>0</v>
      </c>
      <c r="E12" s="37" t="s">
        <v>46</v>
      </c>
      <c r="F12" s="39" t="n">
        <f aca="false">IF(E12="NÃO",0,D12*Dados!$G$34)</f>
        <v>0</v>
      </c>
      <c r="G12" s="41" t="n">
        <v>0</v>
      </c>
      <c r="H12" s="40" t="n">
        <v>0</v>
      </c>
      <c r="I12" s="42" t="n">
        <v>0</v>
      </c>
      <c r="J12" s="41" t="n">
        <v>0</v>
      </c>
      <c r="K12" s="43" t="n">
        <f aca="false">I12+J12</f>
        <v>0</v>
      </c>
      <c r="L12" s="44" t="n">
        <v>0</v>
      </c>
      <c r="M12" s="44" t="n">
        <v>0</v>
      </c>
      <c r="N12" s="44" t="n">
        <v>0</v>
      </c>
      <c r="O12" s="46" t="n">
        <f aca="false">Resumo!S13</f>
        <v>0</v>
      </c>
      <c r="P12" s="53" t="n">
        <f aca="false">Resumo!V13</f>
        <v>0</v>
      </c>
      <c r="Q12" s="48" t="n">
        <f aca="false">Resumo!W13</f>
        <v>5048.73</v>
      </c>
      <c r="R12" s="49" t="n">
        <f aca="false">Dados!O8+Dados!P8</f>
        <v>643.011666666667</v>
      </c>
      <c r="S12" s="37" t="n">
        <f aca="false">Dados!S8</f>
        <v>2</v>
      </c>
      <c r="T12" s="50" t="n">
        <f aca="false">ROUND((Dados!M8*Encargos!$H$59*A12),2)</f>
        <v>506.95</v>
      </c>
      <c r="U12" s="50" t="s">
        <v>47</v>
      </c>
      <c r="V12" s="51" t="n">
        <f aca="false">SUMIF($S$11:$S$14,2,$Q$11:$Q$14)</f>
        <v>15033.8</v>
      </c>
      <c r="W12" s="52" t="n">
        <f aca="false">SUMIF($S$11:$S$14,2,$T$11:$T$14)</f>
        <v>1751.94</v>
      </c>
    </row>
    <row r="13" s="17" customFormat="true" ht="15" hidden="false" customHeight="false" outlineLevel="0" collapsed="false">
      <c r="A13" s="37" t="n">
        <f aca="false">Dados!B9</f>
        <v>1</v>
      </c>
      <c r="B13" s="38" t="str">
        <f aca="false">Dados!C9</f>
        <v>Zelador</v>
      </c>
      <c r="C13" s="39" t="n">
        <f aca="false">Dados!D9</f>
        <v>150</v>
      </c>
      <c r="D13" s="40" t="n">
        <v>0</v>
      </c>
      <c r="E13" s="37" t="s">
        <v>46</v>
      </c>
      <c r="F13" s="39" t="n">
        <f aca="false">IF(E13="NÃO",0,D13*Dados!$G$34)</f>
        <v>0</v>
      </c>
      <c r="G13" s="41" t="n">
        <v>0</v>
      </c>
      <c r="H13" s="40" t="n">
        <v>0</v>
      </c>
      <c r="I13" s="42" t="n">
        <v>0</v>
      </c>
      <c r="J13" s="41" t="n">
        <v>0</v>
      </c>
      <c r="K13" s="43" t="n">
        <f aca="false">I13+J13</f>
        <v>0</v>
      </c>
      <c r="L13" s="44" t="n">
        <v>0</v>
      </c>
      <c r="M13" s="44" t="n">
        <v>0</v>
      </c>
      <c r="N13" s="45"/>
      <c r="O13" s="46" t="n">
        <f aca="false">Resumo!S14</f>
        <v>0</v>
      </c>
      <c r="P13" s="47" t="n">
        <f aca="false">Resumo!V14</f>
        <v>0</v>
      </c>
      <c r="Q13" s="48" t="n">
        <f aca="false">Resumo!W14</f>
        <v>3883.74</v>
      </c>
      <c r="R13" s="49" t="n">
        <f aca="false">Dados!O9+Dados!P9</f>
        <v>0</v>
      </c>
      <c r="S13" s="37" t="n">
        <f aca="false">Dados!S9</f>
        <v>2</v>
      </c>
      <c r="T13" s="50" t="n">
        <f aca="false">ROUND((Dados!M9*Encargos!$H$59*A13),2)</f>
        <v>551.58</v>
      </c>
      <c r="U13" s="50" t="s">
        <v>47</v>
      </c>
      <c r="V13" s="51" t="n">
        <f aca="false">SUMIF($S$11:$S$14,4,$Q$11:$Q$14)</f>
        <v>0</v>
      </c>
      <c r="W13" s="52" t="n">
        <f aca="false">SUMIF($S$11:$S$14,4,$T$11:$T$14)</f>
        <v>0</v>
      </c>
    </row>
    <row r="14" s="17" customFormat="true" ht="15" hidden="false" customHeight="false" outlineLevel="0" collapsed="false">
      <c r="A14" s="37" t="n">
        <f aca="false">Dados!B10</f>
        <v>1</v>
      </c>
      <c r="B14" s="38" t="str">
        <f aca="false">Dados!C10</f>
        <v>Auxiliar Administrativo ac. Mensageiro</v>
      </c>
      <c r="C14" s="39" t="n">
        <f aca="false">Dados!D10</f>
        <v>200</v>
      </c>
      <c r="D14" s="40" t="n">
        <v>0</v>
      </c>
      <c r="E14" s="54" t="s">
        <v>46</v>
      </c>
      <c r="F14" s="55" t="n">
        <f aca="false">IF(E14="NÃO",0,D14*Dados!$G$34)</f>
        <v>0</v>
      </c>
      <c r="G14" s="56" t="n">
        <v>0</v>
      </c>
      <c r="H14" s="57" t="n">
        <v>0</v>
      </c>
      <c r="I14" s="58" t="n">
        <v>0</v>
      </c>
      <c r="J14" s="56" t="n">
        <v>0</v>
      </c>
      <c r="K14" s="59" t="n">
        <f aca="false">I14+J14</f>
        <v>0</v>
      </c>
      <c r="L14" s="60" t="n">
        <v>0</v>
      </c>
      <c r="M14" s="60" t="n">
        <v>0</v>
      </c>
      <c r="N14" s="45"/>
      <c r="O14" s="46" t="n">
        <f aca="false">Resumo!S15</f>
        <v>0</v>
      </c>
      <c r="P14" s="47" t="n">
        <f aca="false">Resumo!V15</f>
        <v>0</v>
      </c>
      <c r="Q14" s="48" t="n">
        <f aca="false">Resumo!W15</f>
        <v>5198.33</v>
      </c>
      <c r="R14" s="49" t="n">
        <f aca="false">Dados!O10+Dados!P10</f>
        <v>0</v>
      </c>
      <c r="S14" s="37" t="n">
        <f aca="false">Dados!S10</f>
        <v>1</v>
      </c>
      <c r="T14" s="50" t="n">
        <f aca="false">ROUND((Dados!M10*Encargos!$H$59*A14),2)</f>
        <v>635.52</v>
      </c>
      <c r="U14" s="50" t="s">
        <v>48</v>
      </c>
      <c r="V14" s="51" t="n">
        <f aca="false">SUMIF($S$11:$S$14,5,$Q$11:$Q$14)</f>
        <v>0</v>
      </c>
      <c r="W14" s="52" t="n">
        <f aca="false">SUMIF($S$11:$S$14,5,$T$11:$T$14)</f>
        <v>0</v>
      </c>
    </row>
    <row r="15" s="74" customFormat="true" ht="13.5" hidden="false" customHeight="true" outlineLevel="0" collapsed="false">
      <c r="A15" s="61" t="s">
        <v>49</v>
      </c>
      <c r="B15" s="61"/>
      <c r="C15" s="61"/>
      <c r="D15" s="61"/>
      <c r="E15" s="61"/>
      <c r="F15" s="61"/>
      <c r="G15" s="61"/>
      <c r="H15" s="62" t="n">
        <f aca="false">Resumo!I16</f>
        <v>0</v>
      </c>
      <c r="I15" s="63"/>
      <c r="J15" s="63"/>
      <c r="K15" s="64" t="n">
        <f aca="false">Resumo!L16</f>
        <v>0</v>
      </c>
      <c r="L15" s="65" t="n">
        <f aca="false">Resumo!O16</f>
        <v>0</v>
      </c>
      <c r="M15" s="65" t="n">
        <f aca="false">Resumo!R16</f>
        <v>0</v>
      </c>
      <c r="N15" s="66" t="n">
        <f aca="false">Resumo!V16</f>
        <v>0</v>
      </c>
      <c r="O15" s="67" t="n">
        <f aca="false">(H15+K15+L15+M15)</f>
        <v>0</v>
      </c>
      <c r="P15" s="68" t="n">
        <f aca="false">Resumo!V16</f>
        <v>0</v>
      </c>
      <c r="Q15" s="69" t="n">
        <f aca="false">SUM(Q11:Q14)</f>
        <v>20232.13</v>
      </c>
      <c r="R15" s="70" t="n">
        <f aca="false">SUM(R11:R14)</f>
        <v>1137.03166666667</v>
      </c>
      <c r="S15" s="71"/>
      <c r="T15" s="72" t="n">
        <f aca="false">SUM(T11:T14)</f>
        <v>2387.46</v>
      </c>
      <c r="U15" s="72"/>
      <c r="V15" s="72" t="n">
        <f aca="false">SUM(V11:V14)</f>
        <v>20232.13</v>
      </c>
      <c r="W15" s="73" t="n">
        <f aca="false">SUM(W11:W14)</f>
        <v>2387.46</v>
      </c>
    </row>
    <row r="16" customFormat="false" ht="15" hidden="false" customHeight="false" outlineLevel="0" collapsed="false">
      <c r="A16" s="75" t="s">
        <v>50</v>
      </c>
      <c r="C16" s="2"/>
      <c r="D16" s="2"/>
      <c r="E16" s="2"/>
      <c r="F16" s="2"/>
      <c r="G16" s="2"/>
      <c r="H16" s="2"/>
      <c r="I16" s="2"/>
      <c r="J16" s="2"/>
    </row>
    <row r="17" customFormat="false" ht="15" hidden="false" customHeight="false" outlineLevel="0" collapsed="false">
      <c r="A17" s="76" t="s">
        <v>51</v>
      </c>
      <c r="B17" s="77"/>
      <c r="C17" s="77"/>
      <c r="D17" s="77"/>
      <c r="E17" s="77"/>
      <c r="F17" s="77"/>
      <c r="G17" s="77"/>
      <c r="H17" s="77"/>
      <c r="I17" s="77"/>
      <c r="J17" s="77"/>
    </row>
    <row r="18" s="74" customFormat="true" ht="25.5" hidden="false" customHeight="true" outlineLevel="0" collapsed="false">
      <c r="A18" s="78" t="s">
        <v>52</v>
      </c>
      <c r="B18" s="78"/>
      <c r="C18" s="78" t="s">
        <v>53</v>
      </c>
      <c r="D18" s="78" t="s">
        <v>54</v>
      </c>
      <c r="E18" s="78" t="s">
        <v>55</v>
      </c>
      <c r="F18" s="78" t="s">
        <v>56</v>
      </c>
      <c r="H18" s="76"/>
      <c r="I18" s="79"/>
      <c r="J18" s="76"/>
      <c r="K18" s="79"/>
      <c r="L18" s="79"/>
      <c r="M18" s="79"/>
      <c r="R18" s="79"/>
      <c r="S18" s="79"/>
      <c r="T18" s="79"/>
      <c r="U18" s="79"/>
      <c r="V18" s="79"/>
      <c r="W18" s="79"/>
    </row>
    <row r="19" s="74" customFormat="true" ht="15" hidden="false" customHeight="false" outlineLevel="0" collapsed="false">
      <c r="A19" s="78"/>
      <c r="B19" s="78"/>
      <c r="C19" s="80" t="n">
        <v>220</v>
      </c>
      <c r="D19" s="80" t="n">
        <v>10</v>
      </c>
      <c r="E19" s="80" t="n">
        <v>25</v>
      </c>
      <c r="F19" s="81" t="n">
        <f aca="false">ROUND((D19/VLOOKUP(C19,$B$99:$C$105,2,FALSE())+E19/60/VLOOKUP(C19,$B$99:$C$105,2,FALSE())),2)</f>
        <v>1.18</v>
      </c>
      <c r="H19" s="76"/>
      <c r="I19" s="79"/>
      <c r="J19" s="76"/>
      <c r="K19" s="79"/>
      <c r="L19" s="79"/>
      <c r="M19" s="79"/>
      <c r="R19" s="79"/>
      <c r="S19" s="79"/>
      <c r="T19" s="79"/>
      <c r="U19" s="79"/>
      <c r="V19" s="79"/>
      <c r="W19" s="79"/>
    </row>
    <row r="20" s="74" customFormat="true" ht="15" hidden="false" customHeight="true" outlineLevel="0" collapsed="false">
      <c r="A20" s="82" t="s">
        <v>57</v>
      </c>
      <c r="B20" s="82"/>
      <c r="C20" s="82"/>
      <c r="D20" s="82"/>
      <c r="E20" s="82"/>
      <c r="F20" s="82"/>
      <c r="G20" s="2"/>
      <c r="H20" s="2"/>
      <c r="I20" s="2"/>
      <c r="J20" s="76"/>
      <c r="K20" s="79"/>
      <c r="L20" s="79"/>
      <c r="M20" s="79"/>
      <c r="R20" s="79"/>
      <c r="S20" s="79"/>
      <c r="T20" s="79"/>
      <c r="U20" s="79"/>
      <c r="V20" s="79"/>
      <c r="W20" s="79"/>
    </row>
    <row r="21" s="74" customFormat="true" ht="15" hidden="false" customHeight="false" outlineLevel="0" collapsed="false">
      <c r="A21" s="82"/>
      <c r="B21" s="82"/>
      <c r="C21" s="82"/>
      <c r="D21" s="82"/>
      <c r="E21" s="82"/>
      <c r="F21" s="82"/>
      <c r="G21" s="2"/>
      <c r="H21" s="83"/>
      <c r="I21" s="2"/>
      <c r="J21" s="76"/>
      <c r="K21" s="79"/>
      <c r="L21" s="79"/>
      <c r="M21" s="79"/>
      <c r="R21" s="79"/>
      <c r="S21" s="79"/>
      <c r="T21" s="79"/>
      <c r="U21" s="79"/>
      <c r="V21" s="79"/>
      <c r="W21" s="79"/>
    </row>
    <row r="22" customFormat="false" ht="15" hidden="false" customHeight="false" outlineLevel="0" collapsed="false">
      <c r="A22" s="76" t="s">
        <v>58</v>
      </c>
      <c r="C22" s="2"/>
      <c r="D22" s="2"/>
      <c r="E22" s="2"/>
      <c r="F22" s="2"/>
      <c r="G22" s="2"/>
      <c r="H22" s="2"/>
      <c r="I22" s="2"/>
      <c r="J22" s="2"/>
    </row>
    <row r="23" customFormat="false" ht="15" hidden="false" customHeight="false" outlineLevel="0" collapsed="false">
      <c r="A23" s="2"/>
      <c r="C23" s="2"/>
      <c r="D23" s="2"/>
      <c r="E23" s="2"/>
      <c r="F23" s="2"/>
      <c r="G23" s="2"/>
      <c r="H23" s="2"/>
      <c r="I23" s="2"/>
      <c r="J23" s="2"/>
      <c r="N23" s="84"/>
      <c r="O23" s="85"/>
      <c r="P23" s="85"/>
    </row>
    <row r="24" customFormat="false" ht="30.75" hidden="false" customHeight="true" outlineLevel="0" collapsed="false">
      <c r="A24" s="86" t="s">
        <v>59</v>
      </c>
      <c r="B24" s="87" t="s">
        <v>60</v>
      </c>
      <c r="C24" s="87"/>
      <c r="D24" s="87"/>
      <c r="E24" s="87"/>
      <c r="F24" s="88" t="s">
        <v>61</v>
      </c>
      <c r="G24" s="88"/>
      <c r="H24" s="88"/>
      <c r="I24" s="89" t="s">
        <v>62</v>
      </c>
      <c r="J24" s="89"/>
      <c r="K24" s="89"/>
      <c r="L24" s="90" t="s">
        <v>63</v>
      </c>
      <c r="M24" s="90"/>
      <c r="N24" s="90"/>
      <c r="O24" s="90"/>
      <c r="V24" s="1"/>
      <c r="W24" s="1"/>
    </row>
    <row r="25" customFormat="false" ht="38.25" hidden="false" customHeight="true" outlineLevel="0" collapsed="false">
      <c r="A25" s="86"/>
      <c r="B25" s="78" t="s">
        <v>64</v>
      </c>
      <c r="C25" s="78"/>
      <c r="D25" s="78"/>
      <c r="E25" s="78" t="s">
        <v>65</v>
      </c>
      <c r="F25" s="78" t="s">
        <v>66</v>
      </c>
      <c r="G25" s="78" t="s">
        <v>67</v>
      </c>
      <c r="H25" s="91" t="s">
        <v>68</v>
      </c>
      <c r="I25" s="89"/>
      <c r="J25" s="89"/>
      <c r="K25" s="89"/>
      <c r="L25" s="86" t="s">
        <v>69</v>
      </c>
      <c r="M25" s="87" t="s">
        <v>70</v>
      </c>
      <c r="N25" s="87" t="s">
        <v>71</v>
      </c>
      <c r="O25" s="88" t="s">
        <v>72</v>
      </c>
      <c r="V25" s="2"/>
      <c r="W25" s="1"/>
    </row>
    <row r="26" customFormat="false" ht="14.25" hidden="false" customHeight="true" outlineLevel="0" collapsed="false">
      <c r="A26" s="92" t="n">
        <v>1</v>
      </c>
      <c r="B26" s="93" t="str">
        <f aca="false">Mat!B9</f>
        <v>Água sanitária galão de 5 litros, composição do produto: hipoclorito de sódio 2,5%, hidróxido de sódio e veículo.,teor de cloro ativo entre 2,0 e 2,5% p/p.</v>
      </c>
      <c r="C26" s="93"/>
      <c r="D26" s="93"/>
      <c r="E26" s="50" t="str">
        <f aca="false">Mat!C9</f>
        <v>Galão</v>
      </c>
      <c r="F26" s="50" t="str">
        <f aca="false">Mat!D9</f>
        <v>Santa Clara</v>
      </c>
      <c r="G26" s="94" t="n">
        <f aca="false">IF($D$4="PLANILHA PARA LICITAÇÃO (PRECIFICAÇÃO)",L26,0)</f>
        <v>1</v>
      </c>
      <c r="H26" s="95" t="n">
        <f aca="false">G26*Mat!G9</f>
        <v>15.23</v>
      </c>
      <c r="I26" s="96" t="str">
        <f aca="false">IF(G26&lt;L26,"Fornecimento inferior ao estimado mensalmente",IF(G26=L26,"Fornecimento igual ao estimado mensalmente",IF(G26&gt;L26,"Fornecimento superior ao estimado mensalmente",)))</f>
        <v>Fornecimento igual ao estimado mensalmente</v>
      </c>
      <c r="J26" s="96"/>
      <c r="K26" s="96"/>
      <c r="L26" s="97" t="n">
        <f aca="false">M26/O26</f>
        <v>1</v>
      </c>
      <c r="M26" s="98" t="n">
        <f aca="false">Mat!E9</f>
        <v>1</v>
      </c>
      <c r="N26" s="99" t="str">
        <f aca="false">Mat!F9</f>
        <v>mensal</v>
      </c>
      <c r="O26" s="100" t="n">
        <f aca="false">IF(N26="MENSAL",1,IF(N26="BIMESTRAL",2,IF(N26="TRIMESTRAL",3,IF(N26="QUADRIMESTRAL",4,IF(N26="SEMESTRAL",6,IF(N26="ANUAL",12,IF(N26="BIENAL",24,"")))))))</f>
        <v>1</v>
      </c>
      <c r="W26" s="1"/>
    </row>
    <row r="27" customFormat="false" ht="52.5" hidden="false" customHeight="true" outlineLevel="0" collapsed="false">
      <c r="A27" s="101" t="n">
        <v>2</v>
      </c>
      <c r="B27" s="93" t="str">
        <f aca="false">Mat!B10</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7" s="93"/>
      <c r="D27" s="93"/>
      <c r="E27" s="50" t="str">
        <f aca="false">Mat!C10</f>
        <v>Galão</v>
      </c>
      <c r="F27" s="50" t="str">
        <f aca="false">Mat!D10</f>
        <v>Asseptgel</v>
      </c>
      <c r="G27" s="94" t="n">
        <f aca="false">IF($D$4="PLANILHA PARA LICITAÇÃO (PRECIFICAÇÃO)",L27,0)</f>
        <v>1</v>
      </c>
      <c r="H27" s="95" t="n">
        <f aca="false">G27*Mat!G10</f>
        <v>57.39</v>
      </c>
      <c r="I27" s="96" t="str">
        <f aca="false">IF(G27&lt;L27,"Fornecimento inferior ao estimado mensalmente",IF(G27=L27,"Fornecimento igual ao estimado mensalmente",IF(G27&gt;L27,"Fornecimento superior ao estimado mensalmente",)))</f>
        <v>Fornecimento igual ao estimado mensalmente</v>
      </c>
      <c r="J27" s="96"/>
      <c r="K27" s="96"/>
      <c r="L27" s="97" t="n">
        <f aca="false">M27/O27</f>
        <v>1</v>
      </c>
      <c r="M27" s="98" t="n">
        <f aca="false">Mat!E10</f>
        <v>1</v>
      </c>
      <c r="N27" s="99" t="str">
        <f aca="false">Mat!F10</f>
        <v>mensal</v>
      </c>
      <c r="O27" s="100" t="n">
        <f aca="false">IF(N27="MENSAL",1,IF(N27="BIMESTRAL",2,IF(N27="TRIMESTRAL",3,IF(N27="QUADRIMESTRAL",4,IF(N27="SEMESTRAL",6,IF(N27="ANUAL",12,IF(N27="BIENAL",24,"")))))))</f>
        <v>1</v>
      </c>
      <c r="W27" s="1"/>
    </row>
    <row r="28" customFormat="false" ht="15" hidden="false" customHeight="true" outlineLevel="0" collapsed="false">
      <c r="A28" s="101" t="n">
        <v>3</v>
      </c>
      <c r="B28" s="93" t="str">
        <f aca="false">Mat!B11</f>
        <v>Balde plástico em polietileno de alta densidade, alta resistência a impacto, com paredes e fundo reforçados, com reforço no encaixe da alça de aço zincado constando no corpo a marcado fabricante, capacidade de 20 litros.</v>
      </c>
      <c r="C28" s="93"/>
      <c r="D28" s="93"/>
      <c r="E28" s="50" t="str">
        <f aca="false">Mat!C11</f>
        <v>unid.</v>
      </c>
      <c r="F28" s="50" t="str">
        <f aca="false">Mat!D11</f>
        <v>Arqplast</v>
      </c>
      <c r="G28" s="94" t="n">
        <f aca="false">IF($D$4="PLANILHA PARA LICITAÇÃO (PRECIFICAÇÃO)",L28,0)</f>
        <v>0.333333333333333</v>
      </c>
      <c r="H28" s="95" t="n">
        <f aca="false">G28*Mat!G11</f>
        <v>8.79333333333333</v>
      </c>
      <c r="I28" s="96" t="str">
        <f aca="false">IF(G28&lt;L28,"Fornecimento inferior ao estimado mensalmente",IF(G28=L28,"Fornecimento igual ao estimado mensalmente",IF(G28&gt;L28,"Fornecimento superior ao estimado mensalmente",)))</f>
        <v>Fornecimento igual ao estimado mensalmente</v>
      </c>
      <c r="J28" s="96"/>
      <c r="K28" s="96"/>
      <c r="L28" s="97" t="n">
        <f aca="false">M28/O28</f>
        <v>0.333333333333333</v>
      </c>
      <c r="M28" s="98" t="n">
        <f aca="false">Mat!E11</f>
        <v>1</v>
      </c>
      <c r="N28" s="99" t="str">
        <f aca="false">Mat!F11</f>
        <v>trimestral</v>
      </c>
      <c r="O28" s="100" t="n">
        <f aca="false">IF(N28="MENSAL",1,IF(N28="BIMESTRAL",2,IF(N28="TRIMESTRAL",3,IF(N28="QUADRIMESTRAL",4,IF(N28="SEMESTRAL",6,IF(N28="ANUAL",12,IF(N28="BIENAL",24,"")))))))</f>
        <v>3</v>
      </c>
      <c r="W28" s="1"/>
    </row>
    <row r="29" customFormat="false" ht="15" hidden="false" customHeight="true" outlineLevel="0" collapsed="false">
      <c r="A29" s="101" t="n">
        <v>4</v>
      </c>
      <c r="B29" s="93" t="str">
        <f aca="false">Mat!B12</f>
        <v>Balde Material: Plástico , Material Alça: Arame Galvanizado, Capacidade: 10 L, Cor: Preta, Características Adicionais: Reforço Fundo E Borda</v>
      </c>
      <c r="C29" s="93"/>
      <c r="D29" s="93"/>
      <c r="E29" s="50" t="str">
        <f aca="false">Mat!C12</f>
        <v>unid.</v>
      </c>
      <c r="F29" s="50" t="str">
        <f aca="false">Mat!D12</f>
        <v>Sanremo</v>
      </c>
      <c r="G29" s="94" t="n">
        <f aca="false">IF($D$4="PLANILHA PARA LICITAÇÃO (PRECIFICAÇÃO)",L29,0)</f>
        <v>0.333333333333333</v>
      </c>
      <c r="H29" s="95" t="n">
        <f aca="false">G29*Mat!G12</f>
        <v>4.63</v>
      </c>
      <c r="I29" s="96" t="str">
        <f aca="false">IF(G29&lt;L29,"Fornecimento inferior ao estimado mensalmente",IF(G29=L29,"Fornecimento igual ao estimado mensalmente",IF(G29&gt;L29,"Fornecimento superior ao estimado mensalmente",)))</f>
        <v>Fornecimento igual ao estimado mensalmente</v>
      </c>
      <c r="J29" s="96"/>
      <c r="K29" s="96"/>
      <c r="L29" s="97" t="n">
        <f aca="false">M29/O29</f>
        <v>0.333333333333333</v>
      </c>
      <c r="M29" s="98" t="n">
        <f aca="false">Mat!E12</f>
        <v>1</v>
      </c>
      <c r="N29" s="99" t="str">
        <f aca="false">Mat!F12</f>
        <v>trimestral</v>
      </c>
      <c r="O29" s="100" t="n">
        <f aca="false">IF(N29="MENSAL",1,IF(N29="BIMESTRAL",2,IF(N29="TRIMESTRAL",3,IF(N29="QUADRIMESTRAL",4,IF(N29="SEMESTRAL",6,IF(N29="ANUAL",12,IF(N29="BIENAL",24,"")))))))</f>
        <v>3</v>
      </c>
      <c r="W29" s="1"/>
    </row>
    <row r="30" customFormat="false" ht="15" hidden="false" customHeight="true" outlineLevel="0" collapsed="false">
      <c r="A30" s="101" t="n">
        <v>5</v>
      </c>
      <c r="B30" s="93" t="str">
        <f aca="false">Mat!B13</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30" s="93"/>
      <c r="D30" s="93"/>
      <c r="E30" s="50" t="str">
        <f aca="false">Mat!C13</f>
        <v>unid.</v>
      </c>
      <c r="F30" s="50" t="str">
        <f aca="false">Mat!D13</f>
        <v>Azulim</v>
      </c>
      <c r="G30" s="94" t="n">
        <f aca="false">IF($D$4="PLANILHA PARA LICITAÇÃO (PRECIFICAÇÃO)",L30,0)</f>
        <v>1</v>
      </c>
      <c r="H30" s="95" t="n">
        <f aca="false">G30*Mat!G13</f>
        <v>5.46</v>
      </c>
      <c r="I30" s="96" t="str">
        <f aca="false">IF(G30&lt;L30,"Fornecimento inferior ao estimado mensalmente",IF(G30=L30,"Fornecimento igual ao estimado mensalmente",IF(G30&gt;L30,"Fornecimento superior ao estimado mensalmente",)))</f>
        <v>Fornecimento igual ao estimado mensalmente</v>
      </c>
      <c r="J30" s="96"/>
      <c r="K30" s="96"/>
      <c r="L30" s="97" t="n">
        <f aca="false">M30/O30</f>
        <v>1</v>
      </c>
      <c r="M30" s="98" t="n">
        <f aca="false">Mat!E13</f>
        <v>1</v>
      </c>
      <c r="N30" s="99" t="str">
        <f aca="false">Mat!F13</f>
        <v>mensal</v>
      </c>
      <c r="O30" s="100" t="n">
        <f aca="false">IF(N30="MENSAL",1,IF(N30="BIMESTRAL",2,IF(N30="TRIMESTRAL",3,IF(N30="QUADRIMESTRAL",4,IF(N30="SEMESTRAL",6,IF(N30="ANUAL",12,IF(N30="BIENAL",24,"")))))))</f>
        <v>1</v>
      </c>
      <c r="W30" s="1"/>
    </row>
    <row r="31" customFormat="false" ht="15" hidden="false" customHeight="true" outlineLevel="0" collapsed="false">
      <c r="A31" s="101" t="n">
        <v>6</v>
      </c>
      <c r="B31" s="93" t="str">
        <f aca="false">Mat!B14</f>
        <v>Cloro liquido concentrado com teor ativo de no minimo 10 a 12% para limpeza pesada embalagem com 5 litros</v>
      </c>
      <c r="C31" s="93"/>
      <c r="D31" s="93"/>
      <c r="E31" s="50" t="str">
        <f aca="false">Mat!C14</f>
        <v>Galão</v>
      </c>
      <c r="F31" s="50" t="n">
        <f aca="false">Mat!D14</f>
        <v>0</v>
      </c>
      <c r="G31" s="94" t="n">
        <f aca="false">IF($D$4="PLANILHA PARA LICITAÇÃO (PRECIFICAÇÃO)",L31,0)</f>
        <v>0.5</v>
      </c>
      <c r="H31" s="95" t="n">
        <f aca="false">G31*Mat!G14</f>
        <v>6.215</v>
      </c>
      <c r="I31" s="96" t="str">
        <f aca="false">IF(G31&lt;L31,"Fornecimento inferior ao estimado mensalmente",IF(G31=L31,"Fornecimento igual ao estimado mensalmente",IF(G31&gt;L31,"Fornecimento superior ao estimado mensalmente",)))</f>
        <v>Fornecimento igual ao estimado mensalmente</v>
      </c>
      <c r="J31" s="96"/>
      <c r="K31" s="96"/>
      <c r="L31" s="97" t="n">
        <f aca="false">M31/O31</f>
        <v>0.5</v>
      </c>
      <c r="M31" s="98" t="n">
        <f aca="false">Mat!E14</f>
        <v>1</v>
      </c>
      <c r="N31" s="99" t="str">
        <f aca="false">Mat!F14</f>
        <v>bimestral</v>
      </c>
      <c r="O31" s="100" t="n">
        <f aca="false">IF(N31="MENSAL",1,IF(N31="BIMESTRAL",2,IF(N31="TRIMESTRAL",3,IF(N31="QUADRIMESTRAL",4,IF(N31="SEMESTRAL",6,IF(N31="ANUAL",12,IF(N31="BIENAL",24,"")))))))</f>
        <v>2</v>
      </c>
      <c r="W31" s="1"/>
    </row>
    <row r="32" customFormat="false" ht="15" hidden="false" customHeight="true" outlineLevel="0" collapsed="false">
      <c r="A32" s="101" t="n">
        <v>7</v>
      </c>
      <c r="B32" s="93" t="str">
        <f aca="false">Mat!B15</f>
        <v>Desentupidor Pia: Tipo: Sanfonado, Com Alto Poder De Sucção. Material: Borracha Flexível, Composto Por Polipropileno E Borracha Termoplástica. Plástico Resistente, Cabo Longo, mínimo 20 CM.</v>
      </c>
      <c r="C32" s="93"/>
      <c r="D32" s="93"/>
      <c r="E32" s="50" t="str">
        <f aca="false">Mat!C15</f>
        <v>unid.</v>
      </c>
      <c r="F32" s="50" t="str">
        <f aca="false">Mat!D15</f>
        <v>Oliveira e Azevedo</v>
      </c>
      <c r="G32" s="94" t="n">
        <f aca="false">IF($D$4="PLANILHA PARA LICITAÇÃO (PRECIFICAÇÃO)",L32,0)</f>
        <v>0.166666666666667</v>
      </c>
      <c r="H32" s="95" t="n">
        <f aca="false">G32*Mat!G15</f>
        <v>1.735</v>
      </c>
      <c r="I32" s="96" t="str">
        <f aca="false">IF(G32&lt;L32,"Fornecimento inferior ao estimado mensalmente",IF(G32=L32,"Fornecimento igual ao estimado mensalmente",IF(G32&gt;L32,"Fornecimento superior ao estimado mensalmente",)))</f>
        <v>Fornecimento igual ao estimado mensalmente</v>
      </c>
      <c r="J32" s="96"/>
      <c r="K32" s="96"/>
      <c r="L32" s="97" t="n">
        <f aca="false">M32/O32</f>
        <v>0.166666666666667</v>
      </c>
      <c r="M32" s="98" t="n">
        <f aca="false">Mat!E15</f>
        <v>1</v>
      </c>
      <c r="N32" s="99" t="str">
        <f aca="false">Mat!F15</f>
        <v>semestral</v>
      </c>
      <c r="O32" s="100" t="n">
        <f aca="false">IF(N32="MENSAL",1,IF(N32="BIMESTRAL",2,IF(N32="TRIMESTRAL",3,IF(N32="QUADRIMESTRAL",4,IF(N32="SEMESTRAL",6,IF(N32="ANUAL",12,IF(N32="BIENAL",24,"")))))))</f>
        <v>6</v>
      </c>
      <c r="W32" s="1"/>
    </row>
    <row r="33" customFormat="false" ht="15" hidden="false" customHeight="true" outlineLevel="0" collapsed="false">
      <c r="A33" s="101" t="n">
        <v>8</v>
      </c>
      <c r="B33" s="93" t="str">
        <f aca="false">Mat!B16</f>
        <v>Desentupidor Vaso Sanitário Material: Borracha Flexível, Comprimento Cabo: 50 CM, Altura: 10 CM, Cor: Preta , Diâmetro: 16 CM, MaterialCabo: Madeira</v>
      </c>
      <c r="C33" s="93"/>
      <c r="D33" s="93"/>
      <c r="E33" s="50" t="str">
        <f aca="false">Mat!C16</f>
        <v>unid.</v>
      </c>
      <c r="F33" s="50" t="str">
        <f aca="false">Mat!D16</f>
        <v>Canada</v>
      </c>
      <c r="G33" s="94" t="n">
        <f aca="false">IF($D$4="PLANILHA PARA LICITAÇÃO (PRECIFICAÇÃO)",L33,0)</f>
        <v>0.166666666666667</v>
      </c>
      <c r="H33" s="95" t="n">
        <f aca="false">G33*Mat!G16</f>
        <v>1.84666666666667</v>
      </c>
      <c r="I33" s="96" t="str">
        <f aca="false">IF(G33&lt;L33,"Fornecimento inferior ao estimado mensalmente",IF(G33=L33,"Fornecimento igual ao estimado mensalmente",IF(G33&gt;L33,"Fornecimento superior ao estimado mensalmente",)))</f>
        <v>Fornecimento igual ao estimado mensalmente</v>
      </c>
      <c r="J33" s="96"/>
      <c r="K33" s="96"/>
      <c r="L33" s="97" t="n">
        <f aca="false">M33/O33</f>
        <v>0.166666666666667</v>
      </c>
      <c r="M33" s="98" t="n">
        <f aca="false">Mat!E16</f>
        <v>1</v>
      </c>
      <c r="N33" s="99" t="str">
        <f aca="false">Mat!F16</f>
        <v>semestral</v>
      </c>
      <c r="O33" s="100" t="n">
        <f aca="false">IF(N33="MENSAL",1,IF(N33="BIMESTRAL",2,IF(N33="TRIMESTRAL",3,IF(N33="QUADRIMESTRAL",4,IF(N33="SEMESTRAL",6,IF(N33="ANUAL",12,IF(N33="BIENAL",24,"")))))))</f>
        <v>6</v>
      </c>
      <c r="W33" s="1"/>
    </row>
    <row r="34" customFormat="false" ht="15" hidden="false" customHeight="false" outlineLevel="0" collapsed="false">
      <c r="A34" s="101" t="n">
        <v>9</v>
      </c>
      <c r="B34" s="93" t="str">
        <f aca="false">Mat!B17</f>
        <v>Desinfetante concentrado líquido. Aroma floral. Embalagem com 5 litros.</v>
      </c>
      <c r="C34" s="93"/>
      <c r="D34" s="93"/>
      <c r="E34" s="50" t="str">
        <f aca="false">Mat!C17</f>
        <v>Galão</v>
      </c>
      <c r="F34" s="50" t="str">
        <f aca="false">Mat!D17</f>
        <v>Mirax Floral Bouquet</v>
      </c>
      <c r="G34" s="94" t="n">
        <f aca="false">IF($D$4="PLANILHA PARA LICITAÇÃO (PRECIFICAÇÃO)",L34,0)</f>
        <v>1</v>
      </c>
      <c r="H34" s="95" t="n">
        <f aca="false">G34*Mat!G17</f>
        <v>44.79</v>
      </c>
      <c r="I34" s="96" t="str">
        <f aca="false">IF(G34&lt;L34,"Fornecimento inferior ao estimado mensalmente",IF(G34=L34,"Fornecimento igual ao estimado mensalmente",IF(G34&gt;L34,"Fornecimento superior ao estimado mensalmente",)))</f>
        <v>Fornecimento igual ao estimado mensalmente</v>
      </c>
      <c r="J34" s="96"/>
      <c r="K34" s="96"/>
      <c r="L34" s="97" t="n">
        <f aca="false">M34/O34</f>
        <v>1</v>
      </c>
      <c r="M34" s="98" t="n">
        <f aca="false">Mat!E17</f>
        <v>1</v>
      </c>
      <c r="N34" s="99" t="str">
        <f aca="false">Mat!F17</f>
        <v>mensal</v>
      </c>
      <c r="O34" s="100" t="n">
        <f aca="false">IF(N34="MENSAL",1,IF(N34="BIMESTRAL",2,IF(N34="TRIMESTRAL",3,IF(N34="QUADRIMESTRAL",4,IF(N34="SEMESTRAL",6,IF(N34="ANUAL",12,IF(N34="BIENAL",24,"")))))))</f>
        <v>1</v>
      </c>
      <c r="W34" s="1"/>
    </row>
    <row r="35" customFormat="false" ht="14.25" hidden="false" customHeight="true" outlineLevel="0" collapsed="false">
      <c r="A35" s="102" t="n">
        <v>10</v>
      </c>
      <c r="B35" s="93" t="str">
        <f aca="false">Mat!B18</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5" s="93"/>
      <c r="D35" s="93"/>
      <c r="E35" s="50" t="str">
        <f aca="false">Mat!C18</f>
        <v>unid.</v>
      </c>
      <c r="F35" s="50" t="str">
        <f aca="false">Mat!D18</f>
        <v>Limpol</v>
      </c>
      <c r="G35" s="94" t="n">
        <f aca="false">IF($D$4="PLANILHA PARA LICITAÇÃO (PRECIFICAÇÃO)",L35,0)</f>
        <v>5</v>
      </c>
      <c r="H35" s="95" t="n">
        <f aca="false">G35*Mat!G18</f>
        <v>14.95</v>
      </c>
      <c r="I35" s="96" t="str">
        <f aca="false">IF(G35&lt;L35,"Fornecimento inferior ao estimado mensalmente",IF(G35=L35,"Fornecimento igual ao estimado mensalmente",IF(G35&gt;L35,"Fornecimento superior ao estimado mensalmente",)))</f>
        <v>Fornecimento igual ao estimado mensalmente</v>
      </c>
      <c r="J35" s="96"/>
      <c r="K35" s="96"/>
      <c r="L35" s="97" t="n">
        <f aca="false">M35/O35</f>
        <v>5</v>
      </c>
      <c r="M35" s="98" t="n">
        <f aca="false">Mat!E18</f>
        <v>5</v>
      </c>
      <c r="N35" s="99" t="str">
        <f aca="false">Mat!F18</f>
        <v>mensal</v>
      </c>
      <c r="O35" s="100" t="n">
        <f aca="false">IF(N35="MENSAL",1,IF(N35="BIMESTRAL",2,IF(N35="TRIMESTRAL",3,IF(N35="QUADRIMESTRAL",4,IF(N35="SEMESTRAL",6,IF(N35="ANUAL",12,IF(N35="BIENAL",24,"")))))))</f>
        <v>1</v>
      </c>
      <c r="W35" s="1"/>
    </row>
    <row r="36" customFormat="false" ht="15" hidden="false" customHeight="true" outlineLevel="0" collapsed="false">
      <c r="A36" s="101" t="n">
        <v>11</v>
      </c>
      <c r="B36" s="93" t="str">
        <f aca="false">Mat!B19</f>
        <v>Escova para lavar multiuso, oval, base plástica e cerdas de escova para lavar multiuso, oval, base plástica e cerdas de nylon.</v>
      </c>
      <c r="C36" s="93"/>
      <c r="D36" s="93"/>
      <c r="E36" s="50" t="str">
        <f aca="false">Mat!C19</f>
        <v>unid.</v>
      </c>
      <c r="F36" s="50" t="str">
        <f aca="false">Mat!D19</f>
        <v>Condor</v>
      </c>
      <c r="G36" s="94" t="n">
        <f aca="false">IF($D$4="PLANILHA PARA LICITAÇÃO (PRECIFICAÇÃO)",L36,0)</f>
        <v>0.333333333333333</v>
      </c>
      <c r="H36" s="95" t="n">
        <f aca="false">G36*Mat!G19</f>
        <v>1.85666666666667</v>
      </c>
      <c r="I36" s="96" t="str">
        <f aca="false">IF(G36&lt;L36,"Fornecimento inferior ao estimado mensalmente",IF(G36=L36,"Fornecimento igual ao estimado mensalmente",IF(G36&gt;L36,"Fornecimento superior ao estimado mensalmente",)))</f>
        <v>Fornecimento igual ao estimado mensalmente</v>
      </c>
      <c r="J36" s="96"/>
      <c r="K36" s="96"/>
      <c r="L36" s="97" t="n">
        <f aca="false">M36/O36</f>
        <v>0.333333333333333</v>
      </c>
      <c r="M36" s="98" t="n">
        <f aca="false">Mat!E19</f>
        <v>1</v>
      </c>
      <c r="N36" s="99" t="str">
        <f aca="false">Mat!F19</f>
        <v>trimestral</v>
      </c>
      <c r="O36" s="100" t="n">
        <f aca="false">IF(N36="MENSAL",1,IF(N36="BIMESTRAL",2,IF(N36="TRIMESTRAL",3,IF(N36="QUADRIMESTRAL",4,IF(N36="SEMESTRAL",6,IF(N36="ANUAL",12,IF(N36="BIENAL",24,"")))))))</f>
        <v>3</v>
      </c>
      <c r="W36" s="1"/>
    </row>
    <row r="37" customFormat="false" ht="14.25" hidden="false" customHeight="true" outlineLevel="0" collapsed="false">
      <c r="A37" s="101" t="n">
        <v>12</v>
      </c>
      <c r="B37" s="93" t="str">
        <f aca="false">Mat!B20</f>
        <v>Escova Sanitária Redonda em plástico Branco contendo 01 escova para vaso sanitário e 01 suporte redondo: Branco Tamanho: 14 x 42 cm</v>
      </c>
      <c r="C37" s="93"/>
      <c r="D37" s="93"/>
      <c r="E37" s="50" t="str">
        <f aca="false">Mat!C20</f>
        <v>unid.</v>
      </c>
      <c r="F37" s="50" t="str">
        <f aca="false">Mat!D20</f>
        <v>Limpamania</v>
      </c>
      <c r="G37" s="94" t="n">
        <f aca="false">IF($D$4="PLANILHA PARA LICITAÇÃO (PRECIFICAÇÃO)",L37,0)</f>
        <v>0.333333333333333</v>
      </c>
      <c r="H37" s="95" t="n">
        <f aca="false">G37*Mat!G20</f>
        <v>5.37</v>
      </c>
      <c r="I37" s="96" t="str">
        <f aca="false">IF(G37&lt;L37,"Fornecimento inferior ao estimado mensalmente",IF(G37=L37,"Fornecimento igual ao estimado mensalmente",IF(G37&gt;L37,"Fornecimento superior ao estimado mensalmente",)))</f>
        <v>Fornecimento igual ao estimado mensalmente</v>
      </c>
      <c r="J37" s="96"/>
      <c r="K37" s="96"/>
      <c r="L37" s="97" t="n">
        <f aca="false">M37/O37</f>
        <v>0.333333333333333</v>
      </c>
      <c r="M37" s="98" t="n">
        <f aca="false">Mat!E20</f>
        <v>1</v>
      </c>
      <c r="N37" s="99" t="str">
        <f aca="false">Mat!F20</f>
        <v>trimestral</v>
      </c>
      <c r="O37" s="100" t="n">
        <f aca="false">IF(N37="MENSAL",1,IF(N37="BIMESTRAL",2,IF(N37="TRIMESTRAL",3,IF(N37="QUADRIMESTRAL",4,IF(N37="SEMESTRAL",6,IF(N37="ANUAL",12,IF(N37="BIENAL",24,"")))))))</f>
        <v>3</v>
      </c>
      <c r="W37" s="1"/>
    </row>
    <row r="38" customFormat="false" ht="14.25" hidden="false" customHeight="true" outlineLevel="0" collapsed="false">
      <c r="A38" s="102" t="n">
        <v>13</v>
      </c>
      <c r="B38" s="93" t="str">
        <f aca="false">Mat!B21</f>
        <v>Esponja Para Lavagem De Louças E Limpeza Em Geral, Dupla Face Sintética, Um Lado Em Espuma Poliuretano E Outro Em Fibra Sintética Abrasiva, Antibacteriana, Formato Retangular, Medindo Aproximadamente 110mm X 75mm X 20mm De Espessura. Pacote com 4 unidades.</v>
      </c>
      <c r="C38" s="93"/>
      <c r="D38" s="93"/>
      <c r="E38" s="50" t="str">
        <f aca="false">Mat!C21</f>
        <v>pacote</v>
      </c>
      <c r="F38" s="50" t="str">
        <f aca="false">Mat!D21</f>
        <v>Scotch-Brite</v>
      </c>
      <c r="G38" s="94" t="n">
        <f aca="false">IF($D$4="PLANILHA PARA LICITAÇÃO (PRECIFICAÇÃO)",L38,0)</f>
        <v>2</v>
      </c>
      <c r="H38" s="95" t="n">
        <f aca="false">G38*Mat!G21</f>
        <v>12.8</v>
      </c>
      <c r="I38" s="96" t="str">
        <f aca="false">IF(G38&lt;L38,"Fornecimento inferior ao estimado mensalmente",IF(G38=L38,"Fornecimento igual ao estimado mensalmente",IF(G38&gt;L38,"Fornecimento superior ao estimado mensalmente",)))</f>
        <v>Fornecimento igual ao estimado mensalmente</v>
      </c>
      <c r="J38" s="96"/>
      <c r="K38" s="96"/>
      <c r="L38" s="97" t="n">
        <f aca="false">M38/O38</f>
        <v>2</v>
      </c>
      <c r="M38" s="98" t="n">
        <f aca="false">Mat!E21</f>
        <v>2</v>
      </c>
      <c r="N38" s="99" t="str">
        <f aca="false">Mat!F21</f>
        <v>mensal</v>
      </c>
      <c r="O38" s="100" t="n">
        <f aca="false">IF(N38="MENSAL",1,IF(N38="BIMESTRAL",2,IF(N38="TRIMESTRAL",3,IF(N38="QUADRIMESTRAL",4,IF(N38="SEMESTRAL",6,IF(N38="ANUAL",12,IF(N38="BIENAL",24,"")))))))</f>
        <v>1</v>
      </c>
      <c r="W38" s="1"/>
    </row>
    <row r="39" customFormat="false" ht="15" hidden="false" customHeight="true" outlineLevel="0" collapsed="false">
      <c r="A39" s="101" t="n">
        <v>14</v>
      </c>
      <c r="B39" s="93" t="str">
        <f aca="false">Mat!B22</f>
        <v>Esponja de LÃ DE AÇO, composição básica: aço carbono abrasivo, p/ limpeza em geral, acondicionada em embalagem plástica original do fabricante, peso líquido aproximado de 60g, pacote c/ 08 unidades.</v>
      </c>
      <c r="C39" s="93"/>
      <c r="D39" s="93"/>
      <c r="E39" s="50" t="str">
        <f aca="false">Mat!C22</f>
        <v>pacote</v>
      </c>
      <c r="F39" s="50" t="str">
        <f aca="false">Mat!D22</f>
        <v>Bombril</v>
      </c>
      <c r="G39" s="94" t="n">
        <f aca="false">IF($D$4="PLANILHA PARA LICITAÇÃO (PRECIFICAÇÃO)",L39,0)</f>
        <v>1</v>
      </c>
      <c r="H39" s="95" t="n">
        <f aca="false">G39*Mat!G22</f>
        <v>2.94</v>
      </c>
      <c r="I39" s="96" t="str">
        <f aca="false">IF(G39&lt;L39,"Fornecimento inferior ao estimado mensalmente",IF(G39=L39,"Fornecimento igual ao estimado mensalmente",IF(G39&gt;L39,"Fornecimento superior ao estimado mensalmente",)))</f>
        <v>Fornecimento igual ao estimado mensalmente</v>
      </c>
      <c r="J39" s="96"/>
      <c r="K39" s="96"/>
      <c r="L39" s="97" t="n">
        <f aca="false">M39/O39</f>
        <v>1</v>
      </c>
      <c r="M39" s="98" t="n">
        <f aca="false">Mat!E22</f>
        <v>1</v>
      </c>
      <c r="N39" s="99" t="str">
        <f aca="false">Mat!F22</f>
        <v>mensal</v>
      </c>
      <c r="O39" s="100" t="n">
        <f aca="false">IF(N39="MENSAL",1,IF(N39="BIMESTRAL",2,IF(N39="TRIMESTRAL",3,IF(N39="QUADRIMESTRAL",4,IF(N39="SEMESTRAL",6,IF(N39="ANUAL",12,IF(N39="BIENAL",24,"")))))))</f>
        <v>1</v>
      </c>
      <c r="W39" s="1"/>
    </row>
    <row r="40" customFormat="false" ht="15" hidden="false" customHeight="true" outlineLevel="0" collapsed="false">
      <c r="A40" s="101" t="n">
        <v>15</v>
      </c>
      <c r="B40" s="93" t="str">
        <f aca="false">Mat!B23</f>
        <v>Extensão elétrica 20 metros 3 tomada 20a cabo pp2x1,5mm reforçada, 2 cabos de som 10m para ligar as caixas xlr/p10, 2cabos xlr para microfones sem fio (especificações mínima)</v>
      </c>
      <c r="C40" s="93"/>
      <c r="D40" s="93"/>
      <c r="E40" s="50" t="str">
        <f aca="false">Mat!C23</f>
        <v>unid.</v>
      </c>
      <c r="F40" s="50" t="str">
        <f aca="false">Mat!D23</f>
        <v>Daneva</v>
      </c>
      <c r="G40" s="94" t="n">
        <f aca="false">IF($D$4="PLANILHA PARA LICITAÇÃO (PRECIFICAÇÃO)",L40,0)</f>
        <v>0.0833333333333333</v>
      </c>
      <c r="H40" s="95" t="n">
        <f aca="false">G40*Mat!G23</f>
        <v>7.16416666666667</v>
      </c>
      <c r="I40" s="96" t="str">
        <f aca="false">IF(G40&lt;L40,"Fornecimento inferior ao estimado mensalmente",IF(G40=L40,"Fornecimento igual ao estimado mensalmente",IF(G40&gt;L40,"Fornecimento superior ao estimado mensalmente",)))</f>
        <v>Fornecimento igual ao estimado mensalmente</v>
      </c>
      <c r="J40" s="96"/>
      <c r="K40" s="96"/>
      <c r="L40" s="97" t="n">
        <f aca="false">M40/O40</f>
        <v>0.0833333333333333</v>
      </c>
      <c r="M40" s="98" t="n">
        <f aca="false">Mat!E23</f>
        <v>1</v>
      </c>
      <c r="N40" s="99" t="str">
        <f aca="false">Mat!F23</f>
        <v>anual</v>
      </c>
      <c r="O40" s="100" t="n">
        <f aca="false">IF(N40="MENSAL",1,IF(N40="BIMESTRAL",2,IF(N40="TRIMESTRAL",3,IF(N40="QUADRIMESTRAL",4,IF(N40="SEMESTRAL",6,IF(N40="ANUAL",12,IF(N40="BIENAL",24,"")))))))</f>
        <v>12</v>
      </c>
      <c r="W40" s="1"/>
    </row>
    <row r="41" customFormat="false" ht="15" hidden="false" customHeight="true" outlineLevel="0" collapsed="false">
      <c r="A41" s="101" t="n">
        <v>16</v>
      </c>
      <c r="B41" s="93" t="str">
        <f aca="false">Mat!B24</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41" s="93"/>
      <c r="D41" s="93"/>
      <c r="E41" s="50" t="str">
        <f aca="false">Mat!C24</f>
        <v>unid.</v>
      </c>
      <c r="F41" s="50" t="str">
        <f aca="false">Mat!D24</f>
        <v>Intextil</v>
      </c>
      <c r="G41" s="94" t="n">
        <f aca="false">IF($D$4="PLANILHA PARA LICITAÇÃO (PRECIFICAÇÃO)",L41,0)</f>
        <v>3</v>
      </c>
      <c r="H41" s="95" t="n">
        <f aca="false">G41*Mat!G24</f>
        <v>12.84</v>
      </c>
      <c r="I41" s="96" t="str">
        <f aca="false">IF(G41&lt;L41,"Fornecimento inferior ao estimado mensalmente",IF(G41=L41,"Fornecimento igual ao estimado mensalmente",IF(G41&gt;L41,"Fornecimento superior ao estimado mensalmente",)))</f>
        <v>Fornecimento igual ao estimado mensalmente</v>
      </c>
      <c r="J41" s="96"/>
      <c r="K41" s="96"/>
      <c r="L41" s="97" t="n">
        <f aca="false">M41/O41</f>
        <v>3</v>
      </c>
      <c r="M41" s="98" t="n">
        <f aca="false">Mat!E24</f>
        <v>3</v>
      </c>
      <c r="N41" s="99" t="str">
        <f aca="false">Mat!F24</f>
        <v>mensal</v>
      </c>
      <c r="O41" s="100" t="n">
        <f aca="false">IF(N41="MENSAL",1,IF(N41="BIMESTRAL",2,IF(N41="TRIMESTRAL",3,IF(N41="QUADRIMESTRAL",4,IF(N41="SEMESTRAL",6,IF(N41="ANUAL",12,IF(N41="BIENAL",24,"")))))))</f>
        <v>1</v>
      </c>
      <c r="W41" s="1"/>
    </row>
    <row r="42" customFormat="false" ht="15" hidden="false" customHeight="true" outlineLevel="0" collapsed="false">
      <c r="A42" s="101" t="n">
        <v>17</v>
      </c>
      <c r="B42" s="93" t="str">
        <f aca="false">Mat!B25</f>
        <v>Inseticida Aerossol, multiinseticida, frasco com mínimo 300 ml. Registro/ Autorização no ministério da saúde.</v>
      </c>
      <c r="C42" s="93"/>
      <c r="D42" s="93"/>
      <c r="E42" s="50" t="str">
        <f aca="false">Mat!C25</f>
        <v>unid.</v>
      </c>
      <c r="F42" s="50" t="str">
        <f aca="false">Mat!D25</f>
        <v>Raid</v>
      </c>
      <c r="G42" s="94" t="n">
        <f aca="false">IF($D$4="PLANILHA PARA LICITAÇÃO (PRECIFICAÇÃO)",L42,0)</f>
        <v>0.333333333333333</v>
      </c>
      <c r="H42" s="95" t="n">
        <f aca="false">G42*Mat!G25</f>
        <v>4.60666666666667</v>
      </c>
      <c r="I42" s="96" t="str">
        <f aca="false">IF(G42&lt;L42,"Fornecimento inferior ao estimado mensalmente",IF(G42=L42,"Fornecimento igual ao estimado mensalmente",IF(G42&gt;L42,"Fornecimento superior ao estimado mensalmente",)))</f>
        <v>Fornecimento igual ao estimado mensalmente</v>
      </c>
      <c r="J42" s="96"/>
      <c r="K42" s="96"/>
      <c r="L42" s="97" t="n">
        <f aca="false">M42/O42</f>
        <v>0.333333333333333</v>
      </c>
      <c r="M42" s="98" t="n">
        <f aca="false">Mat!E25</f>
        <v>1</v>
      </c>
      <c r="N42" s="99" t="str">
        <f aca="false">Mat!F25</f>
        <v>trimestral</v>
      </c>
      <c r="O42" s="100" t="n">
        <f aca="false">IF(N42="MENSAL",1,IF(N42="BIMESTRAL",2,IF(N42="TRIMESTRAL",3,IF(N42="QUADRIMESTRAL",4,IF(N42="SEMESTRAL",6,IF(N42="ANUAL",12,IF(N42="BIENAL",24,"")))))))</f>
        <v>3</v>
      </c>
      <c r="W42" s="1"/>
    </row>
    <row r="43" customFormat="false" ht="15" hidden="false" customHeight="true" outlineLevel="0" collapsed="false">
      <c r="A43" s="101" t="n">
        <v>18</v>
      </c>
      <c r="B43" s="93" t="str">
        <f aca="false">Mat!B26</f>
        <v>Kit limpador de vidro: Rodo limpa vidros com cabo telescópico extensor de 06 (seis)metros. Extremidade composta por lavador de acrílico e limpador com lâmina de borracha de aproximadamente 35 cm. Utilizado para limpeza de vidros e vidraças.</v>
      </c>
      <c r="C43" s="93"/>
      <c r="D43" s="93"/>
      <c r="E43" s="50" t="str">
        <f aca="false">Mat!C26</f>
        <v>unid.</v>
      </c>
      <c r="F43" s="50" t="str">
        <f aca="false">Mat!D26</f>
        <v>Bralimpia</v>
      </c>
      <c r="G43" s="94" t="n">
        <f aca="false">IF($D$4="PLANILHA PARA LICITAÇÃO (PRECIFICAÇÃO)",L43,0)</f>
        <v>0.0833333333333333</v>
      </c>
      <c r="H43" s="95" t="n">
        <f aca="false">G43*Mat!G26</f>
        <v>13.8041666666667</v>
      </c>
      <c r="I43" s="96" t="str">
        <f aca="false">IF(G43&lt;L43,"Fornecimento inferior ao estimado mensalmente",IF(G43=L43,"Fornecimento igual ao estimado mensalmente",IF(G43&gt;L43,"Fornecimento superior ao estimado mensalmente",)))</f>
        <v>Fornecimento igual ao estimado mensalmente</v>
      </c>
      <c r="J43" s="96"/>
      <c r="K43" s="96"/>
      <c r="L43" s="97" t="n">
        <f aca="false">M43/O43</f>
        <v>0.0833333333333333</v>
      </c>
      <c r="M43" s="98" t="n">
        <f aca="false">Mat!E26</f>
        <v>1</v>
      </c>
      <c r="N43" s="99" t="str">
        <f aca="false">Mat!F26</f>
        <v>anual</v>
      </c>
      <c r="O43" s="100" t="n">
        <f aca="false">IF(N43="MENSAL",1,IF(N43="BIMESTRAL",2,IF(N43="TRIMESTRAL",3,IF(N43="QUADRIMESTRAL",4,IF(N43="SEMESTRAL",6,IF(N43="ANUAL",12,IF(N43="BIENAL",24,"")))))))</f>
        <v>12</v>
      </c>
      <c r="W43" s="1"/>
    </row>
    <row r="44" customFormat="false" ht="15" hidden="false" customHeight="true" outlineLevel="0" collapsed="false">
      <c r="A44" s="101" t="n">
        <v>19</v>
      </c>
      <c r="B44" s="93" t="str">
        <f aca="false">Mat!B27</f>
        <v>Limpa vidro 500ml (Veja ou similar)</v>
      </c>
      <c r="C44" s="93"/>
      <c r="D44" s="93"/>
      <c r="E44" s="50" t="str">
        <f aca="false">Mat!C27</f>
        <v>unid.</v>
      </c>
      <c r="F44" s="50" t="str">
        <f aca="false">Mat!D27</f>
        <v>Veja</v>
      </c>
      <c r="G44" s="94" t="n">
        <f aca="false">IF($D$4="PLANILHA PARA LICITAÇÃO (PRECIFICAÇÃO)",L44,0)</f>
        <v>1</v>
      </c>
      <c r="H44" s="95" t="n">
        <f aca="false">G44*Mat!G27</f>
        <v>9.9</v>
      </c>
      <c r="I44" s="96" t="str">
        <f aca="false">IF(G44&lt;L44,"Fornecimento inferior ao estimado mensalmente",IF(G44=L44,"Fornecimento igual ao estimado mensalmente",IF(G44&gt;L44,"Fornecimento superior ao estimado mensalmente",)))</f>
        <v>Fornecimento igual ao estimado mensalmente</v>
      </c>
      <c r="J44" s="96"/>
      <c r="K44" s="96"/>
      <c r="L44" s="97" t="n">
        <f aca="false">M44/O44</f>
        <v>1</v>
      </c>
      <c r="M44" s="98" t="n">
        <f aca="false">Mat!E27</f>
        <v>1</v>
      </c>
      <c r="N44" s="99" t="str">
        <f aca="false">Mat!F27</f>
        <v>mensal</v>
      </c>
      <c r="O44" s="100" t="n">
        <f aca="false">IF(N44="MENSAL",1,IF(N44="BIMESTRAL",2,IF(N44="TRIMESTRAL",3,IF(N44="QUADRIMESTRAL",4,IF(N44="SEMESTRAL",6,IF(N44="ANUAL",12,IF(N44="BIENAL",24,"")))))))</f>
        <v>1</v>
      </c>
      <c r="W44" s="1"/>
    </row>
    <row r="45" customFormat="false" ht="15" hidden="false" customHeight="true" outlineLevel="0" collapsed="false">
      <c r="A45" s="101" t="n">
        <v>20</v>
      </c>
      <c r="B45" s="93" t="str">
        <f aca="false">Mat!B28</f>
        <v>Multiuso limpeza pesada 500ml - composição: alquil benzeno sulfonato de sódio, solvente, coadjuvantes, conservante, sequestrante, corante, fragrância e água. tensoativo biodegradável. frascos de 500 ml de produto (marca de referência: veja).</v>
      </c>
      <c r="C45" s="93"/>
      <c r="D45" s="93"/>
      <c r="E45" s="50" t="str">
        <f aca="false">Mat!C28</f>
        <v>unid.</v>
      </c>
      <c r="F45" s="50" t="str">
        <f aca="false">Mat!D28</f>
        <v>Veja</v>
      </c>
      <c r="G45" s="94" t="n">
        <f aca="false">IF($D$4="PLANILHA PARA LICITAÇÃO (PRECIFICAÇÃO)",L45,0)</f>
        <v>1</v>
      </c>
      <c r="H45" s="95" t="n">
        <f aca="false">G45*Mat!G28</f>
        <v>7.5</v>
      </c>
      <c r="I45" s="96" t="str">
        <f aca="false">IF(G45&lt;L45,"Fornecimento inferior ao estimado mensalmente",IF(G45=L45,"Fornecimento igual ao estimado mensalmente",IF(G45&gt;L45,"Fornecimento superior ao estimado mensalmente",)))</f>
        <v>Fornecimento igual ao estimado mensalmente</v>
      </c>
      <c r="J45" s="96"/>
      <c r="K45" s="96"/>
      <c r="L45" s="97" t="n">
        <f aca="false">M45/O45</f>
        <v>1</v>
      </c>
      <c r="M45" s="98" t="n">
        <f aca="false">Mat!E28</f>
        <v>1</v>
      </c>
      <c r="N45" s="99" t="str">
        <f aca="false">Mat!F28</f>
        <v>mensal</v>
      </c>
      <c r="O45" s="100" t="n">
        <f aca="false">IF(N45="MENSAL",1,IF(N45="BIMESTRAL",2,IF(N45="TRIMESTRAL",3,IF(N45="QUADRIMESTRAL",4,IF(N45="SEMESTRAL",6,IF(N45="ANUAL",12,IF(N45="BIENAL",24,"")))))))</f>
        <v>1</v>
      </c>
      <c r="W45" s="1"/>
    </row>
    <row r="46" customFormat="false" ht="15" hidden="false" customHeight="true" outlineLevel="0" collapsed="false">
      <c r="A46" s="101" t="n">
        <v>21</v>
      </c>
      <c r="B46" s="93" t="str">
        <f aca="false">Mat!B29</f>
        <v>Luva Segurança Com Forro. Material: 100% Látex Nitrílico , Tamanho: M ou G ,Aplicação: Manuseio Reagente Químico E Radioativo , Características Adicionais: Com Forro, Sem Talco, Pulso Com Bainha , Modelo: Palma Antiderrapante, Cor: Verde, Tipo: Ambidestra</v>
      </c>
      <c r="C46" s="93"/>
      <c r="D46" s="93"/>
      <c r="E46" s="50" t="str">
        <f aca="false">Mat!C29</f>
        <v>Par</v>
      </c>
      <c r="F46" s="50" t="str">
        <f aca="false">Mat!D29</f>
        <v>Bettanin</v>
      </c>
      <c r="G46" s="94" t="n">
        <f aca="false">IF($D$4="PLANILHA PARA LICITAÇÃO (PRECIFICAÇÃO)",L46,0)</f>
        <v>1</v>
      </c>
      <c r="H46" s="95" t="n">
        <f aca="false">G46*Mat!G29</f>
        <v>13.38</v>
      </c>
      <c r="I46" s="96" t="str">
        <f aca="false">IF(G46&lt;L46,"Fornecimento inferior ao estimado mensalmente",IF(G46=L46,"Fornecimento igual ao estimado mensalmente",IF(G46&gt;L46,"Fornecimento superior ao estimado mensalmente",)))</f>
        <v>Fornecimento igual ao estimado mensalmente</v>
      </c>
      <c r="J46" s="96"/>
      <c r="K46" s="96"/>
      <c r="L46" s="97" t="n">
        <f aca="false">M46/O46</f>
        <v>1</v>
      </c>
      <c r="M46" s="98" t="n">
        <f aca="false">Mat!E29</f>
        <v>1</v>
      </c>
      <c r="N46" s="99" t="str">
        <f aca="false">Mat!F29</f>
        <v>mensal</v>
      </c>
      <c r="O46" s="100" t="n">
        <f aca="false">IF(N46="MENSAL",1,IF(N46="BIMESTRAL",2,IF(N46="TRIMESTRAL",3,IF(N46="QUADRIMESTRAL",4,IF(N46="SEMESTRAL",6,IF(N46="ANUAL",12,IF(N46="BIENAL",24,"")))))))</f>
        <v>1</v>
      </c>
      <c r="W46" s="1"/>
    </row>
    <row r="47" customFormat="false" ht="14.25" hidden="false" customHeight="true" outlineLevel="0" collapsed="false">
      <c r="A47" s="101" t="n">
        <v>22</v>
      </c>
      <c r="B47" s="93" t="str">
        <f aca="false">Mat!B30</f>
        <v>Pá p/ lixo em plástico resistente c/ cabo de madeira de 60cm de altura na vertical.</v>
      </c>
      <c r="C47" s="93"/>
      <c r="D47" s="93"/>
      <c r="E47" s="50" t="str">
        <f aca="false">Mat!C30</f>
        <v>unid.</v>
      </c>
      <c r="F47" s="50" t="str">
        <f aca="false">Mat!D30</f>
        <v>Bettanin</v>
      </c>
      <c r="G47" s="94" t="n">
        <f aca="false">IF($D$4="PLANILHA PARA LICITAÇÃO (PRECIFICAÇÃO)",L47,0)</f>
        <v>0.333333333333333</v>
      </c>
      <c r="H47" s="95" t="n">
        <f aca="false">G47*Mat!G30</f>
        <v>4.36333333333333</v>
      </c>
      <c r="I47" s="96" t="str">
        <f aca="false">IF(G47&lt;L47,"Fornecimento inferior ao estimado mensalmente",IF(G47=L47,"Fornecimento igual ao estimado mensalmente",IF(G47&gt;L47,"Fornecimento superior ao estimado mensalmente",)))</f>
        <v>Fornecimento igual ao estimado mensalmente</v>
      </c>
      <c r="J47" s="96"/>
      <c r="K47" s="96"/>
      <c r="L47" s="97" t="n">
        <f aca="false">M47/O47</f>
        <v>0.333333333333333</v>
      </c>
      <c r="M47" s="98" t="n">
        <f aca="false">Mat!E30</f>
        <v>1</v>
      </c>
      <c r="N47" s="99" t="str">
        <f aca="false">Mat!F30</f>
        <v>trimestral</v>
      </c>
      <c r="O47" s="100" t="n">
        <f aca="false">IF(N47="MENSAL",1,IF(N47="BIMESTRAL",2,IF(N47="TRIMESTRAL",3,IF(N47="QUADRIMESTRAL",4,IF(N47="SEMESTRAL",6,IF(N47="ANUAL",12,IF(N47="BIENAL",24,"")))))))</f>
        <v>3</v>
      </c>
      <c r="W47" s="1"/>
    </row>
    <row r="48" customFormat="false" ht="15" hidden="false" customHeight="true" outlineLevel="0" collapsed="false">
      <c r="A48" s="101" t="n">
        <v>23</v>
      </c>
      <c r="B48" s="93" t="str">
        <f aca="false">Mat!B31</f>
        <v>Papel higiênico branco, folha dupla, de alta qualidade, com dimensões 10cm X 30m, com a marca do fabricante e indicação na embalagem, absorvente e resistente, fardo com 12 rolos de 30 metros. Tipo Neve ou de melhor qualidade.</v>
      </c>
      <c r="C48" s="93"/>
      <c r="D48" s="93"/>
      <c r="E48" s="50" t="str">
        <f aca="false">Mat!C31</f>
        <v>Fardo com 12 rolos</v>
      </c>
      <c r="F48" s="50" t="str">
        <f aca="false">Mat!D31</f>
        <v>Neve</v>
      </c>
      <c r="G48" s="94" t="n">
        <f aca="false">IF($D$4="PLANILHA PARA LICITAÇÃO (PRECIFICAÇÃO)",L48,0)</f>
        <v>7</v>
      </c>
      <c r="H48" s="95" t="n">
        <f aca="false">G48*Mat!G31</f>
        <v>112.77</v>
      </c>
      <c r="I48" s="96" t="str">
        <f aca="false">IF(G48&lt;L48,"Fornecimento inferior ao estimado mensalmente",IF(G48=L48,"Fornecimento igual ao estimado mensalmente",IF(G48&gt;L48,"Fornecimento superior ao estimado mensalmente",)))</f>
        <v>Fornecimento igual ao estimado mensalmente</v>
      </c>
      <c r="J48" s="96"/>
      <c r="K48" s="96"/>
      <c r="L48" s="97" t="n">
        <f aca="false">M48/O48</f>
        <v>7</v>
      </c>
      <c r="M48" s="98" t="n">
        <f aca="false">Mat!E31</f>
        <v>7</v>
      </c>
      <c r="N48" s="99" t="str">
        <f aca="false">Mat!F31</f>
        <v>mensal</v>
      </c>
      <c r="O48" s="100" t="n">
        <f aca="false">IF(N48="MENSAL",1,IF(N48="BIMESTRAL",2,IF(N48="TRIMESTRAL",3,IF(N48="QUADRIMESTRAL",4,IF(N48="SEMESTRAL",6,IF(N48="ANUAL",12,IF(N48="BIENAL",24,"")))))))</f>
        <v>1</v>
      </c>
      <c r="W48" s="1"/>
    </row>
    <row r="49" customFormat="false" ht="27" hidden="false" customHeight="true" outlineLevel="0" collapsed="false">
      <c r="A49" s="101" t="n">
        <v>24</v>
      </c>
      <c r="B49" s="93" t="str">
        <f aca="false">Mat!B32</f>
        <v>Papel Toalha Interfolhado, 2 dobras, 100% fibras celulósicas, branco extra luxo, sem pintas ou outros tipos de sujidades, boa qualidade , medindo aproximadamente 23cm x 23 cm , acondicionado em caixa c/1000 folhas.</v>
      </c>
      <c r="C49" s="93"/>
      <c r="D49" s="93"/>
      <c r="E49" s="50" t="str">
        <f aca="false">Mat!C32</f>
        <v>Pacote</v>
      </c>
      <c r="F49" s="50" t="str">
        <f aca="false">Mat!D32</f>
        <v>Economy (Jofel) ou similar</v>
      </c>
      <c r="G49" s="94" t="n">
        <f aca="false">IF($D$4="PLANILHA PARA LICITAÇÃO (PRECIFICAÇÃO)",L49,0)</f>
        <v>12</v>
      </c>
      <c r="H49" s="95" t="n">
        <f aca="false">G49*Mat!G32</f>
        <v>274.68</v>
      </c>
      <c r="I49" s="96" t="str">
        <f aca="false">IF(G49&lt;L49,"Fornecimento inferior ao estimado mensalmente",IF(G49=L49,"Fornecimento igual ao estimado mensalmente",IF(G49&gt;L49,"Fornecimento superior ao estimado mensalmente",)))</f>
        <v>Fornecimento igual ao estimado mensalmente</v>
      </c>
      <c r="J49" s="96"/>
      <c r="K49" s="96"/>
      <c r="L49" s="97" t="n">
        <f aca="false">M49/O49</f>
        <v>12</v>
      </c>
      <c r="M49" s="98" t="n">
        <f aca="false">Mat!E32</f>
        <v>12</v>
      </c>
      <c r="N49" s="99" t="str">
        <f aca="false">Mat!F32</f>
        <v>mensal</v>
      </c>
      <c r="O49" s="100" t="n">
        <f aca="false">IF(N49="MENSAL",1,IF(N49="BIMESTRAL",2,IF(N49="TRIMESTRAL",3,IF(N49="QUADRIMESTRAL",4,IF(N49="SEMESTRAL",6,IF(N49="ANUAL",12,IF(N49="BIENAL",24,"")))))))</f>
        <v>1</v>
      </c>
      <c r="W49" s="1"/>
    </row>
    <row r="50" customFormat="false" ht="15.75" hidden="false" customHeight="true" outlineLevel="0" collapsed="false">
      <c r="A50" s="101" t="n">
        <v>25</v>
      </c>
      <c r="B50" s="93" t="str">
        <f aca="false">Mat!B33</f>
        <v>Pedra sanitária c/ 25g - com suporte para fixar no vaso sanitário. Desinfetante sanitário em pedra 25 g</v>
      </c>
      <c r="C50" s="93"/>
      <c r="D50" s="93"/>
      <c r="E50" s="50" t="str">
        <f aca="false">Mat!C33</f>
        <v>unid.</v>
      </c>
      <c r="F50" s="50" t="str">
        <f aca="false">Mat!D33</f>
        <v>Harpic, Pato</v>
      </c>
      <c r="G50" s="94" t="n">
        <f aca="false">IF($D$4="PLANILHA PARA LICITAÇÃO (PRECIFICAÇÃO)",L50,0)</f>
        <v>10</v>
      </c>
      <c r="H50" s="95" t="n">
        <f aca="false">G50*Mat!G33</f>
        <v>24.1</v>
      </c>
      <c r="I50" s="96" t="str">
        <f aca="false">IF(G50&lt;L50,"Fornecimento inferior ao estimado mensalmente",IF(G50=L50,"Fornecimento igual ao estimado mensalmente",IF(G50&gt;L50,"Fornecimento superior ao estimado mensalmente",)))</f>
        <v>Fornecimento igual ao estimado mensalmente</v>
      </c>
      <c r="J50" s="96"/>
      <c r="K50" s="96"/>
      <c r="L50" s="97" t="n">
        <f aca="false">M50/O50</f>
        <v>10</v>
      </c>
      <c r="M50" s="98" t="n">
        <f aca="false">Mat!E33</f>
        <v>10</v>
      </c>
      <c r="N50" s="99" t="str">
        <f aca="false">Mat!F33</f>
        <v>mensal</v>
      </c>
      <c r="O50" s="100" t="n">
        <f aca="false">IF(N50="MENSAL",1,IF(N50="BIMESTRAL",2,IF(N50="TRIMESTRAL",3,IF(N50="QUADRIMESTRAL",4,IF(N50="SEMESTRAL",6,IF(N50="ANUAL",12,IF(N50="BIENAL",24,"")))))))</f>
        <v>1</v>
      </c>
      <c r="W50" s="1"/>
    </row>
    <row r="51" customFormat="false" ht="15" hidden="false" customHeight="true" outlineLevel="0" collapsed="false">
      <c r="A51" s="101" t="n">
        <v>26</v>
      </c>
      <c r="B51" s="93" t="str">
        <f aca="false">Mat!B34</f>
        <v>Rodo Plástico e borracha dupla expandida de 60cm, resistente e durável, que puxa e seca a água, feita em EVA e cepo em polipropileno com garras pontiagudas nas laterais para melhor fixar panos de chão.</v>
      </c>
      <c r="C51" s="93"/>
      <c r="D51" s="93"/>
      <c r="E51" s="50" t="str">
        <f aca="false">Mat!C34</f>
        <v>unid.</v>
      </c>
      <c r="F51" s="50" t="str">
        <f aca="false">Mat!D34</f>
        <v>Brubalar</v>
      </c>
      <c r="G51" s="94" t="n">
        <f aca="false">IF($D$4="PLANILHA PARA LICITAÇÃO (PRECIFICAÇÃO)",L51,0)</f>
        <v>0.5</v>
      </c>
      <c r="H51" s="95" t="n">
        <f aca="false">G51*Mat!G34</f>
        <v>11.335</v>
      </c>
      <c r="I51" s="96" t="str">
        <f aca="false">IF(G51&lt;L51,"Fornecimento inferior ao estimado mensalmente",IF(G51=L51,"Fornecimento igual ao estimado mensalmente",IF(G51&gt;L51,"Fornecimento superior ao estimado mensalmente",)))</f>
        <v>Fornecimento igual ao estimado mensalmente</v>
      </c>
      <c r="J51" s="96"/>
      <c r="K51" s="96"/>
      <c r="L51" s="97" t="n">
        <f aca="false">M51/O51</f>
        <v>0.5</v>
      </c>
      <c r="M51" s="98" t="n">
        <f aca="false">Mat!E34</f>
        <v>1</v>
      </c>
      <c r="N51" s="99" t="str">
        <f aca="false">Mat!F34</f>
        <v>bimestral</v>
      </c>
      <c r="O51" s="100" t="n">
        <f aca="false">IF(N51="MENSAL",1,IF(N51="BIMESTRAL",2,IF(N51="TRIMESTRAL",3,IF(N51="QUADRIMESTRAL",4,IF(N51="SEMESTRAL",6,IF(N51="ANUAL",12,IF(N51="BIENAL",24,"")))))))</f>
        <v>2</v>
      </c>
      <c r="W51" s="1"/>
    </row>
    <row r="52" customFormat="false" ht="15" hidden="false" customHeight="true" outlineLevel="0" collapsed="false">
      <c r="A52" s="101" t="n">
        <v>27</v>
      </c>
      <c r="B52" s="93" t="str">
        <f aca="false">Mat!B35</f>
        <v>Sabão em barra glicerinado - cor neutra. Pacote com 5 de 200g cada unidade.</v>
      </c>
      <c r="C52" s="93"/>
      <c r="D52" s="93"/>
      <c r="E52" s="50" t="str">
        <f aca="false">Mat!C35</f>
        <v>pacote</v>
      </c>
      <c r="F52" s="50" t="str">
        <f aca="false">Mat!D35</f>
        <v>Minuano</v>
      </c>
      <c r="G52" s="94" t="n">
        <f aca="false">IF($D$4="PLANILHA PARA LICITAÇÃO (PRECIFICAÇÃO)",L52,0)</f>
        <v>4</v>
      </c>
      <c r="H52" s="95" t="n">
        <f aca="false">G52*Mat!G35</f>
        <v>48</v>
      </c>
      <c r="I52" s="96" t="str">
        <f aca="false">IF(G52&lt;L52,"Fornecimento inferior ao estimado mensalmente",IF(G52=L52,"Fornecimento igual ao estimado mensalmente",IF(G52&gt;L52,"Fornecimento superior ao estimado mensalmente",)))</f>
        <v>Fornecimento igual ao estimado mensalmente</v>
      </c>
      <c r="J52" s="96"/>
      <c r="K52" s="96"/>
      <c r="L52" s="97" t="n">
        <f aca="false">M52/O52</f>
        <v>4</v>
      </c>
      <c r="M52" s="98" t="n">
        <f aca="false">Mat!E35</f>
        <v>4</v>
      </c>
      <c r="N52" s="99" t="str">
        <f aca="false">Mat!F35</f>
        <v>mensal</v>
      </c>
      <c r="O52" s="100" t="n">
        <f aca="false">IF(N52="MENSAL",1,IF(N52="BIMESTRAL",2,IF(N52="TRIMESTRAL",3,IF(N52="QUADRIMESTRAL",4,IF(N52="SEMESTRAL",6,IF(N52="ANUAL",12,IF(N52="BIENAL",24,"")))))))</f>
        <v>1</v>
      </c>
      <c r="W52" s="1"/>
    </row>
    <row r="53" customFormat="false" ht="15" hidden="false" customHeight="true" outlineLevel="0" collapsed="false">
      <c r="A53" s="101" t="n">
        <v>28</v>
      </c>
      <c r="B53" s="93" t="str">
        <f aca="false">Mat!B36</f>
        <v>Sabão em Pó – Caixa de 0,8 a 1Kg. Sabão em pó, convencional, de primeira linha. Para lavar roupas e limpeza em geral.</v>
      </c>
      <c r="C53" s="93"/>
      <c r="D53" s="93"/>
      <c r="E53" s="50" t="str">
        <f aca="false">Mat!C36</f>
        <v>cx.</v>
      </c>
      <c r="F53" s="50" t="str">
        <f aca="false">Mat!D36</f>
        <v>Omo ou similar</v>
      </c>
      <c r="G53" s="94" t="n">
        <f aca="false">IF($D$4="PLANILHA PARA LICITAÇÃO (PRECIFICAÇÃO)",L53,0)</f>
        <v>1</v>
      </c>
      <c r="H53" s="95" t="n">
        <f aca="false">G53*Mat!G36</f>
        <v>15.6</v>
      </c>
      <c r="I53" s="96" t="str">
        <f aca="false">IF(G53&lt;L53,"Fornecimento inferior ao estimado mensalmente",IF(G53=L53,"Fornecimento igual ao estimado mensalmente",IF(G53&gt;L53,"Fornecimento superior ao estimado mensalmente",)))</f>
        <v>Fornecimento igual ao estimado mensalmente</v>
      </c>
      <c r="J53" s="96"/>
      <c r="K53" s="96"/>
      <c r="L53" s="97" t="n">
        <f aca="false">M53/O53</f>
        <v>1</v>
      </c>
      <c r="M53" s="98" t="n">
        <f aca="false">Mat!E36</f>
        <v>1</v>
      </c>
      <c r="N53" s="99" t="str">
        <f aca="false">Mat!F36</f>
        <v>mensal</v>
      </c>
      <c r="O53" s="100" t="n">
        <f aca="false">IF(N53="MENSAL",1,IF(N53="BIMESTRAL",2,IF(N53="TRIMESTRAL",3,IF(N53="QUADRIMESTRAL",4,IF(N53="SEMESTRAL",6,IF(N53="ANUAL",12,IF(N53="BIENAL",24,"")))))))</f>
        <v>1</v>
      </c>
      <c r="W53" s="1"/>
    </row>
    <row r="54" customFormat="false" ht="15" hidden="false" customHeight="true" outlineLevel="0" collapsed="false">
      <c r="A54" s="101" t="n">
        <v>29</v>
      </c>
      <c r="B54" s="93" t="str">
        <f aca="false">Mat!B37</f>
        <v>Sapólio em pó 300g</v>
      </c>
      <c r="C54" s="93"/>
      <c r="D54" s="93"/>
      <c r="E54" s="50" t="str">
        <f aca="false">Mat!C37</f>
        <v>unid</v>
      </c>
      <c r="F54" s="50" t="str">
        <f aca="false">Mat!D37</f>
        <v>Bombril</v>
      </c>
      <c r="G54" s="94" t="n">
        <f aca="false">IF($D$4="PLANILHA PARA LICITAÇÃO (PRECIFICAÇÃO)",L54,0)</f>
        <v>2</v>
      </c>
      <c r="H54" s="95" t="n">
        <f aca="false">G54*Mat!G37</f>
        <v>12.48</v>
      </c>
      <c r="I54" s="96" t="str">
        <f aca="false">IF(G54&lt;L54,"Fornecimento inferior ao estimado mensalmente",IF(G54=L54,"Fornecimento igual ao estimado mensalmente",IF(G54&gt;L54,"Fornecimento superior ao estimado mensalmente",)))</f>
        <v>Fornecimento igual ao estimado mensalmente</v>
      </c>
      <c r="J54" s="96"/>
      <c r="K54" s="96"/>
      <c r="L54" s="97" t="n">
        <f aca="false">M54/O54</f>
        <v>2</v>
      </c>
      <c r="M54" s="98" t="n">
        <f aca="false">Mat!E37</f>
        <v>2</v>
      </c>
      <c r="N54" s="99" t="str">
        <f aca="false">Mat!F37</f>
        <v>mensal</v>
      </c>
      <c r="O54" s="100" t="n">
        <f aca="false">IF(N54="MENSAL",1,IF(N54="BIMESTRAL",2,IF(N54="TRIMESTRAL",3,IF(N54="QUADRIMESTRAL",4,IF(N54="SEMESTRAL",6,IF(N54="ANUAL",12,IF(N54="BIENAL",24,"")))))))</f>
        <v>1</v>
      </c>
      <c r="W54" s="1"/>
    </row>
    <row r="55" customFormat="false" ht="15" hidden="false" customHeight="true" outlineLevel="0" collapsed="false">
      <c r="A55" s="101" t="n">
        <v>30</v>
      </c>
      <c r="B55" s="93" t="str">
        <f aca="false">Mat!B38</f>
        <v>Sabonete líquido Concentrado, cremoso perolizado, pronto pra uso, aroma erva-doce, lavanda ou similar, galão de 05 litros.</v>
      </c>
      <c r="C55" s="93"/>
      <c r="D55" s="93"/>
      <c r="E55" s="50" t="str">
        <f aca="false">Mat!C38</f>
        <v>Galão</v>
      </c>
      <c r="F55" s="50" t="str">
        <f aca="false">Mat!D38</f>
        <v>Nobre, Start, Ikebana</v>
      </c>
      <c r="G55" s="94" t="n">
        <f aca="false">IF($D$4="PLANILHA PARA LICITAÇÃO (PRECIFICAÇÃO)",L55,0)</f>
        <v>2</v>
      </c>
      <c r="H55" s="95" t="n">
        <f aca="false">G55*Mat!G38</f>
        <v>47.52</v>
      </c>
      <c r="I55" s="96" t="str">
        <f aca="false">IF(G55&lt;L55,"Fornecimento inferior ao estimado mensalmente",IF(G55=L55,"Fornecimento igual ao estimado mensalmente",IF(G55&gt;L55,"Fornecimento superior ao estimado mensalmente",)))</f>
        <v>Fornecimento igual ao estimado mensalmente</v>
      </c>
      <c r="J55" s="96"/>
      <c r="K55" s="96"/>
      <c r="L55" s="97" t="n">
        <f aca="false">M55/O55</f>
        <v>2</v>
      </c>
      <c r="M55" s="98" t="n">
        <f aca="false">Mat!E38</f>
        <v>2</v>
      </c>
      <c r="N55" s="99" t="str">
        <f aca="false">Mat!F38</f>
        <v>mensal</v>
      </c>
      <c r="O55" s="100" t="n">
        <f aca="false">IF(N55="MENSAL",1,IF(N55="BIMESTRAL",2,IF(N55="TRIMESTRAL",3,IF(N55="QUADRIMESTRAL",4,IF(N55="SEMESTRAL",6,IF(N55="ANUAL",12,IF(N55="BIENAL",24,"")))))))</f>
        <v>1</v>
      </c>
      <c r="W55" s="1"/>
    </row>
    <row r="56" customFormat="false" ht="15" hidden="false" customHeight="true" outlineLevel="0" collapsed="false">
      <c r="A56" s="101" t="n">
        <v>31</v>
      </c>
      <c r="B56" s="93" t="str">
        <f aca="false">Mat!B39</f>
        <v>Saco de Algodão Tipo: Alvejado, Tamanho: 60 X 80 CM, Cor: Branco, Características Adicionais: Dupla Face</v>
      </c>
      <c r="C56" s="93"/>
      <c r="D56" s="93"/>
      <c r="E56" s="50" t="str">
        <f aca="false">Mat!C39</f>
        <v>unid.</v>
      </c>
      <c r="F56" s="50" t="str">
        <f aca="false">Mat!D39</f>
        <v>Santa Margarida</v>
      </c>
      <c r="G56" s="94" t="n">
        <f aca="false">IF($D$4="PLANILHA PARA LICITAÇÃO (PRECIFICAÇÃO)",L56,0)</f>
        <v>1</v>
      </c>
      <c r="H56" s="95" t="n">
        <f aca="false">G56*Mat!G39</f>
        <v>8.23</v>
      </c>
      <c r="I56" s="96" t="str">
        <f aca="false">IF(G56&lt;L56,"Fornecimento inferior ao estimado mensalmente",IF(G56=L56,"Fornecimento igual ao estimado mensalmente",IF(G56&gt;L56,"Fornecimento superior ao estimado mensalmente",)))</f>
        <v>Fornecimento igual ao estimado mensalmente</v>
      </c>
      <c r="J56" s="96"/>
      <c r="K56" s="96"/>
      <c r="L56" s="97" t="n">
        <f aca="false">M56/O56</f>
        <v>1</v>
      </c>
      <c r="M56" s="98" t="n">
        <f aca="false">Mat!E39</f>
        <v>1</v>
      </c>
      <c r="N56" s="99" t="str">
        <f aca="false">Mat!F39</f>
        <v>mensal</v>
      </c>
      <c r="O56" s="100" t="n">
        <f aca="false">IF(N56="MENSAL",1,IF(N56="BIMESTRAL",2,IF(N56="TRIMESTRAL",3,IF(N56="QUADRIMESTRAL",4,IF(N56="SEMESTRAL",6,IF(N56="ANUAL",12,IF(N56="BIENAL",24,"")))))))</f>
        <v>1</v>
      </c>
      <c r="W56" s="1"/>
    </row>
    <row r="57" customFormat="false" ht="15" hidden="false" customHeight="true" outlineLevel="0" collapsed="false">
      <c r="A57" s="101" t="n">
        <v>32</v>
      </c>
      <c r="B57" s="93" t="str">
        <f aca="false">Mat!B40</f>
        <v>Saco plástico reforçado para lixo em polietileno, com capacidade de 100 litros, com estanqueidade suficiente para que não haja vazamento de lixo líquido. com espessura mínima de 10 micra, na cor preta. Pacote com 100 unidades.</v>
      </c>
      <c r="C57" s="93"/>
      <c r="D57" s="93"/>
      <c r="E57" s="50" t="str">
        <f aca="false">Mat!C40</f>
        <v>Pacote</v>
      </c>
      <c r="F57" s="50" t="str">
        <f aca="false">Mat!D40</f>
        <v>Polisac</v>
      </c>
      <c r="G57" s="94" t="n">
        <f aca="false">IF($D$4="PLANILHA PARA LICITAÇÃO (PRECIFICAÇÃO)",L57,0)</f>
        <v>2</v>
      </c>
      <c r="H57" s="95" t="n">
        <f aca="false">G57*Mat!G40</f>
        <v>120.32</v>
      </c>
      <c r="I57" s="96" t="str">
        <f aca="false">IF(G57&lt;L57,"Fornecimento inferior ao estimado mensalmente",IF(G57=L57,"Fornecimento igual ao estimado mensalmente",IF(G57&gt;L57,"Fornecimento superior ao estimado mensalmente",)))</f>
        <v>Fornecimento igual ao estimado mensalmente</v>
      </c>
      <c r="J57" s="96"/>
      <c r="K57" s="96"/>
      <c r="L57" s="97" t="n">
        <f aca="false">M57/O57</f>
        <v>2</v>
      </c>
      <c r="M57" s="98" t="n">
        <f aca="false">Mat!E40</f>
        <v>2</v>
      </c>
      <c r="N57" s="99" t="str">
        <f aca="false">Mat!F40</f>
        <v>mensal</v>
      </c>
      <c r="O57" s="100" t="n">
        <f aca="false">IF(N57="MENSAL",1,IF(N57="BIMESTRAL",2,IF(N57="TRIMESTRAL",3,IF(N57="QUADRIMESTRAL",4,IF(N57="SEMESTRAL",6,IF(N57="ANUAL",12,IF(N57="BIENAL",24,"")))))))</f>
        <v>1</v>
      </c>
      <c r="W57" s="1"/>
    </row>
    <row r="58" customFormat="false" ht="15" hidden="false" customHeight="true" outlineLevel="0" collapsed="false">
      <c r="A58" s="101" t="n">
        <v>33</v>
      </c>
      <c r="B58" s="93" t="str">
        <f aca="false">Mat!B41</f>
        <v>Saco plástico reforçado para lixo em polietileno, com capacidade de 20 litros, com estanqueidade suficiente para que não haja vazamento de lixo líquido. com espessura mínima de 09 micra, na cor preta. Pacote com 100 unidades.</v>
      </c>
      <c r="C58" s="93"/>
      <c r="D58" s="93"/>
      <c r="E58" s="50" t="str">
        <f aca="false">Mat!C41</f>
        <v>Pacote</v>
      </c>
      <c r="F58" s="50" t="str">
        <f aca="false">Mat!D41</f>
        <v>Altaplast</v>
      </c>
      <c r="G58" s="94" t="n">
        <f aca="false">IF($D$4="PLANILHA PARA LICITAÇÃO (PRECIFICAÇÃO)",L58,0)</f>
        <v>1</v>
      </c>
      <c r="H58" s="95" t="n">
        <f aca="false">G58*Mat!G41</f>
        <v>16.49</v>
      </c>
      <c r="I58" s="96" t="str">
        <f aca="false">IF(G58&lt;L58,"Fornecimento inferior ao estimado mensalmente",IF(G58=L58,"Fornecimento igual ao estimado mensalmente",IF(G58&gt;L58,"Fornecimento superior ao estimado mensalmente",)))</f>
        <v>Fornecimento igual ao estimado mensalmente</v>
      </c>
      <c r="J58" s="96"/>
      <c r="K58" s="96"/>
      <c r="L58" s="97" t="n">
        <f aca="false">M58/O58</f>
        <v>1</v>
      </c>
      <c r="M58" s="98" t="n">
        <f aca="false">Mat!E41</f>
        <v>1</v>
      </c>
      <c r="N58" s="99" t="str">
        <f aca="false">Mat!F41</f>
        <v>mensal</v>
      </c>
      <c r="O58" s="100" t="n">
        <f aca="false">IF(N58="MENSAL",1,IF(N58="BIMESTRAL",2,IF(N58="TRIMESTRAL",3,IF(N58="QUADRIMESTRAL",4,IF(N58="SEMESTRAL",6,IF(N58="ANUAL",12,IF(N58="BIENAL",24,"")))))))</f>
        <v>1</v>
      </c>
      <c r="W58" s="1"/>
    </row>
    <row r="59" customFormat="false" ht="15" hidden="false" customHeight="true" outlineLevel="0" collapsed="false">
      <c r="A59" s="103" t="n">
        <v>34</v>
      </c>
      <c r="B59" s="93" t="str">
        <f aca="false">Mat!B42</f>
        <v>Vassoura de nylon, cerdas c/ ponta desfiada, corpo de madeira medindo aproximadamente 25 x 05cm, c/ cabo de no mínimo 1,50m de comprimento</v>
      </c>
      <c r="C59" s="93"/>
      <c r="D59" s="93"/>
      <c r="E59" s="50" t="str">
        <f aca="false">Mat!C42</f>
        <v>unid.</v>
      </c>
      <c r="F59" s="50" t="str">
        <f aca="false">Mat!D42</f>
        <v>Oliveira e Azevedo</v>
      </c>
      <c r="G59" s="94" t="n">
        <f aca="false">IF($D$4="PLANILHA PARA LICITAÇÃO (PRECIFICAÇÃO)",L59,0)</f>
        <v>2</v>
      </c>
      <c r="H59" s="95" t="n">
        <f aca="false">G59*Mat!G42</f>
        <v>32.92</v>
      </c>
      <c r="I59" s="96" t="str">
        <f aca="false">IF(G59&lt;L59,"Fornecimento inferior ao estimado mensalmente",IF(G59=L59,"Fornecimento igual ao estimado mensalmente",IF(G59&gt;L59,"Fornecimento superior ao estimado mensalmente",)))</f>
        <v>Fornecimento igual ao estimado mensalmente</v>
      </c>
      <c r="J59" s="96"/>
      <c r="K59" s="96"/>
      <c r="L59" s="97" t="n">
        <f aca="false">M59/O59</f>
        <v>2</v>
      </c>
      <c r="M59" s="98" t="n">
        <f aca="false">Mat!E42</f>
        <v>2</v>
      </c>
      <c r="N59" s="99" t="str">
        <f aca="false">Mat!F42</f>
        <v>mensal</v>
      </c>
      <c r="O59" s="100" t="n">
        <f aca="false">IF(N59="MENSAL",1,IF(N59="BIMESTRAL",2,IF(N59="TRIMESTRAL",3,IF(N59="QUADRIMESTRAL",4,IF(N59="SEMESTRAL",6,IF(N59="ANUAL",12,IF(N59="BIENAL",24,"")))))))</f>
        <v>1</v>
      </c>
      <c r="W59" s="1"/>
    </row>
    <row r="60" customFormat="false" ht="15" hidden="false" customHeight="true" outlineLevel="0" collapsed="false">
      <c r="A60" s="103" t="n">
        <v>35</v>
      </c>
      <c r="B60" s="93" t="str">
        <f aca="false">Mat!B43</f>
        <v>Vassoura Material Cerdas: Piaçava, Aplicação: Limpeza, Material Cepa: Madeira, Comprimento Cepa: 40 CM, Comprimento Cerdas: 13 CM, Largura Cepa: 5 CM, Altura Cepa: 4 CM, Material Cabo: Madeira</v>
      </c>
      <c r="C60" s="93"/>
      <c r="D60" s="93"/>
      <c r="E60" s="50" t="str">
        <f aca="false">Mat!C43</f>
        <v>unid.</v>
      </c>
      <c r="F60" s="50" t="str">
        <f aca="false">Mat!D43</f>
        <v>Noviça</v>
      </c>
      <c r="G60" s="94" t="n">
        <f aca="false">IF($D$4="PLANILHA PARA LICITAÇÃO (PRECIFICAÇÃO)",L60,0)</f>
        <v>0.333333333333333</v>
      </c>
      <c r="H60" s="95" t="n">
        <f aca="false">G60*Mat!G43</f>
        <v>6.03333333333333</v>
      </c>
      <c r="I60" s="96" t="str">
        <f aca="false">IF(G60&lt;L60,"Fornecimento inferior ao estimado mensalmente",IF(G60=L60,"Fornecimento igual ao estimado mensalmente",IF(G60&gt;L60,"Fornecimento superior ao estimado mensalmente",)))</f>
        <v>Fornecimento igual ao estimado mensalmente</v>
      </c>
      <c r="J60" s="96"/>
      <c r="K60" s="96"/>
      <c r="L60" s="97" t="n">
        <f aca="false">M60/O60</f>
        <v>0.333333333333333</v>
      </c>
      <c r="M60" s="98" t="n">
        <f aca="false">Mat!E43</f>
        <v>1</v>
      </c>
      <c r="N60" s="99" t="str">
        <f aca="false">Mat!F43</f>
        <v>trimestral</v>
      </c>
      <c r="O60" s="100" t="n">
        <f aca="false">IF(N60="MENSAL",1,IF(N60="BIMESTRAL",2,IF(N60="TRIMESTRAL",3,IF(N60="QUADRIMESTRAL",4,IF(N60="SEMESTRAL",6,IF(N60="ANUAL",12,IF(N60="BIENAL",24,"")))))))</f>
        <v>3</v>
      </c>
      <c r="W60" s="1"/>
    </row>
    <row r="61" customFormat="false" ht="15" hidden="false" customHeight="true" outlineLevel="0" collapsed="false">
      <c r="A61" s="30" t="s">
        <v>73</v>
      </c>
      <c r="B61" s="30"/>
      <c r="C61" s="30"/>
      <c r="D61" s="30"/>
      <c r="E61" s="30"/>
      <c r="F61" s="30"/>
      <c r="G61" s="30"/>
      <c r="H61" s="104" t="n">
        <f aca="false">ROUND(SUM(H26:H60),2)</f>
        <v>988.04</v>
      </c>
      <c r="I61" s="74"/>
      <c r="J61" s="74"/>
      <c r="K61" s="1"/>
      <c r="L61" s="1"/>
      <c r="M61" s="1"/>
      <c r="N61" s="85"/>
      <c r="O61" s="85"/>
    </row>
    <row r="62" customFormat="false" ht="15" hidden="false" customHeight="true" outlineLevel="0" collapsed="false">
      <c r="A62" s="105" t="s">
        <v>74</v>
      </c>
      <c r="B62" s="105"/>
      <c r="C62" s="105"/>
      <c r="D62" s="105"/>
      <c r="E62" s="105"/>
      <c r="F62" s="105"/>
      <c r="G62" s="106" t="n">
        <f aca="false">Dados!G43</f>
        <v>0.03</v>
      </c>
      <c r="H62" s="107" t="n">
        <f aca="false">ROUND((H61*G62),2)</f>
        <v>29.64</v>
      </c>
      <c r="I62" s="74"/>
      <c r="J62" s="74"/>
      <c r="K62" s="1"/>
      <c r="L62" s="1"/>
      <c r="M62" s="1"/>
      <c r="N62" s="85"/>
      <c r="O62" s="85"/>
    </row>
    <row r="63" customFormat="false" ht="15" hidden="false" customHeight="true" outlineLevel="0" collapsed="false">
      <c r="A63" s="105" t="s">
        <v>75</v>
      </c>
      <c r="B63" s="105"/>
      <c r="C63" s="105"/>
      <c r="D63" s="105"/>
      <c r="E63" s="105"/>
      <c r="F63" s="105"/>
      <c r="G63" s="106" t="n">
        <f aca="false">Dados!G44</f>
        <v>0.0679</v>
      </c>
      <c r="H63" s="107" t="n">
        <f aca="false">ROUND((SUM(H61:H62)*G63),2)</f>
        <v>69.1</v>
      </c>
      <c r="I63" s="74"/>
      <c r="J63" s="74"/>
      <c r="K63" s="1"/>
      <c r="L63" s="1"/>
      <c r="M63" s="1"/>
      <c r="N63" s="85"/>
      <c r="O63" s="85"/>
    </row>
    <row r="64" customFormat="false" ht="15" hidden="false" customHeight="true" outlineLevel="0" collapsed="false">
      <c r="A64" s="105" t="s">
        <v>76</v>
      </c>
      <c r="B64" s="105"/>
      <c r="C64" s="105"/>
      <c r="D64" s="105"/>
      <c r="E64" s="105"/>
      <c r="F64" s="105"/>
      <c r="G64" s="106" t="n">
        <f aca="false">Dados!G55</f>
        <v>0.1725</v>
      </c>
      <c r="H64" s="107" t="n">
        <f aca="false">ROUND((H65*G64),2)</f>
        <v>226.55</v>
      </c>
      <c r="I64" s="74"/>
      <c r="J64" s="74"/>
      <c r="K64" s="1"/>
      <c r="L64" s="1"/>
      <c r="M64" s="1"/>
      <c r="N64" s="85"/>
      <c r="O64" s="85"/>
    </row>
    <row r="65" customFormat="false" ht="15.75" hidden="false" customHeight="true" outlineLevel="0" collapsed="false">
      <c r="A65" s="108" t="s">
        <v>77</v>
      </c>
      <c r="B65" s="108"/>
      <c r="C65" s="108"/>
      <c r="D65" s="108"/>
      <c r="E65" s="108"/>
      <c r="F65" s="108"/>
      <c r="G65" s="108"/>
      <c r="H65" s="109" t="n">
        <f aca="false">ROUND((SUM(H61:H63)/(1-G64)),2)</f>
        <v>1313.33</v>
      </c>
      <c r="I65" s="74"/>
      <c r="J65" s="74"/>
      <c r="K65" s="1"/>
      <c r="L65" s="1"/>
      <c r="M65" s="1"/>
      <c r="N65" s="85"/>
      <c r="O65" s="85"/>
    </row>
    <row r="66" customFormat="false" ht="15" hidden="false" customHeight="false" outlineLevel="0" collapsed="false">
      <c r="A66" s="79"/>
      <c r="B66" s="76"/>
      <c r="C66" s="85"/>
      <c r="D66" s="85"/>
      <c r="E66" s="85"/>
      <c r="F66" s="85"/>
      <c r="G66" s="79"/>
      <c r="H66" s="85"/>
      <c r="I66" s="85"/>
      <c r="J66" s="85"/>
      <c r="K66" s="1"/>
      <c r="L66" s="1"/>
      <c r="M66" s="1"/>
      <c r="N66" s="85"/>
      <c r="O66" s="85"/>
    </row>
    <row r="67" customFormat="false" ht="15.75" hidden="false" customHeight="true" outlineLevel="0" collapsed="false">
      <c r="A67" s="86" t="s">
        <v>59</v>
      </c>
      <c r="B67" s="110" t="s">
        <v>78</v>
      </c>
      <c r="C67" s="110"/>
      <c r="D67" s="110"/>
      <c r="E67" s="110"/>
      <c r="F67" s="111" t="s">
        <v>61</v>
      </c>
      <c r="G67" s="111"/>
      <c r="H67" s="111"/>
      <c r="I67" s="89" t="s">
        <v>62</v>
      </c>
      <c r="J67" s="89"/>
      <c r="K67" s="89"/>
      <c r="L67" s="112" t="s">
        <v>63</v>
      </c>
      <c r="M67" s="112"/>
      <c r="N67" s="112"/>
      <c r="O67" s="112"/>
      <c r="V67" s="1"/>
      <c r="W67" s="1"/>
    </row>
    <row r="68" customFormat="false" ht="38.25" hidden="false" customHeight="true" outlineLevel="0" collapsed="false">
      <c r="A68" s="86"/>
      <c r="B68" s="78" t="s">
        <v>64</v>
      </c>
      <c r="C68" s="78"/>
      <c r="D68" s="78"/>
      <c r="E68" s="78" t="s">
        <v>65</v>
      </c>
      <c r="F68" s="78" t="s">
        <v>66</v>
      </c>
      <c r="G68" s="78" t="s">
        <v>67</v>
      </c>
      <c r="H68" s="91" t="s">
        <v>68</v>
      </c>
      <c r="I68" s="89"/>
      <c r="J68" s="89"/>
      <c r="K68" s="89"/>
      <c r="L68" s="86" t="s">
        <v>69</v>
      </c>
      <c r="M68" s="87" t="s">
        <v>70</v>
      </c>
      <c r="N68" s="87" t="s">
        <v>71</v>
      </c>
      <c r="O68" s="88" t="s">
        <v>72</v>
      </c>
      <c r="V68" s="1"/>
      <c r="W68" s="1"/>
    </row>
    <row r="69" customFormat="false" ht="26.25" hidden="false" customHeight="true" outlineLevel="0" collapsed="false">
      <c r="A69" s="37" t="n">
        <v>1</v>
      </c>
      <c r="B69" s="113" t="str">
        <f aca="false">Mat!B50</f>
        <v>Balde Material: Plástico, Material Alça: Arame Galvanizado, Capacidade: 10 L, Cor: Preta, Características Adicionais: Reforço Fundo E Borda</v>
      </c>
      <c r="C69" s="113"/>
      <c r="D69" s="113"/>
      <c r="E69" s="50" t="str">
        <f aca="false">Mat!C50</f>
        <v>unid.</v>
      </c>
      <c r="F69" s="50" t="str">
        <f aca="false">Mat!D50</f>
        <v>Sanremo</v>
      </c>
      <c r="G69" s="94" t="n">
        <f aca="false">IF($D$4="PLANILHA PARA LICITAÇÃO (PRECIFICAÇÃO)",L69,0)</f>
        <v>0.166666666666667</v>
      </c>
      <c r="H69" s="114" t="n">
        <f aca="false">G69*Mat!G50</f>
        <v>2.315</v>
      </c>
      <c r="I69" s="96" t="str">
        <f aca="false">IF(G69&lt;L69,"Fornecimento inferior ao estimado mensalmente",IF(G69=L69,"Fornecimento igual ao estimado mensalmente",IF(G69&gt;L69,"Fornecimento superior ao estimado mensalmente",)))</f>
        <v>Fornecimento igual ao estimado mensalmente</v>
      </c>
      <c r="J69" s="96"/>
      <c r="K69" s="96"/>
      <c r="L69" s="97" t="n">
        <f aca="false">M69/O69</f>
        <v>0.166666666666667</v>
      </c>
      <c r="M69" s="39" t="n">
        <f aca="false">Mat!E50</f>
        <v>1</v>
      </c>
      <c r="N69" s="39" t="str">
        <f aca="false">Mat!F50</f>
        <v>semestral</v>
      </c>
      <c r="O69" s="100" t="n">
        <f aca="false">IF(N69="MENSAL",1,IF(N69="BIMESTRAL",2,IF(N69="TRIMESTRAL",3,IF(N69="QUADRIMESTRAL",4,IF(N69="SEMESTRAL",6,IF(N69="ANUAL",12,IF(N69="BIENAL",24,"")))))))</f>
        <v>6</v>
      </c>
      <c r="W69" s="1"/>
    </row>
    <row r="70" customFormat="false" ht="15" hidden="false" customHeight="true" outlineLevel="0" collapsed="false">
      <c r="A70" s="37" t="n">
        <v>2</v>
      </c>
      <c r="B70" s="113" t="str">
        <f aca="false">Mat!B51</f>
        <v>Coador de Café. Especificação: Em pano 100% algodão, cor branca, dimensões de 20cm (diâmetro) x 30cm (profundidade), cabo 16 cm de comprimento feito de arame de aço galvanizado revestido com PVC. O rótulo do produto deve estampar o nome do fabricante.</v>
      </c>
      <c r="C70" s="113"/>
      <c r="D70" s="113"/>
      <c r="E70" s="50" t="str">
        <f aca="false">Mat!C51</f>
        <v>unid.</v>
      </c>
      <c r="F70" s="50" t="str">
        <f aca="false">Mat!D51</f>
        <v>Stolf</v>
      </c>
      <c r="G70" s="94" t="n">
        <f aca="false">IF($D$4="PLANILHA PARA LICITAÇÃO (PRECIFICAÇÃO)",L70,0)</f>
        <v>1</v>
      </c>
      <c r="H70" s="114" t="n">
        <f aca="false">G70*Mat!G51</f>
        <v>9.99</v>
      </c>
      <c r="I70" s="96" t="str">
        <f aca="false">IF(G70&lt;L70,"Fornecimento inferior ao estimado mensalmente",IF(G70=L70,"Fornecimento igual ao estimado mensalmente",IF(G70&gt;L70,"Fornecimento superior ao estimado mensalmente",)))</f>
        <v>Fornecimento igual ao estimado mensalmente</v>
      </c>
      <c r="J70" s="96"/>
      <c r="K70" s="96"/>
      <c r="L70" s="97" t="n">
        <f aca="false">M70/O70</f>
        <v>1</v>
      </c>
      <c r="M70" s="39" t="n">
        <f aca="false">Mat!E51</f>
        <v>1</v>
      </c>
      <c r="N70" s="39" t="str">
        <f aca="false">Mat!F51</f>
        <v>mensal</v>
      </c>
      <c r="O70" s="100" t="n">
        <f aca="false">IF(N70="MENSAL",1,IF(N70="BIMESTRAL",2,IF(N70="TRIMESTRAL",3,IF(N70="QUADRIMESTRAL",4,IF(N70="SEMESTRAL",6,IF(N70="ANUAL",12,IF(N70="BIENAL",24,"")))))))</f>
        <v>1</v>
      </c>
      <c r="W70" s="1"/>
    </row>
    <row r="71" customFormat="false" ht="30.75" hidden="false" customHeight="true" outlineLevel="0" collapsed="false">
      <c r="A71" s="37" t="n">
        <v>3</v>
      </c>
      <c r="B71" s="113" t="str">
        <f aca="false">Mat!B52</f>
        <v>Desentupidor Pia Material: Borracha Flexível, Cor: Preta , Material Cabo: Plástico Resistente , Comprimento Cabo: 20 CM, Tipo: Sanfonado</v>
      </c>
      <c r="C71" s="113"/>
      <c r="D71" s="113"/>
      <c r="E71" s="50" t="str">
        <f aca="false">Mat!C52</f>
        <v>unid.</v>
      </c>
      <c r="F71" s="50" t="str">
        <f aca="false">Mat!D52</f>
        <v>Oliveira e Azevedo</v>
      </c>
      <c r="G71" s="94" t="n">
        <f aca="false">IF($D$4="PLANILHA PARA LICITAÇÃO (PRECIFICAÇÃO)",L71,0)</f>
        <v>0.166666666666667</v>
      </c>
      <c r="H71" s="114" t="n">
        <f aca="false">G71*Mat!G52</f>
        <v>1.735</v>
      </c>
      <c r="I71" s="96" t="str">
        <f aca="false">IF(G71&lt;L71,"Fornecimento inferior ao estimado mensalmente",IF(G71=L71,"Fornecimento igual ao estimado mensalmente",IF(G71&gt;L71,"Fornecimento superior ao estimado mensalmente",)))</f>
        <v>Fornecimento igual ao estimado mensalmente</v>
      </c>
      <c r="J71" s="96"/>
      <c r="K71" s="96"/>
      <c r="L71" s="97" t="n">
        <f aca="false">M71/O71</f>
        <v>0.166666666666667</v>
      </c>
      <c r="M71" s="39" t="n">
        <f aca="false">Mat!E52</f>
        <v>1</v>
      </c>
      <c r="N71" s="39" t="str">
        <f aca="false">Mat!F52</f>
        <v>semestral</v>
      </c>
      <c r="O71" s="100" t="n">
        <f aca="false">IF(N71="MENSAL",1,IF(N71="BIMESTRAL",2,IF(N71="TRIMESTRAL",3,IF(N71="QUADRIMESTRAL",4,IF(N71="SEMESTRAL",6,IF(N71="ANUAL",12,IF(N71="BIENAL",24,"")))))))</f>
        <v>6</v>
      </c>
      <c r="W71" s="1"/>
    </row>
    <row r="72" customFormat="false" ht="15" hidden="false" customHeight="true" outlineLevel="0" collapsed="false">
      <c r="A72" s="37" t="n">
        <v>4</v>
      </c>
      <c r="B72" s="113" t="str">
        <f aca="false">Mat!B53</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72" s="113"/>
      <c r="D72" s="113"/>
      <c r="E72" s="50" t="str">
        <f aca="false">Mat!C53</f>
        <v>unid.</v>
      </c>
      <c r="F72" s="50" t="str">
        <f aca="false">Mat!D53</f>
        <v>Limpol ou similar</v>
      </c>
      <c r="G72" s="94" t="n">
        <f aca="false">IF($D$4="PLANILHA PARA LICITAÇÃO (PRECIFICAÇÃO)",L72,0)</f>
        <v>4</v>
      </c>
      <c r="H72" s="114" t="n">
        <f aca="false">G72*Mat!G53</f>
        <v>11.96</v>
      </c>
      <c r="I72" s="96" t="str">
        <f aca="false">IF(G72&lt;L72,"Fornecimento inferior ao estimado mensalmente",IF(G72=L72,"Fornecimento igual ao estimado mensalmente",IF(G72&gt;L72,"Fornecimento superior ao estimado mensalmente",)))</f>
        <v>Fornecimento igual ao estimado mensalmente</v>
      </c>
      <c r="J72" s="96"/>
      <c r="K72" s="96"/>
      <c r="L72" s="97" t="n">
        <f aca="false">M72/O72</f>
        <v>4</v>
      </c>
      <c r="M72" s="39" t="n">
        <f aca="false">Mat!E53</f>
        <v>4</v>
      </c>
      <c r="N72" s="39" t="str">
        <f aca="false">Mat!F53</f>
        <v>mensal</v>
      </c>
      <c r="O72" s="100" t="n">
        <f aca="false">IF(N72="MENSAL",1,IF(N72="BIMESTRAL",2,IF(N72="TRIMESTRAL",3,IF(N72="QUADRIMESTRAL",4,IF(N72="SEMESTRAL",6,IF(N72="ANUAL",12,IF(N72="BIENAL",24,"")))))))</f>
        <v>1</v>
      </c>
      <c r="W72" s="1"/>
    </row>
    <row r="73" customFormat="false" ht="15" hidden="false" customHeight="true" outlineLevel="0" collapsed="false">
      <c r="A73" s="37" t="n">
        <v>5</v>
      </c>
      <c r="B73" s="113" t="str">
        <f aca="false">Mat!B54</f>
        <v>Escova para lavar multiuso, oval, base plástica e cerdas de escova para lavar multiuso, oval, base plástica e cerdas de nylon.</v>
      </c>
      <c r="C73" s="113"/>
      <c r="D73" s="113"/>
      <c r="E73" s="50" t="str">
        <f aca="false">Mat!C54</f>
        <v>unid.</v>
      </c>
      <c r="F73" s="50" t="str">
        <f aca="false">Mat!D54</f>
        <v>Condor</v>
      </c>
      <c r="G73" s="94" t="n">
        <f aca="false">IF($D$4="PLANILHA PARA LICITAÇÃO (PRECIFICAÇÃO)",L73,0)</f>
        <v>0.333333333333333</v>
      </c>
      <c r="H73" s="114" t="n">
        <f aca="false">G73*Mat!G54</f>
        <v>1.85666666666667</v>
      </c>
      <c r="I73" s="96" t="str">
        <f aca="false">IF(G73&lt;L73,"Fornecimento inferior ao estimado mensalmente",IF(G73=L73,"Fornecimento igual ao estimado mensalmente",IF(G73&gt;L73,"Fornecimento superior ao estimado mensalmente",)))</f>
        <v>Fornecimento igual ao estimado mensalmente</v>
      </c>
      <c r="J73" s="96"/>
      <c r="K73" s="96"/>
      <c r="L73" s="97" t="n">
        <f aca="false">M73/O73</f>
        <v>0.333333333333333</v>
      </c>
      <c r="M73" s="39" t="n">
        <f aca="false">Mat!E54</f>
        <v>1</v>
      </c>
      <c r="N73" s="39" t="str">
        <f aca="false">Mat!F54</f>
        <v>trimestral</v>
      </c>
      <c r="O73" s="100" t="n">
        <f aca="false">IF(N73="MENSAL",1,IF(N73="BIMESTRAL",2,IF(N73="TRIMESTRAL",3,IF(N73="QUADRIMESTRAL",4,IF(N73="SEMESTRAL",6,IF(N73="ANUAL",12,IF(N73="BIENAL",24,"")))))))</f>
        <v>3</v>
      </c>
      <c r="W73" s="1"/>
    </row>
    <row r="74" customFormat="false" ht="15" hidden="false" customHeight="true" outlineLevel="0" collapsed="false">
      <c r="A74" s="37" t="n">
        <v>6</v>
      </c>
      <c r="B74" s="113" t="str">
        <f aca="false">Mat!B55</f>
        <v>Esponja Para Lavagem De Louças E Limpeza Em Geral, Dupla Face Sintética, Um Lado Em Espuma Poliuretano E Outro Em Fibra Sintética Abrasiva, Antibacteriana, Formato Retangular, Medindo Aproximadamente 110mm X 75mm X 20mm De Espessura. Pacote com 4 unidades.</v>
      </c>
      <c r="C74" s="113"/>
      <c r="D74" s="113"/>
      <c r="E74" s="50" t="str">
        <f aca="false">Mat!C55</f>
        <v>unid.</v>
      </c>
      <c r="F74" s="50" t="str">
        <f aca="false">Mat!D55</f>
        <v>Scotch-Brite</v>
      </c>
      <c r="G74" s="94" t="n">
        <f aca="false">IF($D$4="PLANILHA PARA LICITAÇÃO (PRECIFICAÇÃO)",L74,0)</f>
        <v>2</v>
      </c>
      <c r="H74" s="114" t="n">
        <f aca="false">G74*Mat!G55</f>
        <v>12.8</v>
      </c>
      <c r="I74" s="96" t="str">
        <f aca="false">IF(G74&lt;L74,"Fornecimento inferior ao estimado mensalmente",IF(G74=L74,"Fornecimento igual ao estimado mensalmente",IF(G74&gt;L74,"Fornecimento superior ao estimado mensalmente",)))</f>
        <v>Fornecimento igual ao estimado mensalmente</v>
      </c>
      <c r="J74" s="96"/>
      <c r="K74" s="96"/>
      <c r="L74" s="97" t="n">
        <f aca="false">M74/O74</f>
        <v>2</v>
      </c>
      <c r="M74" s="39" t="n">
        <f aca="false">Mat!E55</f>
        <v>2</v>
      </c>
      <c r="N74" s="39" t="str">
        <f aca="false">Mat!F55</f>
        <v>mensal</v>
      </c>
      <c r="O74" s="100" t="n">
        <f aca="false">IF(N74="MENSAL",1,IF(N74="BIMESTRAL",2,IF(N74="TRIMESTRAL",3,IF(N74="QUADRIMESTRAL",4,IF(N74="SEMESTRAL",6,IF(N74="ANUAL",12,IF(N74="BIENAL",24,"")))))))</f>
        <v>1</v>
      </c>
      <c r="W74" s="1"/>
    </row>
    <row r="75" customFormat="false" ht="15" hidden="false" customHeight="true" outlineLevel="0" collapsed="false">
      <c r="A75" s="37" t="n">
        <v>7</v>
      </c>
      <c r="B75" s="113" t="str">
        <f aca="false">Mat!B56</f>
        <v>Esponja de LÃ DE AÇO, composição básica: aço carbono abrasivo, p/ limpeza em geral, acondicionada em embalagem plástica original do fabricante, peso líquido aproximado de 60g, pacote c/ 08 unidades</v>
      </c>
      <c r="C75" s="113"/>
      <c r="D75" s="113"/>
      <c r="E75" s="50" t="str">
        <f aca="false">Mat!C56</f>
        <v>Pacote</v>
      </c>
      <c r="F75" s="50" t="str">
        <f aca="false">Mat!D56</f>
        <v>Bombril</v>
      </c>
      <c r="G75" s="94" t="n">
        <f aca="false">IF($D$4="PLANILHA PARA LICITAÇÃO (PRECIFICAÇÃO)",L75,0)</f>
        <v>1</v>
      </c>
      <c r="H75" s="114" t="n">
        <f aca="false">G75*Mat!G56</f>
        <v>2.94</v>
      </c>
      <c r="I75" s="96" t="str">
        <f aca="false">IF(G75&lt;L75,"Fornecimento inferior ao estimado mensalmente",IF(G75=L75,"Fornecimento igual ao estimado mensalmente",IF(G75&gt;L75,"Fornecimento superior ao estimado mensalmente",)))</f>
        <v>Fornecimento igual ao estimado mensalmente</v>
      </c>
      <c r="J75" s="96"/>
      <c r="K75" s="96"/>
      <c r="L75" s="97" t="n">
        <f aca="false">M75/O75</f>
        <v>1</v>
      </c>
      <c r="M75" s="39" t="n">
        <f aca="false">Mat!E56</f>
        <v>1</v>
      </c>
      <c r="N75" s="39" t="str">
        <f aca="false">Mat!F56</f>
        <v>mensal</v>
      </c>
      <c r="O75" s="100" t="n">
        <f aca="false">IF(N75="MENSAL",1,IF(N75="BIMESTRAL",2,IF(N75="TRIMESTRAL",3,IF(N75="QUADRIMESTRAL",4,IF(N75="SEMESTRAL",6,IF(N75="ANUAL",12,IF(N75="BIENAL",24,"")))))))</f>
        <v>1</v>
      </c>
      <c r="W75" s="1"/>
    </row>
    <row r="76" customFormat="false" ht="15" hidden="false" customHeight="true" outlineLevel="0" collapsed="false">
      <c r="A76" s="37" t="n">
        <v>8</v>
      </c>
      <c r="B76" s="113" t="str">
        <f aca="false">Mat!B57</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76" s="113"/>
      <c r="D76" s="113"/>
      <c r="E76" s="50" t="str">
        <f aca="false">Mat!C57</f>
        <v>unid.</v>
      </c>
      <c r="F76" s="50" t="str">
        <f aca="false">Mat!D57</f>
        <v>Santa Margarida</v>
      </c>
      <c r="G76" s="94" t="n">
        <f aca="false">IF($D$4="PLANILHA PARA LICITAÇÃO (PRECIFICAÇÃO)",L76,0)</f>
        <v>2</v>
      </c>
      <c r="H76" s="114" t="n">
        <f aca="false">G76*Mat!G57</f>
        <v>8.56</v>
      </c>
      <c r="I76" s="96" t="str">
        <f aca="false">IF(G76&lt;L76,"Fornecimento inferior ao estimado mensalmente",IF(G76=L76,"Fornecimento igual ao estimado mensalmente",IF(G76&gt;L76,"Fornecimento superior ao estimado mensalmente",)))</f>
        <v>Fornecimento igual ao estimado mensalmente</v>
      </c>
      <c r="J76" s="96"/>
      <c r="K76" s="96"/>
      <c r="L76" s="97" t="n">
        <f aca="false">M76/O76</f>
        <v>2</v>
      </c>
      <c r="M76" s="39" t="n">
        <f aca="false">Mat!E57</f>
        <v>2</v>
      </c>
      <c r="N76" s="39" t="str">
        <f aca="false">Mat!F57</f>
        <v>mensal</v>
      </c>
      <c r="O76" s="100" t="n">
        <f aca="false">IF(N76="MENSAL",1,IF(N76="BIMESTRAL",2,IF(N76="TRIMESTRAL",3,IF(N76="QUADRIMESTRAL",4,IF(N76="SEMESTRAL",6,IF(N76="ANUAL",12,IF(N76="BIENAL",24,"")))))))</f>
        <v>1</v>
      </c>
      <c r="W76" s="1"/>
    </row>
    <row r="77" customFormat="false" ht="53.25" hidden="false" customHeight="true" outlineLevel="0" collapsed="false">
      <c r="A77" s="37" t="n">
        <v>9</v>
      </c>
      <c r="B77" s="113" t="str">
        <f aca="false">Mat!B58</f>
        <v>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v>
      </c>
      <c r="C77" s="113"/>
      <c r="D77" s="113"/>
      <c r="E77" s="50" t="str">
        <f aca="false">Mat!C58</f>
        <v>Pacote</v>
      </c>
      <c r="F77" s="50" t="str">
        <f aca="false">Mat!D58</f>
        <v>Santepel</v>
      </c>
      <c r="G77" s="94" t="n">
        <f aca="false">IF($D$4="PLANILHA PARA LICITAÇÃO (PRECIFICAÇÃO)",L77,0)</f>
        <v>4</v>
      </c>
      <c r="H77" s="114" t="n">
        <f aca="false">G77*Mat!G58</f>
        <v>23.8</v>
      </c>
      <c r="I77" s="96" t="str">
        <f aca="false">IF(G77&lt;L77,"Fornecimento inferior ao estimado mensalmente",IF(G77=L77,"Fornecimento igual ao estimado mensalmente",IF(G77&gt;L77,"Fornecimento superior ao estimado mensalmente",)))</f>
        <v>Fornecimento igual ao estimado mensalmente</v>
      </c>
      <c r="J77" s="96"/>
      <c r="K77" s="96"/>
      <c r="L77" s="97" t="n">
        <f aca="false">M77/O77</f>
        <v>4</v>
      </c>
      <c r="M77" s="39" t="n">
        <f aca="false">Mat!E58</f>
        <v>4</v>
      </c>
      <c r="N77" s="39" t="str">
        <f aca="false">Mat!F58</f>
        <v>mensal</v>
      </c>
      <c r="O77" s="100" t="n">
        <f aca="false">IF(N77="MENSAL",1,IF(N77="BIMESTRAL",2,IF(N77="TRIMESTRAL",3,IF(N77="QUADRIMESTRAL",4,IF(N77="SEMESTRAL",6,IF(N77="ANUAL",12,IF(N77="BIENAL",24,"")))))))</f>
        <v>1</v>
      </c>
      <c r="W77" s="1"/>
    </row>
    <row r="78" customFormat="false" ht="67.5" hidden="false" customHeight="true" outlineLevel="0" collapsed="false">
      <c r="A78" s="37" t="n">
        <v>10</v>
      </c>
      <c r="B78" s="113" t="str">
        <f aca="false">Mat!B59</f>
        <v>Luva Segurança Com Forro. Material: 100% Látex Nitrílico , Tamanho: M ou G ,Aplicação: Manuseio Reagente Químico E Radioativo , Características Adicionais: Com Forro, Sem Talco, Pulso Com Bainha , Modelo: Palma Antiderrapante , Cor: Verde ,Tipo: Ambidestra</v>
      </c>
      <c r="C78" s="113"/>
      <c r="D78" s="113"/>
      <c r="E78" s="50" t="str">
        <f aca="false">Mat!C59</f>
        <v>Par</v>
      </c>
      <c r="F78" s="50" t="str">
        <f aca="false">Mat!D59</f>
        <v>Bettanin</v>
      </c>
      <c r="G78" s="94" t="n">
        <f aca="false">IF($D$4="PLANILHA PARA LICITAÇÃO (PRECIFICAÇÃO)",L78,0)</f>
        <v>1</v>
      </c>
      <c r="H78" s="114" t="n">
        <f aca="false">G78*Mat!G59</f>
        <v>13.38</v>
      </c>
      <c r="I78" s="96" t="str">
        <f aca="false">IF(G78&lt;L78,"Fornecimento inferior ao estimado mensalmente",IF(G78=L78,"Fornecimento igual ao estimado mensalmente",IF(G78&gt;L78,"Fornecimento superior ao estimado mensalmente",)))</f>
        <v>Fornecimento igual ao estimado mensalmente</v>
      </c>
      <c r="J78" s="96"/>
      <c r="K78" s="96"/>
      <c r="L78" s="97" t="n">
        <f aca="false">M78/O78</f>
        <v>1</v>
      </c>
      <c r="M78" s="39" t="n">
        <f aca="false">Mat!E59</f>
        <v>1</v>
      </c>
      <c r="N78" s="39" t="str">
        <f aca="false">Mat!F59</f>
        <v>mensal</v>
      </c>
      <c r="O78" s="100" t="n">
        <f aca="false">IF(N78="MENSAL",1,IF(N78="BIMESTRAL",2,IF(N78="TRIMESTRAL",3,IF(N78="QUADRIMESTRAL",4,IF(N78="SEMESTRAL",6,IF(N78="ANUAL",12,IF(N78="BIENAL",24,"")))))))</f>
        <v>1</v>
      </c>
      <c r="W78" s="1"/>
    </row>
    <row r="79" customFormat="false" ht="65.25" hidden="false" customHeight="true" outlineLevel="0" collapsed="false">
      <c r="A79" s="37" t="n">
        <v>11</v>
      </c>
      <c r="B79" s="113" t="str">
        <f aca="false">Mat!B60</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79" s="113"/>
      <c r="D79" s="113"/>
      <c r="E79" s="50" t="str">
        <f aca="false">Mat!C60</f>
        <v>unid.</v>
      </c>
      <c r="F79" s="50" t="str">
        <f aca="false">Mat!D60</f>
        <v>Veja</v>
      </c>
      <c r="G79" s="94" t="n">
        <f aca="false">IF($D$4="PLANILHA PARA LICITAÇÃO (PRECIFICAÇÃO)",L79,0)</f>
        <v>1</v>
      </c>
      <c r="H79" s="114" t="n">
        <f aca="false">G79*Mat!G60</f>
        <v>5.08</v>
      </c>
      <c r="I79" s="96" t="str">
        <f aca="false">IF(G79&lt;L79,"Fornecimento inferior ao estimado mensalmente",IF(G79=L79,"Fornecimento igual ao estimado mensalmente",IF(G79&gt;L79,"Fornecimento superior ao estimado mensalmente",)))</f>
        <v>Fornecimento igual ao estimado mensalmente</v>
      </c>
      <c r="J79" s="96"/>
      <c r="K79" s="96"/>
      <c r="L79" s="97" t="n">
        <f aca="false">M79/O79</f>
        <v>1</v>
      </c>
      <c r="M79" s="39" t="n">
        <f aca="false">Mat!E60</f>
        <v>1</v>
      </c>
      <c r="N79" s="39" t="str">
        <f aca="false">Mat!F60</f>
        <v>mensal</v>
      </c>
      <c r="O79" s="100" t="n">
        <f aca="false">IF(N79="MENSAL",1,IF(N79="BIMESTRAL",2,IF(N79="TRIMESTRAL",3,IF(N79="QUADRIMESTRAL",4,IF(N79="SEMESTRAL",6,IF(N79="ANUAL",12,IF(N79="BIENAL",24,"")))))))</f>
        <v>1</v>
      </c>
      <c r="W79" s="1"/>
    </row>
    <row r="80" customFormat="false" ht="26.25" hidden="false" customHeight="true" outlineLevel="0" collapsed="false">
      <c r="A80" s="37" t="n">
        <v>12</v>
      </c>
      <c r="B80" s="113" t="str">
        <f aca="false">Mat!B61</f>
        <v>Pá para lixo, material: plástico com cabo, material cabo: madeira, comprimento cabo: 60cm, tamanho:24x16,5x7cm.</v>
      </c>
      <c r="C80" s="113"/>
      <c r="D80" s="113"/>
      <c r="E80" s="50" t="str">
        <f aca="false">Mat!C61</f>
        <v>unid.</v>
      </c>
      <c r="F80" s="50" t="str">
        <f aca="false">Mat!D61</f>
        <v>Bettanin</v>
      </c>
      <c r="G80" s="94" t="n">
        <f aca="false">IF($D$4="PLANILHA PARA LICITAÇÃO (PRECIFICAÇÃO)",L80,0)</f>
        <v>0.166666666666667</v>
      </c>
      <c r="H80" s="114" t="n">
        <f aca="false">G80*Mat!G61</f>
        <v>2.18166666666667</v>
      </c>
      <c r="I80" s="96" t="str">
        <f aca="false">IF(G80&lt;L80,"Fornecimento inferior ao estimado mensalmente",IF(G80=L80,"Fornecimento igual ao estimado mensalmente",IF(G80&gt;L80,"Fornecimento superior ao estimado mensalmente",)))</f>
        <v>Fornecimento igual ao estimado mensalmente</v>
      </c>
      <c r="J80" s="96"/>
      <c r="K80" s="96"/>
      <c r="L80" s="97" t="n">
        <f aca="false">M80/O80</f>
        <v>0.166666666666667</v>
      </c>
      <c r="M80" s="39" t="n">
        <f aca="false">Mat!E61</f>
        <v>1</v>
      </c>
      <c r="N80" s="39" t="str">
        <f aca="false">Mat!F61</f>
        <v>semestral</v>
      </c>
      <c r="O80" s="100" t="n">
        <f aca="false">IF(N80="MENSAL",1,IF(N80="BIMESTRAL",2,IF(N80="TRIMESTRAL",3,IF(N80="QUADRIMESTRAL",4,IF(N80="SEMESTRAL",6,IF(N80="ANUAL",12,IF(N80="BIENAL",24,"")))))))</f>
        <v>6</v>
      </c>
      <c r="W80" s="1"/>
    </row>
    <row r="81" customFormat="false" ht="15" hidden="false" customHeight="true" outlineLevel="0" collapsed="false">
      <c r="A81" s="37" t="n">
        <v>13</v>
      </c>
      <c r="B81" s="113" t="str">
        <f aca="false">Mat!B62</f>
        <v>Pano de copa aberto 100%  dimensões mínimas 40x60cm</v>
      </c>
      <c r="C81" s="113"/>
      <c r="D81" s="113"/>
      <c r="E81" s="50" t="str">
        <f aca="false">Mat!C62</f>
        <v>unid.</v>
      </c>
      <c r="F81" s="50" t="str">
        <f aca="false">Mat!D62</f>
        <v>Karsten</v>
      </c>
      <c r="G81" s="94" t="n">
        <f aca="false">IF($D$4="PLANILHA PARA LICITAÇÃO (PRECIFICAÇÃO)",L81,0)</f>
        <v>2</v>
      </c>
      <c r="H81" s="114" t="n">
        <f aca="false">G81*Mat!G62</f>
        <v>20</v>
      </c>
      <c r="I81" s="96" t="str">
        <f aca="false">IF(G81&lt;L81,"Fornecimento inferior ao estimado mensalmente",IF(G81=L81,"Fornecimento igual ao estimado mensalmente",IF(G81&gt;L81,"Fornecimento superior ao estimado mensalmente",)))</f>
        <v>Fornecimento igual ao estimado mensalmente</v>
      </c>
      <c r="J81" s="96"/>
      <c r="K81" s="96"/>
      <c r="L81" s="97" t="n">
        <f aca="false">M81/O81</f>
        <v>2</v>
      </c>
      <c r="M81" s="39" t="n">
        <f aca="false">Mat!E62</f>
        <v>2</v>
      </c>
      <c r="N81" s="39" t="str">
        <f aca="false">Mat!F62</f>
        <v>mensal</v>
      </c>
      <c r="O81" s="100" t="n">
        <f aca="false">IF(N81="MENSAL",1,IF(N81="BIMESTRAL",2,IF(N81="TRIMESTRAL",3,IF(N81="QUADRIMESTRAL",4,IF(N81="SEMESTRAL",6,IF(N81="ANUAL",12,IF(N81="BIENAL",24,"")))))))</f>
        <v>1</v>
      </c>
      <c r="W81" s="1"/>
    </row>
    <row r="82" customFormat="false" ht="15" hidden="false" customHeight="true" outlineLevel="0" collapsed="false">
      <c r="A82" s="37" t="n">
        <v>14</v>
      </c>
      <c r="B82" s="113" t="str">
        <f aca="false">Mat!B63</f>
        <v>Rodo plástico push 60cm com borracha dupla cabo 120cmespecificação: com cepa de polipropileno; propriedades mínimas; cepa medindo 60cm de comprimento; eva; duplo; com espessura 3,5mm(+/- 0,05mm); cepa pesando 230g, cabo de madeira (cedrinho) revestido de polipropileno; 120cm gancho de polietileno de alta densidade; rosca de polietileno de baixa densidade; embalado em embalagem apropriada.</v>
      </c>
      <c r="C82" s="113"/>
      <c r="D82" s="113"/>
      <c r="E82" s="50" t="str">
        <f aca="false">Mat!C63</f>
        <v>unid.</v>
      </c>
      <c r="F82" s="50" t="str">
        <f aca="false">Mat!D63</f>
        <v>Brubalar</v>
      </c>
      <c r="G82" s="94" t="n">
        <f aca="false">IF($D$4="PLANILHA PARA LICITAÇÃO (PRECIFICAÇÃO)",L82,0)</f>
        <v>0.166666666666667</v>
      </c>
      <c r="H82" s="114" t="n">
        <f aca="false">G82*Mat!G63</f>
        <v>4.27833333333333</v>
      </c>
      <c r="I82" s="96" t="str">
        <f aca="false">IF(G82&lt;L82,"Fornecimento inferior ao estimado mensalmente",IF(G82=L82,"Fornecimento igual ao estimado mensalmente",IF(G82&gt;L82,"Fornecimento superior ao estimado mensalmente",)))</f>
        <v>Fornecimento igual ao estimado mensalmente</v>
      </c>
      <c r="J82" s="96"/>
      <c r="K82" s="96"/>
      <c r="L82" s="97" t="n">
        <f aca="false">M82/O82</f>
        <v>0.166666666666667</v>
      </c>
      <c r="M82" s="39" t="n">
        <f aca="false">Mat!E63</f>
        <v>1</v>
      </c>
      <c r="N82" s="39" t="str">
        <f aca="false">Mat!F63</f>
        <v>semestral</v>
      </c>
      <c r="O82" s="100" t="n">
        <f aca="false">IF(N82="MENSAL",1,IF(N82="BIMESTRAL",2,IF(N82="TRIMESTRAL",3,IF(N82="QUADRIMESTRAL",4,IF(N82="SEMESTRAL",6,IF(N82="ANUAL",12,IF(N82="BIENAL",24,"")))))))</f>
        <v>6</v>
      </c>
      <c r="W82" s="1"/>
    </row>
    <row r="83" customFormat="false" ht="29.25" hidden="false" customHeight="true" outlineLevel="0" collapsed="false">
      <c r="A83" s="37" t="n">
        <v>15</v>
      </c>
      <c r="B83" s="113" t="str">
        <f aca="false">Mat!B64</f>
        <v>Sabão Glicerinado em Barra Neutro 200g</v>
      </c>
      <c r="C83" s="113"/>
      <c r="D83" s="113"/>
      <c r="E83" s="50" t="str">
        <f aca="false">Mat!C64</f>
        <v>unid.</v>
      </c>
      <c r="F83" s="50"/>
      <c r="G83" s="94" t="n">
        <f aca="false">IF($D$4="PLANILHA PARA LICITAÇÃO (PRECIFICAÇÃO)",L83,0)</f>
        <v>2</v>
      </c>
      <c r="H83" s="114" t="n">
        <f aca="false">G83*Mat!G64</f>
        <v>24</v>
      </c>
      <c r="I83" s="96" t="str">
        <f aca="false">IF(G83&lt;L83,"Fornecimento inferior ao estimado mensalmente",IF(G83=L83,"Fornecimento igual ao estimado mensalmente",IF(G83&gt;L83,"Fornecimento superior ao estimado mensalmente",)))</f>
        <v>Fornecimento igual ao estimado mensalmente</v>
      </c>
      <c r="J83" s="96"/>
      <c r="K83" s="96"/>
      <c r="L83" s="97" t="n">
        <f aca="false">M83/O83</f>
        <v>2</v>
      </c>
      <c r="M83" s="39" t="n">
        <f aca="false">Mat!E64</f>
        <v>2</v>
      </c>
      <c r="N83" s="39" t="str">
        <f aca="false">Mat!F64</f>
        <v>mensal</v>
      </c>
      <c r="O83" s="100" t="n">
        <f aca="false">IF(N83="MENSAL",1,IF(N83="BIMESTRAL",2,IF(N83="TRIMESTRAL",3,IF(N83="QUADRIMESTRAL",4,IF(N83="SEMESTRAL",6,IF(N83="ANUAL",12,IF(N83="BIENAL",24,"")))))))</f>
        <v>1</v>
      </c>
      <c r="W83" s="1"/>
    </row>
    <row r="84" customFormat="false" ht="15" hidden="false" customHeight="true" outlineLevel="0" collapsed="false">
      <c r="A84" s="37" t="n">
        <v>16</v>
      </c>
      <c r="B84" s="113" t="str">
        <f aca="false">Mat!B65</f>
        <v>Saco De Algodão Tipo: Alvejado , Tamanho: 60 X 80 CM, Cor: Branco, Características Adicionais: Dupla Face</v>
      </c>
      <c r="C84" s="113"/>
      <c r="D84" s="113"/>
      <c r="E84" s="50" t="str">
        <f aca="false">Mat!C65</f>
        <v>unid.</v>
      </c>
      <c r="F84" s="50" t="str">
        <f aca="false">Mat!D65</f>
        <v>Uzzilim</v>
      </c>
      <c r="G84" s="94" t="n">
        <f aca="false">IF($D$4="PLANILHA PARA LICITAÇÃO (PRECIFICAÇÃO)",L84,0)</f>
        <v>0.5</v>
      </c>
      <c r="H84" s="114" t="n">
        <f aca="false">G84*Mat!G65</f>
        <v>4.115</v>
      </c>
      <c r="I84" s="96" t="str">
        <f aca="false">IF(G84&lt;L84,"Fornecimento inferior ao estimado mensalmente",IF(G84=L84,"Fornecimento igual ao estimado mensalmente",IF(G84&gt;L84,"Fornecimento superior ao estimado mensalmente",)))</f>
        <v>Fornecimento igual ao estimado mensalmente</v>
      </c>
      <c r="J84" s="96"/>
      <c r="K84" s="96"/>
      <c r="L84" s="97" t="n">
        <f aca="false">M84/O84</f>
        <v>0.5</v>
      </c>
      <c r="M84" s="39" t="n">
        <f aca="false">Mat!E65</f>
        <v>1</v>
      </c>
      <c r="N84" s="39" t="str">
        <f aca="false">Mat!F65</f>
        <v>bimestral</v>
      </c>
      <c r="O84" s="100" t="n">
        <f aca="false">IF(N84="MENSAL",1,IF(N84="BIMESTRAL",2,IF(N84="TRIMESTRAL",3,IF(N84="QUADRIMESTRAL",4,IF(N84="SEMESTRAL",6,IF(N84="ANUAL",12,IF(N84="BIENAL",24,"")))))))</f>
        <v>2</v>
      </c>
      <c r="W84" s="1"/>
    </row>
    <row r="85" customFormat="false" ht="15" hidden="false" customHeight="true" outlineLevel="0" collapsed="false">
      <c r="A85" s="86" t="s">
        <v>73</v>
      </c>
      <c r="B85" s="86"/>
      <c r="C85" s="86"/>
      <c r="D85" s="86"/>
      <c r="E85" s="86"/>
      <c r="F85" s="86"/>
      <c r="G85" s="86"/>
      <c r="H85" s="115" t="n">
        <f aca="false">SUM(H69:H84)</f>
        <v>148.991666666667</v>
      </c>
      <c r="I85" s="74"/>
      <c r="J85" s="74"/>
      <c r="K85" s="1"/>
      <c r="L85" s="85"/>
      <c r="M85" s="85"/>
      <c r="N85" s="85"/>
      <c r="V85" s="1"/>
      <c r="W85" s="1"/>
    </row>
    <row r="86" customFormat="false" ht="15" hidden="false" customHeight="true" outlineLevel="0" collapsed="false">
      <c r="A86" s="105" t="s">
        <v>74</v>
      </c>
      <c r="B86" s="105"/>
      <c r="C86" s="105"/>
      <c r="D86" s="105"/>
      <c r="E86" s="105"/>
      <c r="F86" s="105"/>
      <c r="G86" s="106" t="n">
        <f aca="false">Dados!$G$43</f>
        <v>0.03</v>
      </c>
      <c r="H86" s="107" t="n">
        <f aca="false">ROUND((H85*G86),2)</f>
        <v>4.47</v>
      </c>
      <c r="I86" s="85"/>
      <c r="J86" s="85"/>
      <c r="K86" s="1"/>
      <c r="L86" s="85"/>
      <c r="M86" s="85"/>
      <c r="N86" s="85"/>
      <c r="V86" s="1"/>
      <c r="W86" s="1"/>
    </row>
    <row r="87" customFormat="false" ht="15" hidden="false" customHeight="true" outlineLevel="0" collapsed="false">
      <c r="A87" s="105" t="s">
        <v>75</v>
      </c>
      <c r="B87" s="105"/>
      <c r="C87" s="105"/>
      <c r="D87" s="105"/>
      <c r="E87" s="105"/>
      <c r="F87" s="105"/>
      <c r="G87" s="106" t="n">
        <f aca="false">Dados!$G$44</f>
        <v>0.0679</v>
      </c>
      <c r="H87" s="107" t="n">
        <f aca="false">ROUND((SUM(H85:H86)*G87),2)</f>
        <v>10.42</v>
      </c>
      <c r="I87" s="85"/>
      <c r="J87" s="85"/>
      <c r="K87" s="1"/>
      <c r="L87" s="85"/>
      <c r="M87" s="85"/>
      <c r="N87" s="85"/>
      <c r="V87" s="1"/>
      <c r="W87" s="1"/>
    </row>
    <row r="88" customFormat="false" ht="15" hidden="false" customHeight="true" outlineLevel="0" collapsed="false">
      <c r="A88" s="105" t="s">
        <v>76</v>
      </c>
      <c r="B88" s="105"/>
      <c r="C88" s="105"/>
      <c r="D88" s="105"/>
      <c r="E88" s="105"/>
      <c r="F88" s="105"/>
      <c r="G88" s="106" t="n">
        <f aca="false">Dados!$G$55</f>
        <v>0.1725</v>
      </c>
      <c r="H88" s="107" t="n">
        <f aca="false">ROUND((H89*G88),2)</f>
        <v>34.16</v>
      </c>
      <c r="I88" s="85"/>
      <c r="J88" s="85"/>
      <c r="K88" s="1"/>
      <c r="L88" s="85"/>
      <c r="M88" s="85"/>
      <c r="N88" s="85"/>
      <c r="V88" s="1"/>
      <c r="W88" s="1"/>
    </row>
    <row r="89" customFormat="false" ht="15.75" hidden="false" customHeight="true" outlineLevel="0" collapsed="false">
      <c r="A89" s="108" t="s">
        <v>79</v>
      </c>
      <c r="B89" s="108"/>
      <c r="C89" s="108"/>
      <c r="D89" s="108"/>
      <c r="E89" s="108"/>
      <c r="F89" s="108"/>
      <c r="G89" s="108"/>
      <c r="H89" s="109" t="n">
        <f aca="false">ROUND((SUM(H85:H87)/(1-G88)),2)</f>
        <v>198.04</v>
      </c>
      <c r="I89" s="85"/>
      <c r="J89" s="85"/>
      <c r="K89" s="1"/>
      <c r="L89" s="85"/>
      <c r="M89" s="85"/>
      <c r="N89" s="85"/>
      <c r="V89" s="1"/>
      <c r="W89" s="1"/>
    </row>
    <row r="90" customFormat="false" ht="15" hidden="false" customHeight="false" outlineLevel="0" collapsed="false">
      <c r="A90" s="79"/>
      <c r="B90" s="76"/>
      <c r="C90" s="85"/>
      <c r="D90" s="85"/>
      <c r="E90" s="85"/>
      <c r="F90" s="85"/>
      <c r="G90" s="79"/>
      <c r="H90" s="85"/>
      <c r="I90" s="85"/>
      <c r="J90" s="85"/>
      <c r="K90" s="1"/>
      <c r="L90" s="85"/>
      <c r="M90" s="85"/>
      <c r="N90" s="85"/>
      <c r="V90" s="1"/>
      <c r="W90" s="1"/>
    </row>
    <row r="91" customFormat="false" ht="15" hidden="false" customHeight="false" outlineLevel="0" collapsed="false">
      <c r="L91" s="1"/>
      <c r="M91" s="1"/>
      <c r="P91" s="4"/>
      <c r="Q91" s="4"/>
      <c r="V91" s="1"/>
      <c r="W91" s="1"/>
    </row>
    <row r="93" customFormat="false" ht="15" hidden="false" customHeight="false" outlineLevel="0" collapsed="false">
      <c r="B93" s="116" t="s">
        <v>80</v>
      </c>
      <c r="C93" s="116"/>
    </row>
    <row r="94" customFormat="false" ht="15" hidden="false" customHeight="false" outlineLevel="0" collapsed="false">
      <c r="B94" s="117" t="s">
        <v>81</v>
      </c>
      <c r="C94" s="118" t="n">
        <v>22</v>
      </c>
      <c r="D94" s="1" t="s">
        <v>82</v>
      </c>
    </row>
    <row r="95" customFormat="false" ht="15" hidden="false" customHeight="false" outlineLevel="0" collapsed="false">
      <c r="B95" s="117" t="s">
        <v>5</v>
      </c>
      <c r="C95" s="119" t="n">
        <v>30</v>
      </c>
      <c r="D95" s="1" t="s">
        <v>83</v>
      </c>
    </row>
    <row r="96" customFormat="false" ht="15" hidden="false" customHeight="false" outlineLevel="0" collapsed="false">
      <c r="B96" s="117" t="s">
        <v>84</v>
      </c>
      <c r="C96" s="119" t="s">
        <v>85</v>
      </c>
      <c r="D96" s="1" t="s">
        <v>86</v>
      </c>
    </row>
    <row r="98" customFormat="false" ht="15" hidden="false" customHeight="false" outlineLevel="0" collapsed="false">
      <c r="B98" s="117" t="s">
        <v>87</v>
      </c>
      <c r="C98" s="120" t="s">
        <v>88</v>
      </c>
    </row>
    <row r="99" customFormat="false" ht="15" hidden="false" customHeight="false" outlineLevel="0" collapsed="false">
      <c r="B99" s="117" t="n">
        <v>220</v>
      </c>
      <c r="C99" s="120" t="n">
        <v>8.8</v>
      </c>
    </row>
    <row r="100" customFormat="false" ht="15" hidden="false" customHeight="false" outlineLevel="0" collapsed="false">
      <c r="B100" s="117" t="n">
        <v>200</v>
      </c>
      <c r="C100" s="120" t="n">
        <v>8</v>
      </c>
    </row>
    <row r="101" customFormat="false" ht="15" hidden="false" customHeight="false" outlineLevel="0" collapsed="false">
      <c r="B101" s="117" t="n">
        <v>180</v>
      </c>
      <c r="C101" s="120" t="n">
        <v>7.2</v>
      </c>
    </row>
    <row r="102" customFormat="false" ht="15" hidden="false" customHeight="false" outlineLevel="0" collapsed="false">
      <c r="B102" s="117" t="n">
        <v>150</v>
      </c>
      <c r="C102" s="120" t="n">
        <v>6</v>
      </c>
    </row>
    <row r="103" customFormat="false" ht="15" hidden="false" customHeight="false" outlineLevel="0" collapsed="false">
      <c r="B103" s="117" t="n">
        <v>120</v>
      </c>
      <c r="C103" s="120" t="n">
        <v>4.8</v>
      </c>
    </row>
    <row r="104" customFormat="false" ht="15" hidden="false" customHeight="false" outlineLevel="0" collapsed="false">
      <c r="B104" s="117" t="n">
        <v>100</v>
      </c>
      <c r="C104" s="120" t="n">
        <v>4</v>
      </c>
    </row>
    <row r="105" customFormat="false" ht="15" hidden="false" customHeight="false" outlineLevel="0" collapsed="false">
      <c r="B105" s="117" t="n">
        <v>75</v>
      </c>
      <c r="C105" s="120" t="n">
        <v>3</v>
      </c>
    </row>
    <row r="107" customFormat="false" ht="15" hidden="false" customHeight="false" outlineLevel="0" collapsed="false">
      <c r="B107" s="117" t="s">
        <v>89</v>
      </c>
    </row>
    <row r="108" customFormat="false" ht="15" hidden="false" customHeight="false" outlineLevel="0" collapsed="false">
      <c r="B108" s="117" t="n">
        <v>0</v>
      </c>
    </row>
    <row r="109" customFormat="false" ht="15" hidden="false" customHeight="false" outlineLevel="0" collapsed="false">
      <c r="B109" s="117" t="n">
        <v>1</v>
      </c>
    </row>
    <row r="110" customFormat="false" ht="15" hidden="false" customHeight="false" outlineLevel="0" collapsed="false">
      <c r="B110" s="117" t="n">
        <v>2</v>
      </c>
    </row>
  </sheetData>
  <mergeCells count="152">
    <mergeCell ref="C2:S2"/>
    <mergeCell ref="C3:S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W9"/>
    <mergeCell ref="A15:G15"/>
    <mergeCell ref="I15:J15"/>
    <mergeCell ref="A18:B19"/>
    <mergeCell ref="A20:F21"/>
    <mergeCell ref="A24:A25"/>
    <mergeCell ref="B24:E24"/>
    <mergeCell ref="F24:H24"/>
    <mergeCell ref="I24:K25"/>
    <mergeCell ref="L24:O24"/>
    <mergeCell ref="B25:D25"/>
    <mergeCell ref="B26:D26"/>
    <mergeCell ref="I26:K26"/>
    <mergeCell ref="B27:D27"/>
    <mergeCell ref="I27:K27"/>
    <mergeCell ref="B28:D28"/>
    <mergeCell ref="I28:K28"/>
    <mergeCell ref="B29:D29"/>
    <mergeCell ref="I29:K29"/>
    <mergeCell ref="B30:D30"/>
    <mergeCell ref="I30:K30"/>
    <mergeCell ref="B31:D31"/>
    <mergeCell ref="I31:K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49:D49"/>
    <mergeCell ref="I49:K49"/>
    <mergeCell ref="B50:D50"/>
    <mergeCell ref="I50:K50"/>
    <mergeCell ref="B51:D51"/>
    <mergeCell ref="I51:K51"/>
    <mergeCell ref="B52:D52"/>
    <mergeCell ref="I52:K52"/>
    <mergeCell ref="B53:D53"/>
    <mergeCell ref="I53:K53"/>
    <mergeCell ref="B54:D54"/>
    <mergeCell ref="I54:K54"/>
    <mergeCell ref="B55:D55"/>
    <mergeCell ref="I55:K55"/>
    <mergeCell ref="B56:D56"/>
    <mergeCell ref="I56:K56"/>
    <mergeCell ref="B57:D57"/>
    <mergeCell ref="I57:K57"/>
    <mergeCell ref="B58:D58"/>
    <mergeCell ref="I58:K58"/>
    <mergeCell ref="B59:D59"/>
    <mergeCell ref="I59:K59"/>
    <mergeCell ref="B60:D60"/>
    <mergeCell ref="I60:K60"/>
    <mergeCell ref="A61:G61"/>
    <mergeCell ref="A62:F62"/>
    <mergeCell ref="A63:F63"/>
    <mergeCell ref="A64:F64"/>
    <mergeCell ref="A65:G65"/>
    <mergeCell ref="A67:A68"/>
    <mergeCell ref="B67:E67"/>
    <mergeCell ref="F67:H67"/>
    <mergeCell ref="I67:K68"/>
    <mergeCell ref="L67:O67"/>
    <mergeCell ref="B68:D68"/>
    <mergeCell ref="B69:D69"/>
    <mergeCell ref="I69:K69"/>
    <mergeCell ref="B70:D70"/>
    <mergeCell ref="I70:K70"/>
    <mergeCell ref="B71:D71"/>
    <mergeCell ref="I71:K71"/>
    <mergeCell ref="B72:D72"/>
    <mergeCell ref="I72:K72"/>
    <mergeCell ref="B73:D73"/>
    <mergeCell ref="I73:K73"/>
    <mergeCell ref="B74:D74"/>
    <mergeCell ref="I74:K74"/>
    <mergeCell ref="B75:D75"/>
    <mergeCell ref="I75:K75"/>
    <mergeCell ref="B76:D76"/>
    <mergeCell ref="I76:K76"/>
    <mergeCell ref="B77:D77"/>
    <mergeCell ref="I77:K77"/>
    <mergeCell ref="B78:D78"/>
    <mergeCell ref="I78:K78"/>
    <mergeCell ref="B79:D79"/>
    <mergeCell ref="I79:K79"/>
    <mergeCell ref="B80:D80"/>
    <mergeCell ref="I80:K80"/>
    <mergeCell ref="B81:D81"/>
    <mergeCell ref="I81:K81"/>
    <mergeCell ref="B82:D82"/>
    <mergeCell ref="I82:K82"/>
    <mergeCell ref="B83:D83"/>
    <mergeCell ref="I83:K83"/>
    <mergeCell ref="B84:D84"/>
    <mergeCell ref="I84:K84"/>
    <mergeCell ref="A85:G85"/>
    <mergeCell ref="A86:F86"/>
    <mergeCell ref="A87:F87"/>
    <mergeCell ref="A88:F88"/>
    <mergeCell ref="A89:G89"/>
    <mergeCell ref="B93:C93"/>
  </mergeCells>
  <conditionalFormatting sqref="I26:I60 I69:I84">
    <cfRule type="containsText" priority="2" operator="containsText" aboveAverage="0" equalAverage="0" bottom="0" percent="0" rank="0" text="inferior" dxfId="0">
      <formula>NOT(ISERROR(SEARCH("inferior",I26)))</formula>
    </cfRule>
    <cfRule type="containsText" priority="3" operator="containsText" aboveAverage="0" equalAverage="0" bottom="0" percent="0" rank="0" text="superior" dxfId="1">
      <formula>NOT(ISERROR(SEARCH("superior",I26)))</formula>
    </cfRule>
  </conditionalFormatting>
  <dataValidations count="7">
    <dataValidation allowBlank="true" errorStyle="stop" operator="between" showDropDown="false" showErrorMessage="true" showInputMessage="true" sqref="N26:N60" type="list">
      <formula1>"Mensal,Bimestral,Trimestral,Quadrimestral,Semestral,Anual,Bienal"</formula1>
      <formula2>0</formula2>
    </dataValidation>
    <dataValidation allowBlank="true" errorStyle="stop" operator="between" showDropDown="false" showErrorMessage="true" showInputMessage="true" sqref="C19" type="list">
      <formula1>$B$99:$B$105</formula1>
      <formula2>0</formula2>
    </dataValidation>
    <dataValidation allowBlank="true" errorStyle="stop" operator="between" showDropDown="false" showErrorMessage="true" showInputMessage="true" sqref="D14" type="list">
      <formula1>$B$108:$B$110</formula1>
      <formula2>0</formula2>
    </dataValidation>
    <dataValidation allowBlank="true" errorStyle="stop" operator="between" showDropDown="false" showErrorMessage="true" showInputMessage="true" sqref="D4:E4" type="list">
      <formula1>"PLANILHA PARA LICITAÇÃO (PRECIFICAÇÃO),PLANILHA PARA FATURAMENTO"</formula1>
      <formula2>0</formula2>
    </dataValidation>
    <dataValidation allowBlank="true" errorStyle="stop" operator="between" showDropDown="false" showErrorMessage="true" showInputMessage="true" sqref="D5" type="list">
      <formula1>$B$94:$B$96</formula1>
      <formula2>0</formula2>
    </dataValidation>
    <dataValidation allowBlank="true" errorStyle="stop" operator="between" showDropDown="false" showErrorMessage="true" showInputMessage="true" sqref="E11:E14" type="list">
      <formula1>"SIM,NÃO"</formula1>
      <formula2>0</formula2>
    </dataValidation>
    <dataValidation allowBlank="true" errorStyle="stop" operator="between" showDropDown="false" showErrorMessage="true" showInputMessage="true" sqref="D11:D13" type="list">
      <formula1>$B$108:$B$109</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pageBreakPreview" topLeftCell="A7" colorId="64" zoomScale="120" zoomScaleNormal="100" zoomScalePageLayoutView="120" workbookViewId="0">
      <selection pane="topLeft" activeCell="F14" activeCellId="0" sqref="F14"/>
    </sheetView>
  </sheetViews>
  <sheetFormatPr defaultColWidth="8.71484375" defaultRowHeight="15" zeroHeight="false" outlineLevelRow="0" outlineLevelCol="0"/>
  <cols>
    <col collapsed="false" customWidth="true" hidden="false" outlineLevel="0" max="1" min="1" style="85" width="10.57"/>
    <col collapsed="false" customWidth="true" hidden="false" outlineLevel="0" max="2" min="2" style="85" width="27.71"/>
    <col collapsed="false" customWidth="true" hidden="false" outlineLevel="0" max="3" min="3" style="85" width="14.42"/>
    <col collapsed="false" customWidth="true" hidden="false" outlineLevel="0" max="5" min="4" style="85" width="15"/>
    <col collapsed="false" customWidth="true" hidden="false" outlineLevel="0" max="6" min="6" style="419" width="16.71"/>
    <col collapsed="false" customWidth="true" hidden="false" outlineLevel="0" max="8" min="7" style="419" width="13.15"/>
    <col collapsed="false" customWidth="true" hidden="false" outlineLevel="0" max="10" min="9" style="419" width="12.57"/>
    <col collapsed="false" customWidth="true" hidden="false" outlineLevel="0" max="257" min="11" style="85" width="9.14"/>
    <col collapsed="false" customWidth="true" hidden="false" outlineLevel="0" max="258" min="258" style="85" width="10.57"/>
    <col collapsed="false" customWidth="true" hidden="false" outlineLevel="0" max="259" min="259" style="85" width="27.71"/>
    <col collapsed="false" customWidth="true" hidden="false" outlineLevel="0" max="260" min="260" style="85" width="14.42"/>
    <col collapsed="false" customWidth="true" hidden="false" outlineLevel="0" max="262" min="261" style="85" width="15"/>
    <col collapsed="false" customWidth="true" hidden="false" outlineLevel="0" max="263" min="263" style="85" width="16.71"/>
    <col collapsed="false" customWidth="true" hidden="false" outlineLevel="0" max="264" min="264" style="85" width="13.15"/>
    <col collapsed="false" customWidth="true" hidden="false" outlineLevel="0" max="266" min="265" style="85" width="12.57"/>
    <col collapsed="false" customWidth="true" hidden="false" outlineLevel="0" max="513" min="267" style="85" width="9.14"/>
    <col collapsed="false" customWidth="true" hidden="false" outlineLevel="0" max="514" min="514" style="85" width="10.57"/>
    <col collapsed="false" customWidth="true" hidden="false" outlineLevel="0" max="515" min="515" style="85" width="27.71"/>
    <col collapsed="false" customWidth="true" hidden="false" outlineLevel="0" max="516" min="516" style="85" width="14.42"/>
    <col collapsed="false" customWidth="true" hidden="false" outlineLevel="0" max="518" min="517" style="85" width="15"/>
    <col collapsed="false" customWidth="true" hidden="false" outlineLevel="0" max="519" min="519" style="85" width="16.71"/>
    <col collapsed="false" customWidth="true" hidden="false" outlineLevel="0" max="520" min="520" style="85" width="13.15"/>
    <col collapsed="false" customWidth="true" hidden="false" outlineLevel="0" max="522" min="521" style="85" width="12.57"/>
    <col collapsed="false" customWidth="true" hidden="false" outlineLevel="0" max="769" min="523" style="85" width="9.14"/>
    <col collapsed="false" customWidth="true" hidden="false" outlineLevel="0" max="770" min="770" style="85" width="10.57"/>
    <col collapsed="false" customWidth="true" hidden="false" outlineLevel="0" max="771" min="771" style="85" width="27.71"/>
    <col collapsed="false" customWidth="true" hidden="false" outlineLevel="0" max="772" min="772" style="85" width="14.42"/>
    <col collapsed="false" customWidth="true" hidden="false" outlineLevel="0" max="774" min="773" style="85" width="15"/>
    <col collapsed="false" customWidth="true" hidden="false" outlineLevel="0" max="775" min="775" style="85" width="16.71"/>
    <col collapsed="false" customWidth="true" hidden="false" outlineLevel="0" max="776" min="776" style="85" width="13.15"/>
    <col collapsed="false" customWidth="true" hidden="false" outlineLevel="0" max="778" min="777" style="85" width="12.57"/>
    <col collapsed="false" customWidth="true" hidden="false" outlineLevel="0" max="1025" min="779" style="85" width="9.14"/>
  </cols>
  <sheetData>
    <row r="1" customFormat="false" ht="15" hidden="false" customHeight="false" outlineLevel="0" collapsed="false">
      <c r="A1" s="420"/>
      <c r="B1" s="123" t="str">
        <f aca="false">INSTRUÇÕES!B1</f>
        <v>Tribunal Regional Federal da 6ª Região</v>
      </c>
      <c r="C1" s="421"/>
      <c r="D1" s="421"/>
      <c r="E1" s="421"/>
      <c r="F1" s="422"/>
      <c r="G1" s="423"/>
      <c r="H1" s="423"/>
      <c r="I1" s="422"/>
      <c r="J1" s="424"/>
    </row>
    <row r="2" customFormat="false" ht="15" hidden="false" customHeight="false" outlineLevel="0" collapsed="false">
      <c r="A2" s="425"/>
      <c r="B2" s="125" t="str">
        <f aca="false">INSTRUÇÕES!B2</f>
        <v>Seção Judiciária de Minas Gerais</v>
      </c>
      <c r="C2" s="74"/>
      <c r="D2" s="74"/>
      <c r="E2" s="74"/>
      <c r="F2" s="426"/>
      <c r="I2" s="426"/>
      <c r="J2" s="427"/>
    </row>
    <row r="3" customFormat="false" ht="15" hidden="false" customHeight="false" outlineLevel="0" collapsed="false">
      <c r="A3" s="208"/>
      <c r="B3" s="428" t="str">
        <f aca="false">INSTRUÇÕES!B3</f>
        <v>Subseção Judiciária de Lavras</v>
      </c>
      <c r="C3" s="74"/>
      <c r="D3" s="74"/>
      <c r="E3" s="74"/>
      <c r="F3" s="426"/>
      <c r="I3" s="426"/>
      <c r="J3" s="427"/>
    </row>
    <row r="4" customFormat="false" ht="19.5" hidden="false" customHeight="true" outlineLevel="0" collapsed="false">
      <c r="A4" s="429" t="s">
        <v>538</v>
      </c>
      <c r="B4" s="429"/>
      <c r="C4" s="429"/>
      <c r="D4" s="429"/>
      <c r="E4" s="429"/>
      <c r="F4" s="429"/>
      <c r="G4" s="429"/>
      <c r="H4" s="429"/>
      <c r="I4" s="429"/>
      <c r="J4" s="429"/>
    </row>
    <row r="5" customFormat="false" ht="19.5" hidden="false" customHeight="true" outlineLevel="0" collapsed="false">
      <c r="A5" s="430" t="s">
        <v>301</v>
      </c>
      <c r="B5" s="430"/>
      <c r="C5" s="430"/>
      <c r="D5" s="430"/>
      <c r="E5" s="430"/>
      <c r="F5" s="430"/>
      <c r="G5" s="430"/>
      <c r="H5" s="430"/>
      <c r="I5" s="430"/>
      <c r="J5" s="430"/>
    </row>
    <row r="6" customFormat="false" ht="36" hidden="false" customHeight="true" outlineLevel="0" collapsed="false">
      <c r="A6" s="431" t="str">
        <f aca="false">Dados!A4</f>
        <v>Sindicato utilizado - SINTAPPI x SINSERHT. Vigência: 2025/2026. Sendo a data base da categoria 01° de Abril. Com número de registro no MTE MG001973/2025.</v>
      </c>
      <c r="B6" s="431"/>
      <c r="C6" s="431"/>
      <c r="D6" s="431"/>
      <c r="E6" s="431"/>
      <c r="F6" s="431"/>
      <c r="G6" s="431"/>
      <c r="H6" s="431"/>
      <c r="I6" s="431"/>
      <c r="J6" s="431"/>
    </row>
    <row r="7" customFormat="false" ht="19.5" hidden="false" customHeight="true" outlineLevel="0" collapsed="false">
      <c r="A7" s="432" t="str">
        <f aca="false">Dados!C8</f>
        <v>Servente de Limpeza  ac. Copeira</v>
      </c>
      <c r="B7" s="432"/>
      <c r="C7" s="432"/>
      <c r="D7" s="432"/>
      <c r="E7" s="432"/>
      <c r="F7" s="433" t="s">
        <v>539</v>
      </c>
      <c r="G7" s="433" t="s">
        <v>540</v>
      </c>
      <c r="H7" s="433" t="s">
        <v>541</v>
      </c>
      <c r="I7" s="433" t="s">
        <v>542</v>
      </c>
      <c r="J7" s="433" t="s">
        <v>543</v>
      </c>
    </row>
    <row r="8" customFormat="false" ht="19.5" hidden="false" customHeight="true" outlineLevel="0" collapsed="false">
      <c r="A8" s="434" t="s">
        <v>544</v>
      </c>
      <c r="B8" s="434"/>
      <c r="C8" s="434"/>
      <c r="D8" s="434"/>
      <c r="E8" s="435" t="s">
        <v>485</v>
      </c>
      <c r="F8" s="433"/>
      <c r="G8" s="433"/>
      <c r="H8" s="433"/>
      <c r="I8" s="433"/>
      <c r="J8" s="433"/>
    </row>
    <row r="9" customFormat="false" ht="19.5" hidden="false" customHeight="true" outlineLevel="0" collapsed="false">
      <c r="A9" s="436" t="s">
        <v>545</v>
      </c>
      <c r="B9" s="436"/>
      <c r="C9" s="436"/>
      <c r="D9" s="436"/>
      <c r="E9" s="436"/>
      <c r="F9" s="436"/>
      <c r="G9" s="436"/>
      <c r="H9" s="436"/>
      <c r="I9" s="436"/>
      <c r="J9" s="436"/>
    </row>
    <row r="10" customFormat="false" ht="24" hidden="false" customHeight="true" outlineLevel="0" collapsed="false">
      <c r="A10" s="217" t="s">
        <v>486</v>
      </c>
      <c r="B10" s="437" t="s">
        <v>546</v>
      </c>
      <c r="C10" s="437"/>
      <c r="D10" s="284" t="s">
        <v>547</v>
      </c>
      <c r="E10" s="438" t="s">
        <v>548</v>
      </c>
      <c r="F10" s="439" t="s">
        <v>489</v>
      </c>
      <c r="G10" s="439"/>
      <c r="H10" s="439"/>
      <c r="I10" s="439"/>
      <c r="J10" s="439"/>
    </row>
    <row r="11" customFormat="false" ht="19.5" hidden="false" customHeight="true" outlineLevel="0" collapsed="false">
      <c r="A11" s="440" t="n">
        <v>1</v>
      </c>
      <c r="B11" s="283" t="str">
        <f aca="false">A7</f>
        <v>Servente de Limpeza  ac. Copeira</v>
      </c>
      <c r="C11" s="283"/>
      <c r="D11" s="39" t="n">
        <f aca="false">Dados!D8</f>
        <v>200</v>
      </c>
      <c r="E11" s="441" t="n">
        <f aca="false">Dados!E8</f>
        <v>1633.68</v>
      </c>
      <c r="F11" s="442" t="n">
        <f aca="false">ROUND(E11/220*D11,2)</f>
        <v>1485.16</v>
      </c>
      <c r="G11" s="442" t="n">
        <f aca="false">F11</f>
        <v>1485.16</v>
      </c>
      <c r="H11" s="442"/>
      <c r="I11" s="442"/>
      <c r="J11" s="443"/>
    </row>
    <row r="12" customFormat="false" ht="19.5" hidden="false" customHeight="true" outlineLevel="0" collapsed="false">
      <c r="A12" s="440"/>
      <c r="B12" s="283" t="s">
        <v>549</v>
      </c>
      <c r="C12" s="283"/>
      <c r="D12" s="53" t="n">
        <f aca="false">Dados!G8</f>
        <v>0</v>
      </c>
      <c r="E12" s="441" t="n">
        <f aca="false">Dados!G27</f>
        <v>1518</v>
      </c>
      <c r="F12" s="442" t="n">
        <f aca="false">D12*E12</f>
        <v>0</v>
      </c>
      <c r="G12" s="442" t="n">
        <f aca="false">F12</f>
        <v>0</v>
      </c>
      <c r="H12" s="442"/>
      <c r="I12" s="442"/>
      <c r="J12" s="443" t="n">
        <f aca="false">F12</f>
        <v>0</v>
      </c>
    </row>
    <row r="13" customFormat="false" ht="21" hidden="false" customHeight="true" outlineLevel="0" collapsed="false">
      <c r="A13" s="440"/>
      <c r="B13" s="445" t="s">
        <v>550</v>
      </c>
      <c r="C13" s="446" t="n">
        <f aca="false">Dados!I8</f>
        <v>0.12</v>
      </c>
      <c r="D13" s="446" t="n">
        <f aca="false">Dados!J8</f>
        <v>0.25</v>
      </c>
      <c r="E13" s="447" t="n">
        <f aca="false">Dados!K8</f>
        <v>1485.16</v>
      </c>
      <c r="F13" s="448" t="n">
        <f aca="false">ROUND((E13*D13*C13),2)</f>
        <v>44.55</v>
      </c>
      <c r="G13" s="448" t="n">
        <f aca="false">F13</f>
        <v>44.55</v>
      </c>
      <c r="H13" s="448"/>
      <c r="I13" s="448"/>
      <c r="J13" s="449"/>
    </row>
    <row r="14" customFormat="false" ht="19.5" hidden="false" customHeight="true" outlineLevel="0" collapsed="false">
      <c r="A14" s="440"/>
      <c r="B14" s="450" t="s">
        <v>551</v>
      </c>
      <c r="C14" s="450"/>
      <c r="D14" s="450"/>
      <c r="E14" s="450"/>
      <c r="F14" s="451" t="n">
        <f aca="false">SUM(F11:F13)</f>
        <v>1529.71</v>
      </c>
      <c r="G14" s="451" t="n">
        <f aca="false">SUM(G11:G13)</f>
        <v>1529.71</v>
      </c>
      <c r="H14" s="451" t="n">
        <f aca="false">SUM(H11:H13)</f>
        <v>0</v>
      </c>
      <c r="I14" s="451" t="n">
        <f aca="false">SUM(I11:I13)</f>
        <v>0</v>
      </c>
      <c r="J14" s="452" t="n">
        <f aca="false">SUM(J11:J13)</f>
        <v>0</v>
      </c>
    </row>
    <row r="15" customFormat="false" ht="19.5" hidden="false" customHeight="true" outlineLevel="0" collapsed="false">
      <c r="A15" s="440"/>
      <c r="B15" s="453" t="s">
        <v>552</v>
      </c>
      <c r="C15" s="453"/>
      <c r="D15" s="453"/>
      <c r="E15" s="454" t="n">
        <f aca="false">Encargos!$C$57</f>
        <v>0.764</v>
      </c>
      <c r="F15" s="442" t="n">
        <f aca="false">ROUND((E15*F14),2)</f>
        <v>1168.7</v>
      </c>
      <c r="G15" s="442" t="n">
        <f aca="false">F15</f>
        <v>1168.7</v>
      </c>
      <c r="H15" s="442"/>
      <c r="I15" s="442"/>
      <c r="J15" s="443" t="n">
        <f aca="false">ROUND((E15*J14),2)</f>
        <v>0</v>
      </c>
    </row>
    <row r="16" customFormat="false" ht="19.5" hidden="false" customHeight="true" outlineLevel="0" collapsed="false">
      <c r="A16" s="455" t="s">
        <v>553</v>
      </c>
      <c r="B16" s="455"/>
      <c r="C16" s="455"/>
      <c r="D16" s="455"/>
      <c r="E16" s="455"/>
      <c r="F16" s="456" t="n">
        <f aca="false">SUM(F14:F15)</f>
        <v>2698.41</v>
      </c>
      <c r="G16" s="456" t="n">
        <f aca="false">SUM(G14:G15)</f>
        <v>2698.41</v>
      </c>
      <c r="H16" s="456" t="n">
        <f aca="false">SUM(H14:H15)</f>
        <v>0</v>
      </c>
      <c r="I16" s="456" t="n">
        <f aca="false">SUM(I14:I15)</f>
        <v>0</v>
      </c>
      <c r="J16" s="457" t="n">
        <f aca="false">SUM(J14:J15)</f>
        <v>0</v>
      </c>
    </row>
    <row r="17" customFormat="false" ht="19.5" hidden="false" customHeight="true" outlineLevel="0" collapsed="false">
      <c r="A17" s="458" t="s">
        <v>554</v>
      </c>
      <c r="B17" s="458"/>
      <c r="C17" s="458"/>
      <c r="D17" s="458"/>
      <c r="E17" s="458"/>
      <c r="F17" s="458"/>
      <c r="G17" s="458"/>
      <c r="H17" s="458"/>
      <c r="I17" s="458"/>
      <c r="J17" s="458"/>
    </row>
    <row r="18" customFormat="false" ht="19.5" hidden="false" customHeight="true" outlineLevel="0" collapsed="false">
      <c r="A18" s="282" t="s">
        <v>555</v>
      </c>
      <c r="B18" s="282"/>
      <c r="C18" s="50" t="s">
        <v>488</v>
      </c>
      <c r="D18" s="459" t="s">
        <v>575</v>
      </c>
      <c r="E18" s="459"/>
      <c r="F18" s="443" t="s">
        <v>489</v>
      </c>
      <c r="G18" s="443"/>
      <c r="H18" s="443"/>
      <c r="I18" s="443"/>
      <c r="J18" s="443"/>
    </row>
    <row r="19" customFormat="false" ht="19.5" hidden="false" customHeight="true" outlineLevel="0" collapsed="false">
      <c r="A19" s="460" t="s">
        <v>557</v>
      </c>
      <c r="B19" s="460"/>
      <c r="C19" s="289"/>
      <c r="D19" s="289"/>
      <c r="E19" s="289"/>
      <c r="F19" s="442" t="n">
        <f aca="false">Dados!$N$8</f>
        <v>30.64</v>
      </c>
      <c r="G19" s="442" t="n">
        <f aca="false">F19</f>
        <v>30.64</v>
      </c>
      <c r="H19" s="442"/>
      <c r="I19" s="442"/>
      <c r="J19" s="443"/>
    </row>
    <row r="20" customFormat="false" ht="19.5" hidden="false" customHeight="true" outlineLevel="0" collapsed="false">
      <c r="A20" s="460" t="s">
        <v>558</v>
      </c>
      <c r="B20" s="460"/>
      <c r="C20" s="289"/>
      <c r="D20" s="289"/>
      <c r="E20" s="289"/>
      <c r="F20" s="442" t="n">
        <f aca="false">Dados!$G$30</f>
        <v>5.27</v>
      </c>
      <c r="G20" s="442" t="n">
        <f aca="false">F20</f>
        <v>5.27</v>
      </c>
      <c r="H20" s="442"/>
      <c r="I20" s="442"/>
      <c r="J20" s="443"/>
    </row>
    <row r="21" customFormat="false" ht="23.25" hidden="false" customHeight="true" outlineLevel="0" collapsed="false">
      <c r="A21" s="461" t="s">
        <v>230</v>
      </c>
      <c r="B21" s="461"/>
      <c r="C21" s="289"/>
      <c r="D21" s="289"/>
      <c r="E21" s="289"/>
      <c r="F21" s="442" t="n">
        <f aca="false">Dados!G31</f>
        <v>0</v>
      </c>
      <c r="G21" s="442" t="n">
        <f aca="false">F21</f>
        <v>0</v>
      </c>
      <c r="H21" s="442"/>
      <c r="I21" s="442"/>
      <c r="J21" s="443"/>
    </row>
    <row r="22" customFormat="false" ht="19.5" hidden="false" customHeight="true" outlineLevel="0" collapsed="false">
      <c r="A22" s="460" t="s">
        <v>231</v>
      </c>
      <c r="B22" s="460"/>
      <c r="C22" s="462" t="n">
        <f aca="false">Dados!$G$34</f>
        <v>22</v>
      </c>
      <c r="D22" s="462" t="n">
        <f aca="false">Dados!$G$33</f>
        <v>2</v>
      </c>
      <c r="E22" s="289" t="n">
        <f aca="false">Dados!$G$32</f>
        <v>5</v>
      </c>
      <c r="F22" s="442" t="n">
        <f aca="false">IF(ROUND((E22*D22*C22)-(F11*Dados!$G$35),2)&lt;0,0,ROUND((E22*D22*C22)-(F11*Dados!$G$35),2))</f>
        <v>130.89</v>
      </c>
      <c r="G22" s="442" t="n">
        <f aca="false">F22</f>
        <v>130.89</v>
      </c>
      <c r="H22" s="442"/>
      <c r="I22" s="442" t="n">
        <f aca="false">F22</f>
        <v>130.89</v>
      </c>
      <c r="J22" s="443"/>
    </row>
    <row r="23" customFormat="false" ht="19.5" hidden="false" customHeight="true" outlineLevel="0" collapsed="false">
      <c r="A23" s="460" t="s">
        <v>240</v>
      </c>
      <c r="B23" s="460"/>
      <c r="C23" s="462" t="n">
        <f aca="false">Dados!G37</f>
        <v>22</v>
      </c>
      <c r="D23" s="463" t="n">
        <f aca="false">Dados!G38</f>
        <v>0.2</v>
      </c>
      <c r="E23" s="289" t="n">
        <f aca="false">Dados!$G$36</f>
        <v>29</v>
      </c>
      <c r="F23" s="329" t="n">
        <f aca="false">ROUND((IF(D11&gt;150,((C23*E23)-(C23*(D23*E23))),0)),2)</f>
        <v>510.4</v>
      </c>
      <c r="G23" s="442" t="n">
        <f aca="false">F23</f>
        <v>510.4</v>
      </c>
      <c r="H23" s="442" t="n">
        <f aca="false">$F$23</f>
        <v>510.4</v>
      </c>
      <c r="I23" s="329"/>
      <c r="J23" s="443"/>
    </row>
    <row r="24" customFormat="false" ht="19.5" hidden="false" customHeight="true" outlineLevel="0" collapsed="false">
      <c r="A24" s="460" t="s">
        <v>189</v>
      </c>
      <c r="B24" s="460"/>
      <c r="C24" s="462"/>
      <c r="D24" s="462"/>
      <c r="E24" s="289"/>
      <c r="F24" s="329" t="n">
        <f aca="false">Dados!Q8</f>
        <v>4.94</v>
      </c>
      <c r="G24" s="442" t="n">
        <f aca="false">F24</f>
        <v>4.94</v>
      </c>
      <c r="H24" s="442"/>
      <c r="I24" s="329"/>
      <c r="J24" s="443"/>
    </row>
    <row r="25" customFormat="false" ht="19.5" hidden="false" customHeight="true" outlineLevel="0" collapsed="false">
      <c r="A25" s="460" t="s">
        <v>243</v>
      </c>
      <c r="B25" s="460"/>
      <c r="C25" s="462"/>
      <c r="D25" s="462"/>
      <c r="E25" s="289"/>
      <c r="F25" s="329" t="n">
        <f aca="false">Dados!$G$40</f>
        <v>0</v>
      </c>
      <c r="G25" s="442"/>
      <c r="H25" s="442"/>
      <c r="I25" s="329"/>
      <c r="J25" s="443"/>
    </row>
    <row r="26" customFormat="false" ht="19.5" hidden="false" customHeight="true" outlineLevel="0" collapsed="false">
      <c r="A26" s="460" t="s">
        <v>559</v>
      </c>
      <c r="B26" s="460"/>
      <c r="C26" s="462"/>
      <c r="D26" s="289"/>
      <c r="E26" s="289"/>
      <c r="F26" s="442" t="n">
        <f aca="false">Dados!$O$8</f>
        <v>494.02</v>
      </c>
      <c r="G26" s="442"/>
      <c r="H26" s="442"/>
      <c r="I26" s="442"/>
      <c r="J26" s="443"/>
      <c r="L26" s="74"/>
    </row>
    <row r="27" customFormat="false" ht="19.5" hidden="false" customHeight="true" outlineLevel="0" collapsed="false">
      <c r="A27" s="460" t="s">
        <v>560</v>
      </c>
      <c r="B27" s="464"/>
      <c r="C27" s="462"/>
      <c r="D27" s="289"/>
      <c r="E27" s="289"/>
      <c r="F27" s="442" t="n">
        <f aca="false">Dados!P8</f>
        <v>148.991666666667</v>
      </c>
      <c r="G27" s="442"/>
      <c r="H27" s="442"/>
      <c r="I27" s="442"/>
      <c r="J27" s="443"/>
    </row>
    <row r="28" customFormat="false" ht="19.5" hidden="false" customHeight="true" outlineLevel="0" collapsed="false">
      <c r="A28" s="465" t="s">
        <v>561</v>
      </c>
      <c r="B28" s="465"/>
      <c r="C28" s="466"/>
      <c r="D28" s="467"/>
      <c r="E28" s="467"/>
      <c r="F28" s="448" t="n">
        <f aca="false">Dados!$R$8</f>
        <v>4.18</v>
      </c>
      <c r="G28" s="448" t="n">
        <f aca="false">F28</f>
        <v>4.18</v>
      </c>
      <c r="H28" s="448"/>
      <c r="I28" s="448"/>
      <c r="J28" s="449"/>
    </row>
    <row r="29" customFormat="false" ht="19.5" hidden="false" customHeight="true" outlineLevel="0" collapsed="false">
      <c r="A29" s="468" t="s">
        <v>562</v>
      </c>
      <c r="B29" s="468"/>
      <c r="C29" s="468"/>
      <c r="D29" s="468"/>
      <c r="E29" s="468"/>
      <c r="F29" s="456" t="n">
        <f aca="false">SUM(F19:F28)</f>
        <v>1329.33166666667</v>
      </c>
      <c r="G29" s="456" t="n">
        <f aca="false">SUM(G19:G28)</f>
        <v>686.32</v>
      </c>
      <c r="H29" s="456" t="n">
        <f aca="false">SUM(H19:H28)</f>
        <v>510.4</v>
      </c>
      <c r="I29" s="456" t="n">
        <f aca="false">SUM(I19:I28)</f>
        <v>130.89</v>
      </c>
      <c r="J29" s="457" t="n">
        <f aca="false">SUM(J19:J28)</f>
        <v>0</v>
      </c>
    </row>
    <row r="30" customFormat="false" ht="19.5" hidden="false" customHeight="true" outlineLevel="0" collapsed="false">
      <c r="A30" s="468" t="s">
        <v>563</v>
      </c>
      <c r="B30" s="468"/>
      <c r="C30" s="468"/>
      <c r="D30" s="468"/>
      <c r="E30" s="468"/>
      <c r="F30" s="456" t="n">
        <f aca="false">F16+F29</f>
        <v>4027.74166666667</v>
      </c>
      <c r="G30" s="456" t="n">
        <f aca="false">G16+G29</f>
        <v>3384.73</v>
      </c>
      <c r="H30" s="456" t="n">
        <f aca="false">H16+H29</f>
        <v>510.4</v>
      </c>
      <c r="I30" s="456" t="n">
        <f aca="false">I16+I29</f>
        <v>130.89</v>
      </c>
      <c r="J30" s="457" t="n">
        <f aca="false">J16+J29</f>
        <v>0</v>
      </c>
    </row>
    <row r="31" customFormat="false" ht="19.5" hidden="false" customHeight="true" outlineLevel="0" collapsed="false">
      <c r="A31" s="436" t="s">
        <v>564</v>
      </c>
      <c r="B31" s="436"/>
      <c r="C31" s="436"/>
      <c r="D31" s="436"/>
      <c r="E31" s="436"/>
      <c r="F31" s="436"/>
      <c r="G31" s="436"/>
      <c r="H31" s="436"/>
      <c r="I31" s="436"/>
      <c r="J31" s="436"/>
    </row>
    <row r="32" customFormat="false" ht="19.5" hidden="false" customHeight="true" outlineLevel="0" collapsed="false">
      <c r="A32" s="282" t="s">
        <v>565</v>
      </c>
      <c r="B32" s="282"/>
      <c r="C32" s="282"/>
      <c r="D32" s="292" t="s">
        <v>566</v>
      </c>
      <c r="E32" s="469" t="s">
        <v>489</v>
      </c>
      <c r="F32" s="469"/>
      <c r="G32" s="469"/>
      <c r="H32" s="469"/>
      <c r="I32" s="469"/>
      <c r="J32" s="469"/>
    </row>
    <row r="33" customFormat="false" ht="19.5" hidden="false" customHeight="true" outlineLevel="0" collapsed="false">
      <c r="A33" s="470" t="s">
        <v>567</v>
      </c>
      <c r="B33" s="471"/>
      <c r="C33" s="471"/>
      <c r="D33" s="444" t="n">
        <f aca="false">Dados!$G$43</f>
        <v>0.03</v>
      </c>
      <c r="E33" s="472"/>
      <c r="F33" s="442" t="n">
        <f aca="false">ROUND((F30*$D$33),2)</f>
        <v>120.83</v>
      </c>
      <c r="G33" s="442" t="n">
        <f aca="false">ROUND((G30*$D$33),2)</f>
        <v>101.54</v>
      </c>
      <c r="H33" s="442" t="n">
        <f aca="false">ROUND((H30*$D$33),2)</f>
        <v>15.31</v>
      </c>
      <c r="I33" s="442" t="n">
        <f aca="false">ROUND((I30*$D$33),2)</f>
        <v>3.93</v>
      </c>
      <c r="J33" s="443" t="n">
        <f aca="false">ROUND((J30*$D$33),2)</f>
        <v>0</v>
      </c>
    </row>
    <row r="34" customFormat="false" ht="19.5" hidden="false" customHeight="true" outlineLevel="0" collapsed="false">
      <c r="A34" s="473" t="s">
        <v>568</v>
      </c>
      <c r="B34" s="473"/>
      <c r="C34" s="473"/>
      <c r="D34" s="444"/>
      <c r="E34" s="472"/>
      <c r="F34" s="442" t="n">
        <f aca="false">F30+F33</f>
        <v>4148.57166666667</v>
      </c>
      <c r="G34" s="442" t="n">
        <f aca="false">G30+G33</f>
        <v>3486.27</v>
      </c>
      <c r="H34" s="442" t="n">
        <f aca="false">H30+H33</f>
        <v>525.71</v>
      </c>
      <c r="I34" s="442" t="n">
        <f aca="false">I30+I33</f>
        <v>134.82</v>
      </c>
      <c r="J34" s="443" t="n">
        <f aca="false">J30+J33</f>
        <v>0</v>
      </c>
    </row>
    <row r="35" customFormat="false" ht="19.5" hidden="false" customHeight="true" outlineLevel="0" collapsed="false">
      <c r="A35" s="474" t="s">
        <v>248</v>
      </c>
      <c r="B35" s="475"/>
      <c r="C35" s="475"/>
      <c r="D35" s="446" t="n">
        <f aca="false">Dados!$G$44</f>
        <v>0.0679</v>
      </c>
      <c r="E35" s="476"/>
      <c r="F35" s="448" t="n">
        <f aca="false">ROUND((F34*$D$35),2)</f>
        <v>281.69</v>
      </c>
      <c r="G35" s="448" t="n">
        <f aca="false">ROUND((G34*$D$35),2)</f>
        <v>236.72</v>
      </c>
      <c r="H35" s="448" t="n">
        <f aca="false">ROUND((H34*$D$35),2)</f>
        <v>35.7</v>
      </c>
      <c r="I35" s="448" t="n">
        <f aca="false">ROUND((I34*$D$35),2)</f>
        <v>9.15</v>
      </c>
      <c r="J35" s="449" t="n">
        <f aca="false">ROUND((J34*$D$35),2)</f>
        <v>0</v>
      </c>
    </row>
    <row r="36" customFormat="false" ht="19.5" hidden="false" customHeight="true" outlineLevel="0" collapsed="false">
      <c r="A36" s="477" t="s">
        <v>569</v>
      </c>
      <c r="B36" s="478"/>
      <c r="C36" s="478"/>
      <c r="D36" s="479" t="n">
        <f aca="false">SUM(D33:D35)</f>
        <v>0.0979</v>
      </c>
      <c r="E36" s="480"/>
      <c r="F36" s="456" t="n">
        <f aca="false">F33+F35</f>
        <v>402.52</v>
      </c>
      <c r="G36" s="456" t="n">
        <f aca="false">G33+G35</f>
        <v>338.26</v>
      </c>
      <c r="H36" s="456" t="n">
        <f aca="false">H33+H35</f>
        <v>51.01</v>
      </c>
      <c r="I36" s="456" t="n">
        <f aca="false">I33+I35</f>
        <v>13.08</v>
      </c>
      <c r="J36" s="457" t="n">
        <f aca="false">J33+J35</f>
        <v>0</v>
      </c>
    </row>
    <row r="37" customFormat="false" ht="19.5" hidden="false" customHeight="true" outlineLevel="0" collapsed="false">
      <c r="A37" s="481" t="s">
        <v>570</v>
      </c>
      <c r="B37" s="481"/>
      <c r="C37" s="481"/>
      <c r="D37" s="481"/>
      <c r="E37" s="481"/>
      <c r="F37" s="482" t="n">
        <f aca="false">F30+F36</f>
        <v>4430.26166666667</v>
      </c>
      <c r="G37" s="482" t="n">
        <f aca="false">G30+G36</f>
        <v>3722.99</v>
      </c>
      <c r="H37" s="482" t="n">
        <f aca="false">H30+H36</f>
        <v>561.41</v>
      </c>
      <c r="I37" s="482" t="n">
        <f aca="false">I30+I36</f>
        <v>143.97</v>
      </c>
      <c r="J37" s="483" t="n">
        <f aca="false">J30+J36</f>
        <v>0</v>
      </c>
    </row>
    <row r="38" customFormat="false" ht="19.5" hidden="false" customHeight="true" outlineLevel="0" collapsed="false">
      <c r="A38" s="484" t="s">
        <v>571</v>
      </c>
      <c r="B38" s="484"/>
      <c r="C38" s="484"/>
      <c r="D38" s="484"/>
      <c r="E38" s="484"/>
      <c r="F38" s="484"/>
      <c r="G38" s="484"/>
      <c r="H38" s="484"/>
      <c r="I38" s="484"/>
      <c r="J38" s="484"/>
    </row>
    <row r="39" customFormat="false" ht="19.5" hidden="false" customHeight="true" outlineLevel="0" collapsed="false">
      <c r="A39" s="460" t="s">
        <v>254</v>
      </c>
      <c r="B39" s="460"/>
      <c r="C39" s="460"/>
      <c r="D39" s="444" t="n">
        <f aca="false">Dados!G51</f>
        <v>0.076</v>
      </c>
      <c r="E39" s="442"/>
      <c r="F39" s="442" t="n">
        <f aca="false">ROUND(($F$45*D39),2)</f>
        <v>383.7</v>
      </c>
      <c r="G39" s="442" t="n">
        <f aca="false">ROUND((G45*$D$39),2)</f>
        <v>322.45</v>
      </c>
      <c r="H39" s="442" t="n">
        <f aca="false">ROUND((H45*$D$39),2)</f>
        <v>48.62</v>
      </c>
      <c r="I39" s="442" t="n">
        <f aca="false">ROUND((I45*$D$39),2)</f>
        <v>12.47</v>
      </c>
      <c r="J39" s="443" t="n">
        <f aca="false">ROUND((J45*$D$39),2)</f>
        <v>0</v>
      </c>
    </row>
    <row r="40" customFormat="false" ht="19.5" hidden="false" customHeight="true" outlineLevel="0" collapsed="false">
      <c r="A40" s="460" t="s">
        <v>256</v>
      </c>
      <c r="B40" s="460"/>
      <c r="C40" s="460"/>
      <c r="D40" s="444" t="n">
        <f aca="false">Dados!G52</f>
        <v>0.0165</v>
      </c>
      <c r="E40" s="442"/>
      <c r="F40" s="442" t="n">
        <f aca="false">ROUND((F45*$D$40),2)</f>
        <v>83.3</v>
      </c>
      <c r="G40" s="442" t="n">
        <f aca="false">ROUND((G45*$D$40),2)</f>
        <v>70</v>
      </c>
      <c r="H40" s="442" t="n">
        <f aca="false">ROUND((H45*$D$40),2)</f>
        <v>10.56</v>
      </c>
      <c r="I40" s="442" t="n">
        <f aca="false">ROUND((I45*$D$40),2)</f>
        <v>2.71</v>
      </c>
      <c r="J40" s="443" t="n">
        <f aca="false">ROUND((J45*$D$40),2)</f>
        <v>0</v>
      </c>
    </row>
    <row r="41" customFormat="false" ht="19.5" hidden="false" customHeight="true" outlineLevel="0" collapsed="false">
      <c r="A41" s="460" t="str">
        <f aca="false">Dados!B53</f>
        <v>ISSQN - Limpeza e Conservação</v>
      </c>
      <c r="B41" s="460"/>
      <c r="C41" s="460"/>
      <c r="D41" s="444" t="n">
        <f aca="false">Dados!G53</f>
        <v>0.03</v>
      </c>
      <c r="E41" s="442"/>
      <c r="F41" s="442" t="n">
        <f aca="false">ROUND((F45*$D$41),2)</f>
        <v>151.46</v>
      </c>
      <c r="G41" s="442" t="n">
        <f aca="false">ROUND((G45*$D$41),2)</f>
        <v>127.28</v>
      </c>
      <c r="H41" s="442" t="n">
        <f aca="false">ROUND((H45*$D$41),2)</f>
        <v>19.19</v>
      </c>
      <c r="I41" s="442" t="n">
        <f aca="false">ROUND((I45*$D$41),2)</f>
        <v>4.92</v>
      </c>
      <c r="J41" s="443" t="n">
        <f aca="false">ROUND((J45*$D$41),2)</f>
        <v>0</v>
      </c>
    </row>
    <row r="42" customFormat="false" ht="19.5" hidden="false" customHeight="true" outlineLevel="0" collapsed="false">
      <c r="A42" s="460" t="str">
        <f aca="false">Dados!B54</f>
        <v>ISSQN - Serviços Administrativos</v>
      </c>
      <c r="B42" s="460"/>
      <c r="C42" s="460"/>
      <c r="D42" s="444" t="n">
        <v>0</v>
      </c>
      <c r="E42" s="442"/>
      <c r="F42" s="442" t="n">
        <f aca="false">ROUND((F45*$D$42),2)</f>
        <v>0</v>
      </c>
      <c r="G42" s="442" t="n">
        <f aca="false">ROUND((G45*$D$42),2)</f>
        <v>0</v>
      </c>
      <c r="H42" s="442" t="n">
        <f aca="false">ROUND((H45*$D$42),2)</f>
        <v>0</v>
      </c>
      <c r="I42" s="442" t="n">
        <f aca="false">ROUND((I45*$D$42),2)</f>
        <v>0</v>
      </c>
      <c r="J42" s="443" t="n">
        <f aca="false">ROUND((J45*$D$42),2)</f>
        <v>0</v>
      </c>
    </row>
    <row r="43" customFormat="false" ht="19.5" hidden="false" customHeight="true" outlineLevel="0" collapsed="false">
      <c r="A43" s="485" t="s">
        <v>572</v>
      </c>
      <c r="B43" s="485"/>
      <c r="C43" s="485"/>
      <c r="D43" s="486" t="n">
        <f aca="false">SUM(D39:D42)</f>
        <v>0.1225</v>
      </c>
      <c r="E43" s="487"/>
      <c r="F43" s="488" t="n">
        <f aca="false">SUM(F39:F42)</f>
        <v>618.46</v>
      </c>
      <c r="G43" s="488" t="n">
        <f aca="false">SUM(G39:G42)</f>
        <v>519.73</v>
      </c>
      <c r="H43" s="488" t="n">
        <f aca="false">SUM(H39:H42)</f>
        <v>78.37</v>
      </c>
      <c r="I43" s="488" t="n">
        <f aca="false">SUM(I39:I42)</f>
        <v>20.1</v>
      </c>
      <c r="J43" s="489" t="n">
        <f aca="false">SUM(J39:J41)</f>
        <v>0</v>
      </c>
    </row>
    <row r="44" customFormat="false" ht="19.5" hidden="false" customHeight="true" outlineLevel="0" collapsed="false">
      <c r="A44" s="490" t="str">
        <f aca="false">CONCATENATE("Custo Mensal - ",A7)</f>
        <v>Custo Mensal - Servente de Limpeza  ac. Copeira</v>
      </c>
      <c r="B44" s="490"/>
      <c r="C44" s="490"/>
      <c r="D44" s="490"/>
      <c r="E44" s="490"/>
      <c r="F44" s="491" t="n">
        <f aca="false">ROUND(F37/(1-D43),2)</f>
        <v>5048.73</v>
      </c>
      <c r="G44" s="491" t="n">
        <f aca="false">ROUND(G37/(1-D43),2)</f>
        <v>4242.72</v>
      </c>
      <c r="H44" s="491" t="n">
        <f aca="false">ROUND(H37/(1-D43),2)</f>
        <v>639.78</v>
      </c>
      <c r="I44" s="491" t="n">
        <f aca="false">ROUND(I37/(1-D43),2)</f>
        <v>164.07</v>
      </c>
      <c r="J44" s="492" t="n">
        <f aca="false">ROUND(J37/(1-D43),2)</f>
        <v>0</v>
      </c>
    </row>
    <row r="45" customFormat="false" ht="19.5" hidden="false" customHeight="true" outlineLevel="0" collapsed="false">
      <c r="A45" s="490" t="str">
        <f aca="false">CONCATENATE("Valor do Custo Mensal - ",A7)</f>
        <v>Valor do Custo Mensal - Servente de Limpeza  ac. Copeira</v>
      </c>
      <c r="B45" s="490"/>
      <c r="C45" s="490"/>
      <c r="D45" s="490"/>
      <c r="E45" s="490"/>
      <c r="F45" s="491" t="n">
        <f aca="false">F44</f>
        <v>5048.73</v>
      </c>
      <c r="G45" s="491" t="n">
        <f aca="false">G44</f>
        <v>4242.72</v>
      </c>
      <c r="H45" s="491" t="n">
        <f aca="false">H44</f>
        <v>639.78</v>
      </c>
      <c r="I45" s="491" t="n">
        <f aca="false">I44</f>
        <v>164.07</v>
      </c>
      <c r="J45" s="492" t="n">
        <f aca="false">J44</f>
        <v>0</v>
      </c>
      <c r="K45" s="493"/>
      <c r="L45" s="493"/>
    </row>
    <row r="46" customFormat="false" ht="27.75" hidden="false" customHeight="true" outlineLevel="0" collapsed="false">
      <c r="A46" s="494" t="s">
        <v>573</v>
      </c>
      <c r="B46" s="494"/>
      <c r="C46" s="494"/>
      <c r="D46" s="494"/>
      <c r="E46" s="494"/>
      <c r="F46" s="495" t="n">
        <f aca="false">(F45/F14)</f>
        <v>3.30044910473227</v>
      </c>
      <c r="G46" s="495" t="n">
        <f aca="false">(G45/G14)</f>
        <v>2.77354531251021</v>
      </c>
      <c r="H46" s="496" t="s">
        <v>574</v>
      </c>
      <c r="I46" s="496"/>
      <c r="J46" s="497" t="n">
        <v>0</v>
      </c>
    </row>
    <row r="47" customFormat="false" ht="19.5" hidden="false" customHeight="true" outlineLevel="0" collapsed="false"/>
  </sheetData>
  <sheetProtection sheet="true" password="c4d4"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pageBreakPreview" topLeftCell="A10" colorId="64" zoomScale="120" zoomScaleNormal="100" zoomScalePageLayoutView="120" workbookViewId="0">
      <selection pane="topLeft" activeCell="F25" activeCellId="0" sqref="F25"/>
    </sheetView>
  </sheetViews>
  <sheetFormatPr defaultColWidth="8.71484375" defaultRowHeight="15" zeroHeight="false" outlineLevelRow="0" outlineLevelCol="0"/>
  <cols>
    <col collapsed="false" customWidth="true" hidden="false" outlineLevel="0" max="1" min="1" style="85" width="10.57"/>
    <col collapsed="false" customWidth="true" hidden="false" outlineLevel="0" max="2" min="2" style="85" width="27.71"/>
    <col collapsed="false" customWidth="true" hidden="false" outlineLevel="0" max="3" min="3" style="85" width="14.42"/>
    <col collapsed="false" customWidth="true" hidden="false" outlineLevel="0" max="5" min="4" style="85" width="15"/>
    <col collapsed="false" customWidth="true" hidden="false" outlineLevel="0" max="6" min="6" style="419" width="16.71"/>
    <col collapsed="false" customWidth="true" hidden="false" outlineLevel="0" max="8" min="7" style="419" width="13.15"/>
    <col collapsed="false" customWidth="true" hidden="false" outlineLevel="0" max="10" min="9" style="419" width="12.57"/>
    <col collapsed="false" customWidth="true" hidden="false" outlineLevel="0" max="257" min="11" style="85" width="9.14"/>
    <col collapsed="false" customWidth="true" hidden="false" outlineLevel="0" max="258" min="258" style="85" width="10.57"/>
    <col collapsed="false" customWidth="true" hidden="false" outlineLevel="0" max="259" min="259" style="85" width="27.71"/>
    <col collapsed="false" customWidth="true" hidden="false" outlineLevel="0" max="260" min="260" style="85" width="14.42"/>
    <col collapsed="false" customWidth="true" hidden="false" outlineLevel="0" max="262" min="261" style="85" width="15"/>
    <col collapsed="false" customWidth="true" hidden="false" outlineLevel="0" max="263" min="263" style="85" width="16.71"/>
    <col collapsed="false" customWidth="true" hidden="false" outlineLevel="0" max="264" min="264" style="85" width="13.15"/>
    <col collapsed="false" customWidth="true" hidden="false" outlineLevel="0" max="266" min="265" style="85" width="12.57"/>
    <col collapsed="false" customWidth="true" hidden="false" outlineLevel="0" max="513" min="267" style="85" width="9.14"/>
    <col collapsed="false" customWidth="true" hidden="false" outlineLevel="0" max="514" min="514" style="85" width="10.57"/>
    <col collapsed="false" customWidth="true" hidden="false" outlineLevel="0" max="515" min="515" style="85" width="27.71"/>
    <col collapsed="false" customWidth="true" hidden="false" outlineLevel="0" max="516" min="516" style="85" width="14.42"/>
    <col collapsed="false" customWidth="true" hidden="false" outlineLevel="0" max="518" min="517" style="85" width="15"/>
    <col collapsed="false" customWidth="true" hidden="false" outlineLevel="0" max="519" min="519" style="85" width="16.71"/>
    <col collapsed="false" customWidth="true" hidden="false" outlineLevel="0" max="520" min="520" style="85" width="13.15"/>
    <col collapsed="false" customWidth="true" hidden="false" outlineLevel="0" max="522" min="521" style="85" width="12.57"/>
    <col collapsed="false" customWidth="true" hidden="false" outlineLevel="0" max="769" min="523" style="85" width="9.14"/>
    <col collapsed="false" customWidth="true" hidden="false" outlineLevel="0" max="770" min="770" style="85" width="10.57"/>
    <col collapsed="false" customWidth="true" hidden="false" outlineLevel="0" max="771" min="771" style="85" width="27.71"/>
    <col collapsed="false" customWidth="true" hidden="false" outlineLevel="0" max="772" min="772" style="85" width="14.42"/>
    <col collapsed="false" customWidth="true" hidden="false" outlineLevel="0" max="774" min="773" style="85" width="15"/>
    <col collapsed="false" customWidth="true" hidden="false" outlineLevel="0" max="775" min="775" style="85" width="16.71"/>
    <col collapsed="false" customWidth="true" hidden="false" outlineLevel="0" max="776" min="776" style="85" width="13.15"/>
    <col collapsed="false" customWidth="true" hidden="false" outlineLevel="0" max="778" min="777" style="85" width="12.57"/>
    <col collapsed="false" customWidth="true" hidden="false" outlineLevel="0" max="1025" min="779" style="85" width="9.14"/>
  </cols>
  <sheetData>
    <row r="1" customFormat="false" ht="15" hidden="false" customHeight="false" outlineLevel="0" collapsed="false">
      <c r="A1" s="420"/>
      <c r="B1" s="123" t="str">
        <f aca="false">INSTRUÇÕES!B1</f>
        <v>Tribunal Regional Federal da 6ª Região</v>
      </c>
      <c r="C1" s="421"/>
      <c r="D1" s="421"/>
      <c r="E1" s="421"/>
      <c r="F1" s="422"/>
      <c r="G1" s="423"/>
      <c r="H1" s="423"/>
      <c r="I1" s="422"/>
      <c r="J1" s="424"/>
    </row>
    <row r="2" customFormat="false" ht="15" hidden="false" customHeight="false" outlineLevel="0" collapsed="false">
      <c r="A2" s="425"/>
      <c r="B2" s="125" t="str">
        <f aca="false">INSTRUÇÕES!B2</f>
        <v>Seção Judiciária de Minas Gerais</v>
      </c>
      <c r="C2" s="74"/>
      <c r="D2" s="74"/>
      <c r="E2" s="74"/>
      <c r="F2" s="426"/>
      <c r="I2" s="426"/>
      <c r="J2" s="427"/>
    </row>
    <row r="3" customFormat="false" ht="15" hidden="false" customHeight="false" outlineLevel="0" collapsed="false">
      <c r="A3" s="208"/>
      <c r="B3" s="428" t="str">
        <f aca="false">INSTRUÇÕES!B3</f>
        <v>Subseção Judiciária de Lavras</v>
      </c>
      <c r="C3" s="74"/>
      <c r="D3" s="74"/>
      <c r="E3" s="74"/>
      <c r="F3" s="426"/>
      <c r="I3" s="426"/>
      <c r="J3" s="427"/>
    </row>
    <row r="4" customFormat="false" ht="19.5" hidden="false" customHeight="true" outlineLevel="0" collapsed="false">
      <c r="A4" s="429" t="s">
        <v>538</v>
      </c>
      <c r="B4" s="429"/>
      <c r="C4" s="429"/>
      <c r="D4" s="429"/>
      <c r="E4" s="429"/>
      <c r="F4" s="429"/>
      <c r="G4" s="429"/>
      <c r="H4" s="429"/>
      <c r="I4" s="429"/>
      <c r="J4" s="429"/>
    </row>
    <row r="5" customFormat="false" ht="19.5" hidden="false" customHeight="true" outlineLevel="0" collapsed="false">
      <c r="A5" s="430" t="s">
        <v>301</v>
      </c>
      <c r="B5" s="430"/>
      <c r="C5" s="430"/>
      <c r="D5" s="430"/>
      <c r="E5" s="430"/>
      <c r="F5" s="430"/>
      <c r="G5" s="430"/>
      <c r="H5" s="430"/>
      <c r="I5" s="430"/>
      <c r="J5" s="430"/>
    </row>
    <row r="6" customFormat="false" ht="36" hidden="false" customHeight="true" outlineLevel="0" collapsed="false">
      <c r="A6" s="431" t="str">
        <f aca="false">Dados!A4</f>
        <v>Sindicato utilizado - SINTAPPI x SINSERHT. Vigência: 2025/2026. Sendo a data base da categoria 01° de Abril. Com número de registro no MTE MG001973/2025.</v>
      </c>
      <c r="B6" s="431"/>
      <c r="C6" s="431"/>
      <c r="D6" s="431"/>
      <c r="E6" s="431"/>
      <c r="F6" s="431"/>
      <c r="G6" s="431"/>
      <c r="H6" s="431"/>
      <c r="I6" s="431"/>
      <c r="J6" s="431"/>
    </row>
    <row r="7" customFormat="false" ht="19.5" hidden="false" customHeight="true" outlineLevel="0" collapsed="false">
      <c r="A7" s="432" t="str">
        <f aca="false">Dados!C9</f>
        <v>Zelador</v>
      </c>
      <c r="B7" s="432"/>
      <c r="C7" s="432"/>
      <c r="D7" s="432"/>
      <c r="E7" s="432"/>
      <c r="F7" s="433" t="s">
        <v>539</v>
      </c>
      <c r="G7" s="433" t="s">
        <v>540</v>
      </c>
      <c r="H7" s="433" t="s">
        <v>541</v>
      </c>
      <c r="I7" s="433" t="s">
        <v>542</v>
      </c>
      <c r="J7" s="433" t="s">
        <v>543</v>
      </c>
    </row>
    <row r="8" customFormat="false" ht="19.5" hidden="false" customHeight="true" outlineLevel="0" collapsed="false">
      <c r="A8" s="434" t="s">
        <v>544</v>
      </c>
      <c r="B8" s="434"/>
      <c r="C8" s="434"/>
      <c r="D8" s="434"/>
      <c r="E8" s="435" t="s">
        <v>485</v>
      </c>
      <c r="F8" s="433"/>
      <c r="G8" s="433"/>
      <c r="H8" s="433"/>
      <c r="I8" s="433"/>
      <c r="J8" s="433"/>
    </row>
    <row r="9" customFormat="false" ht="19.5" hidden="false" customHeight="true" outlineLevel="0" collapsed="false">
      <c r="A9" s="436" t="s">
        <v>545</v>
      </c>
      <c r="B9" s="436"/>
      <c r="C9" s="436"/>
      <c r="D9" s="436"/>
      <c r="E9" s="436"/>
      <c r="F9" s="436"/>
      <c r="G9" s="436"/>
      <c r="H9" s="436"/>
      <c r="I9" s="436"/>
      <c r="J9" s="436"/>
    </row>
    <row r="10" customFormat="false" ht="24" hidden="false" customHeight="true" outlineLevel="0" collapsed="false">
      <c r="A10" s="217" t="s">
        <v>486</v>
      </c>
      <c r="B10" s="437" t="s">
        <v>546</v>
      </c>
      <c r="C10" s="437"/>
      <c r="D10" s="284" t="s">
        <v>547</v>
      </c>
      <c r="E10" s="438" t="s">
        <v>548</v>
      </c>
      <c r="F10" s="439" t="s">
        <v>489</v>
      </c>
      <c r="G10" s="439"/>
      <c r="H10" s="439"/>
      <c r="I10" s="439"/>
      <c r="J10" s="439"/>
    </row>
    <row r="11" customFormat="false" ht="19.5" hidden="false" customHeight="true" outlineLevel="0" collapsed="false">
      <c r="A11" s="440" t="n">
        <v>1</v>
      </c>
      <c r="B11" s="283" t="str">
        <f aca="false">A7</f>
        <v>Zelador</v>
      </c>
      <c r="C11" s="283"/>
      <c r="D11" s="39" t="n">
        <f aca="false">Dados!$D$9</f>
        <v>150</v>
      </c>
      <c r="E11" s="441" t="n">
        <f aca="false">Dados!$E$9</f>
        <v>2441.1</v>
      </c>
      <c r="F11" s="442" t="n">
        <f aca="false">ROUND(E11/220*D11,2)</f>
        <v>1664.39</v>
      </c>
      <c r="G11" s="442" t="n">
        <f aca="false">F11</f>
        <v>1664.39</v>
      </c>
      <c r="H11" s="442"/>
      <c r="I11" s="442"/>
      <c r="J11" s="443"/>
    </row>
    <row r="12" customFormat="false" ht="19.5" hidden="false" customHeight="true" outlineLevel="0" collapsed="false">
      <c r="A12" s="440"/>
      <c r="B12" s="283" t="s">
        <v>549</v>
      </c>
      <c r="C12" s="283"/>
      <c r="D12" s="53" t="n">
        <f aca="false">Dados!G8</f>
        <v>0</v>
      </c>
      <c r="E12" s="441" t="n">
        <f aca="false">Dados!$G$27</f>
        <v>1518</v>
      </c>
      <c r="F12" s="442" t="n">
        <f aca="false">D12*E12</f>
        <v>0</v>
      </c>
      <c r="G12" s="442" t="n">
        <f aca="false">F12</f>
        <v>0</v>
      </c>
      <c r="H12" s="442"/>
      <c r="I12" s="442"/>
      <c r="J12" s="443" t="n">
        <f aca="false">F12</f>
        <v>0</v>
      </c>
    </row>
    <row r="13" customFormat="false" ht="30.75" hidden="false" customHeight="true" outlineLevel="0" collapsed="false">
      <c r="A13" s="440"/>
      <c r="B13" s="445" t="s">
        <v>550</v>
      </c>
      <c r="C13" s="446" t="n">
        <f aca="false">Dados!$I$9</f>
        <v>0</v>
      </c>
      <c r="D13" s="446" t="n">
        <f aca="false">Dados!$J$9</f>
        <v>0</v>
      </c>
      <c r="E13" s="447" t="n">
        <f aca="false">Dados!$K$9</f>
        <v>0</v>
      </c>
      <c r="F13" s="448" t="n">
        <f aca="false">ROUND((E13*D13*C13),2)</f>
        <v>0</v>
      </c>
      <c r="G13" s="448" t="n">
        <f aca="false">F13</f>
        <v>0</v>
      </c>
      <c r="H13" s="448"/>
      <c r="I13" s="448"/>
      <c r="J13" s="449"/>
    </row>
    <row r="14" customFormat="false" ht="19.5" hidden="false" customHeight="true" outlineLevel="0" collapsed="false">
      <c r="A14" s="440"/>
      <c r="B14" s="450" t="s">
        <v>551</v>
      </c>
      <c r="C14" s="450"/>
      <c r="D14" s="450"/>
      <c r="E14" s="450"/>
      <c r="F14" s="451" t="n">
        <f aca="false">SUM(F11:F13)</f>
        <v>1664.39</v>
      </c>
      <c r="G14" s="451" t="n">
        <f aca="false">SUM(G11:G13)</f>
        <v>1664.39</v>
      </c>
      <c r="H14" s="451" t="n">
        <f aca="false">SUM(H11:H13)</f>
        <v>0</v>
      </c>
      <c r="I14" s="451" t="n">
        <f aca="false">SUM(I11:I13)</f>
        <v>0</v>
      </c>
      <c r="J14" s="452" t="n">
        <f aca="false">SUM(J11:J13)</f>
        <v>0</v>
      </c>
    </row>
    <row r="15" customFormat="false" ht="19.5" hidden="false" customHeight="true" outlineLevel="0" collapsed="false">
      <c r="A15" s="440"/>
      <c r="B15" s="453" t="s">
        <v>552</v>
      </c>
      <c r="C15" s="453"/>
      <c r="D15" s="453"/>
      <c r="E15" s="454" t="n">
        <f aca="false">Encargos!$C$57</f>
        <v>0.764</v>
      </c>
      <c r="F15" s="442" t="n">
        <f aca="false">ROUND((E15*F14),2)</f>
        <v>1271.59</v>
      </c>
      <c r="G15" s="442" t="n">
        <f aca="false">F15</f>
        <v>1271.59</v>
      </c>
      <c r="H15" s="442"/>
      <c r="I15" s="442"/>
      <c r="J15" s="443" t="n">
        <f aca="false">ROUND((E15*J14),2)</f>
        <v>0</v>
      </c>
    </row>
    <row r="16" customFormat="false" ht="19.5" hidden="false" customHeight="true" outlineLevel="0" collapsed="false">
      <c r="A16" s="455" t="s">
        <v>553</v>
      </c>
      <c r="B16" s="455"/>
      <c r="C16" s="455"/>
      <c r="D16" s="455"/>
      <c r="E16" s="455"/>
      <c r="F16" s="456" t="n">
        <f aca="false">SUM(F14:F15)</f>
        <v>2935.98</v>
      </c>
      <c r="G16" s="456" t="n">
        <f aca="false">SUM(G14:G15)</f>
        <v>2935.98</v>
      </c>
      <c r="H16" s="456" t="n">
        <f aca="false">SUM(H14:H15)</f>
        <v>0</v>
      </c>
      <c r="I16" s="456" t="n">
        <f aca="false">SUM(I14:I15)</f>
        <v>0</v>
      </c>
      <c r="J16" s="457" t="n">
        <f aca="false">SUM(J14:J15)</f>
        <v>0</v>
      </c>
    </row>
    <row r="17" customFormat="false" ht="19.5" hidden="false" customHeight="true" outlineLevel="0" collapsed="false">
      <c r="A17" s="458" t="s">
        <v>554</v>
      </c>
      <c r="B17" s="458"/>
      <c r="C17" s="458"/>
      <c r="D17" s="458"/>
      <c r="E17" s="458"/>
      <c r="F17" s="458"/>
      <c r="G17" s="458"/>
      <c r="H17" s="458"/>
      <c r="I17" s="458"/>
      <c r="J17" s="458"/>
    </row>
    <row r="18" customFormat="false" ht="19.5" hidden="false" customHeight="true" outlineLevel="0" collapsed="false">
      <c r="A18" s="282" t="s">
        <v>555</v>
      </c>
      <c r="B18" s="282"/>
      <c r="C18" s="50" t="s">
        <v>488</v>
      </c>
      <c r="D18" s="459" t="s">
        <v>575</v>
      </c>
      <c r="E18" s="459"/>
      <c r="F18" s="443" t="s">
        <v>489</v>
      </c>
      <c r="G18" s="443"/>
      <c r="H18" s="443"/>
      <c r="I18" s="443"/>
      <c r="J18" s="443"/>
    </row>
    <row r="19" customFormat="false" ht="19.5" hidden="false" customHeight="true" outlineLevel="0" collapsed="false">
      <c r="A19" s="460" t="s">
        <v>557</v>
      </c>
      <c r="B19" s="460"/>
      <c r="C19" s="289"/>
      <c r="D19" s="289"/>
      <c r="E19" s="289"/>
      <c r="F19" s="442" t="n">
        <f aca="false">Dados!$N$9</f>
        <v>36.95</v>
      </c>
      <c r="G19" s="442" t="n">
        <f aca="false">F19</f>
        <v>36.95</v>
      </c>
      <c r="H19" s="442"/>
      <c r="I19" s="442"/>
      <c r="J19" s="443"/>
    </row>
    <row r="20" customFormat="false" ht="19.5" hidden="false" customHeight="true" outlineLevel="0" collapsed="false">
      <c r="A20" s="460" t="s">
        <v>558</v>
      </c>
      <c r="B20" s="460"/>
      <c r="C20" s="289"/>
      <c r="D20" s="289"/>
      <c r="E20" s="289"/>
      <c r="F20" s="442" t="n">
        <f aca="false">Dados!$G$30</f>
        <v>5.27</v>
      </c>
      <c r="G20" s="442" t="n">
        <f aca="false">F20</f>
        <v>5.27</v>
      </c>
      <c r="H20" s="442"/>
      <c r="I20" s="442"/>
      <c r="J20" s="443"/>
    </row>
    <row r="21" customFormat="false" ht="23.25" hidden="false" customHeight="true" outlineLevel="0" collapsed="false">
      <c r="A21" s="461" t="s">
        <v>230</v>
      </c>
      <c r="B21" s="461"/>
      <c r="C21" s="289"/>
      <c r="D21" s="289"/>
      <c r="E21" s="289"/>
      <c r="F21" s="442" t="n">
        <f aca="false">Dados!G31</f>
        <v>0</v>
      </c>
      <c r="G21" s="442" t="n">
        <f aca="false">F21</f>
        <v>0</v>
      </c>
      <c r="H21" s="442"/>
      <c r="I21" s="442"/>
      <c r="J21" s="443"/>
    </row>
    <row r="22" customFormat="false" ht="19.5" hidden="false" customHeight="true" outlineLevel="0" collapsed="false">
      <c r="A22" s="460" t="s">
        <v>231</v>
      </c>
      <c r="B22" s="460"/>
      <c r="C22" s="462" t="n">
        <f aca="false">Dados!$G$34</f>
        <v>22</v>
      </c>
      <c r="D22" s="462" t="n">
        <f aca="false">Dados!$G$33</f>
        <v>2</v>
      </c>
      <c r="E22" s="289" t="n">
        <f aca="false">Dados!$G$32</f>
        <v>5</v>
      </c>
      <c r="F22" s="442" t="n">
        <f aca="false">IF(ROUND((E22*D22*C22)-(F11*Dados!$G$35),2)&lt;0,0,ROUND((E22*D22*C22)-(F11*Dados!$G$35),2))</f>
        <v>120.14</v>
      </c>
      <c r="G22" s="442" t="n">
        <f aca="false">F22</f>
        <v>120.14</v>
      </c>
      <c r="H22" s="442"/>
      <c r="I22" s="442" t="n">
        <f aca="false">F22</f>
        <v>120.14</v>
      </c>
      <c r="J22" s="443"/>
    </row>
    <row r="23" customFormat="false" ht="19.5" hidden="false" customHeight="true" outlineLevel="0" collapsed="false">
      <c r="A23" s="460" t="s">
        <v>240</v>
      </c>
      <c r="B23" s="460"/>
      <c r="C23" s="462" t="n">
        <f aca="false">Dados!G37</f>
        <v>22</v>
      </c>
      <c r="D23" s="463" t="n">
        <f aca="false">Dados!G38</f>
        <v>0.2</v>
      </c>
      <c r="E23" s="289" t="n">
        <f aca="false">Dados!$G$36</f>
        <v>29</v>
      </c>
      <c r="F23" s="329" t="n">
        <f aca="false">ROUND((IF(D11&gt;150,((C23*E23)-(C23*(D23*E23))),0)),2)</f>
        <v>0</v>
      </c>
      <c r="G23" s="442" t="n">
        <f aca="false">F23</f>
        <v>0</v>
      </c>
      <c r="H23" s="442" t="n">
        <f aca="false">$F$23</f>
        <v>0</v>
      </c>
      <c r="I23" s="329"/>
      <c r="J23" s="443"/>
    </row>
    <row r="24" customFormat="false" ht="19.5" hidden="false" customHeight="true" outlineLevel="0" collapsed="false">
      <c r="A24" s="460" t="s">
        <v>243</v>
      </c>
      <c r="B24" s="460"/>
      <c r="C24" s="462"/>
      <c r="D24" s="462"/>
      <c r="E24" s="289"/>
      <c r="F24" s="329" t="n">
        <f aca="false">Dados!$G$39</f>
        <v>0</v>
      </c>
      <c r="G24" s="442"/>
      <c r="H24" s="442"/>
      <c r="I24" s="329"/>
      <c r="J24" s="443"/>
    </row>
    <row r="25" customFormat="false" ht="19.5" hidden="false" customHeight="true" outlineLevel="0" collapsed="false">
      <c r="A25" s="460" t="s">
        <v>243</v>
      </c>
      <c r="B25" s="460"/>
      <c r="C25" s="462"/>
      <c r="D25" s="462"/>
      <c r="E25" s="289"/>
      <c r="F25" s="329" t="n">
        <f aca="false">Dados!$G$40</f>
        <v>0</v>
      </c>
      <c r="G25" s="442"/>
      <c r="H25" s="442"/>
      <c r="I25" s="329"/>
      <c r="J25" s="443"/>
    </row>
    <row r="26" customFormat="false" ht="19.5" hidden="false" customHeight="true" outlineLevel="0" collapsed="false">
      <c r="A26" s="460" t="s">
        <v>189</v>
      </c>
      <c r="B26" s="460"/>
      <c r="C26" s="462"/>
      <c r="D26" s="289"/>
      <c r="E26" s="289"/>
      <c r="F26" s="442"/>
      <c r="G26" s="442"/>
      <c r="H26" s="442"/>
      <c r="I26" s="442"/>
      <c r="J26" s="443"/>
      <c r="L26" s="74"/>
    </row>
    <row r="27" customFormat="false" ht="19.5" hidden="false" customHeight="true" outlineLevel="0" collapsed="false">
      <c r="A27" s="460" t="s">
        <v>560</v>
      </c>
      <c r="B27" s="464"/>
      <c r="C27" s="462"/>
      <c r="D27" s="289"/>
      <c r="E27" s="289"/>
      <c r="F27" s="442"/>
      <c r="G27" s="442"/>
      <c r="H27" s="442"/>
      <c r="I27" s="442"/>
      <c r="J27" s="443"/>
    </row>
    <row r="28" customFormat="false" ht="19.5" hidden="false" customHeight="true" outlineLevel="0" collapsed="false">
      <c r="A28" s="465" t="s">
        <v>561</v>
      </c>
      <c r="B28" s="465"/>
      <c r="C28" s="466"/>
      <c r="D28" s="467"/>
      <c r="E28" s="467"/>
      <c r="F28" s="448"/>
      <c r="G28" s="448"/>
      <c r="H28" s="448"/>
      <c r="I28" s="448"/>
      <c r="J28" s="449"/>
    </row>
    <row r="29" customFormat="false" ht="19.5" hidden="false" customHeight="true" outlineLevel="0" collapsed="false">
      <c r="A29" s="468" t="s">
        <v>562</v>
      </c>
      <c r="B29" s="468"/>
      <c r="C29" s="468"/>
      <c r="D29" s="468"/>
      <c r="E29" s="468"/>
      <c r="F29" s="456" t="n">
        <f aca="false">SUM(F19:F28)</f>
        <v>162.36</v>
      </c>
      <c r="G29" s="456" t="n">
        <f aca="false">SUM(G19:G28)</f>
        <v>162.36</v>
      </c>
      <c r="H29" s="456" t="n">
        <f aca="false">SUM(H19:H28)</f>
        <v>0</v>
      </c>
      <c r="I29" s="456" t="n">
        <f aca="false">SUM(I19:I28)</f>
        <v>120.14</v>
      </c>
      <c r="J29" s="457" t="n">
        <f aca="false">SUM(J19:J28)</f>
        <v>0</v>
      </c>
    </row>
    <row r="30" customFormat="false" ht="19.5" hidden="false" customHeight="true" outlineLevel="0" collapsed="false">
      <c r="A30" s="468" t="s">
        <v>563</v>
      </c>
      <c r="B30" s="468"/>
      <c r="C30" s="468"/>
      <c r="D30" s="468"/>
      <c r="E30" s="468"/>
      <c r="F30" s="456" t="n">
        <f aca="false">F16+F29</f>
        <v>3098.34</v>
      </c>
      <c r="G30" s="456" t="n">
        <f aca="false">G16+G29</f>
        <v>3098.34</v>
      </c>
      <c r="H30" s="456" t="n">
        <f aca="false">H16+H29</f>
        <v>0</v>
      </c>
      <c r="I30" s="456" t="n">
        <f aca="false">I16+I29</f>
        <v>120.14</v>
      </c>
      <c r="J30" s="457" t="n">
        <f aca="false">J16+J29</f>
        <v>0</v>
      </c>
    </row>
    <row r="31" customFormat="false" ht="19.5" hidden="false" customHeight="true" outlineLevel="0" collapsed="false">
      <c r="A31" s="436" t="s">
        <v>564</v>
      </c>
      <c r="B31" s="436"/>
      <c r="C31" s="436"/>
      <c r="D31" s="436"/>
      <c r="E31" s="436"/>
      <c r="F31" s="436"/>
      <c r="G31" s="436"/>
      <c r="H31" s="436"/>
      <c r="I31" s="436"/>
      <c r="J31" s="436"/>
    </row>
    <row r="32" customFormat="false" ht="19.5" hidden="false" customHeight="true" outlineLevel="0" collapsed="false">
      <c r="A32" s="282" t="s">
        <v>565</v>
      </c>
      <c r="B32" s="282"/>
      <c r="C32" s="282"/>
      <c r="D32" s="292" t="s">
        <v>566</v>
      </c>
      <c r="E32" s="469" t="s">
        <v>489</v>
      </c>
      <c r="F32" s="469"/>
      <c r="G32" s="469"/>
      <c r="H32" s="469"/>
      <c r="I32" s="469"/>
      <c r="J32" s="469"/>
    </row>
    <row r="33" customFormat="false" ht="19.5" hidden="false" customHeight="true" outlineLevel="0" collapsed="false">
      <c r="A33" s="470" t="s">
        <v>567</v>
      </c>
      <c r="B33" s="471"/>
      <c r="C33" s="471"/>
      <c r="D33" s="444" t="n">
        <f aca="false">Dados!$G$43</f>
        <v>0.03</v>
      </c>
      <c r="E33" s="472"/>
      <c r="F33" s="442" t="n">
        <f aca="false">ROUND((F30*$D$33),2)</f>
        <v>92.95</v>
      </c>
      <c r="G33" s="442" t="n">
        <f aca="false">ROUND((G30*$D$33),2)</f>
        <v>92.95</v>
      </c>
      <c r="H33" s="442" t="n">
        <f aca="false">ROUND((H30*$D$33),2)</f>
        <v>0</v>
      </c>
      <c r="I33" s="442" t="n">
        <f aca="false">ROUND((I30*$D$33),2)</f>
        <v>3.6</v>
      </c>
      <c r="J33" s="443" t="n">
        <f aca="false">ROUND((J30*$D$33),2)</f>
        <v>0</v>
      </c>
    </row>
    <row r="34" customFormat="false" ht="19.5" hidden="false" customHeight="true" outlineLevel="0" collapsed="false">
      <c r="A34" s="473" t="s">
        <v>568</v>
      </c>
      <c r="B34" s="473"/>
      <c r="C34" s="473"/>
      <c r="D34" s="444"/>
      <c r="E34" s="472"/>
      <c r="F34" s="442" t="n">
        <f aca="false">F30+F33</f>
        <v>3191.29</v>
      </c>
      <c r="G34" s="442" t="n">
        <f aca="false">G30+G33</f>
        <v>3191.29</v>
      </c>
      <c r="H34" s="442" t="n">
        <f aca="false">H30+H33</f>
        <v>0</v>
      </c>
      <c r="I34" s="442" t="n">
        <f aca="false">I30+I33</f>
        <v>123.74</v>
      </c>
      <c r="J34" s="443" t="n">
        <f aca="false">J30+J33</f>
        <v>0</v>
      </c>
    </row>
    <row r="35" customFormat="false" ht="19.5" hidden="false" customHeight="true" outlineLevel="0" collapsed="false">
      <c r="A35" s="474" t="s">
        <v>248</v>
      </c>
      <c r="B35" s="475"/>
      <c r="C35" s="475"/>
      <c r="D35" s="446" t="n">
        <f aca="false">Dados!$G$44</f>
        <v>0.0679</v>
      </c>
      <c r="E35" s="476"/>
      <c r="F35" s="448" t="n">
        <f aca="false">ROUND((F34*$D$35),2)</f>
        <v>216.69</v>
      </c>
      <c r="G35" s="448" t="n">
        <f aca="false">ROUND((G34*$D$35),2)</f>
        <v>216.69</v>
      </c>
      <c r="H35" s="448" t="n">
        <f aca="false">ROUND((H34*$D$35),2)</f>
        <v>0</v>
      </c>
      <c r="I35" s="448" t="n">
        <f aca="false">ROUND((I34*$D$35),2)</f>
        <v>8.4</v>
      </c>
      <c r="J35" s="449" t="n">
        <f aca="false">ROUND((J34*$D$35),2)</f>
        <v>0</v>
      </c>
    </row>
    <row r="36" customFormat="false" ht="19.5" hidden="false" customHeight="true" outlineLevel="0" collapsed="false">
      <c r="A36" s="477" t="s">
        <v>569</v>
      </c>
      <c r="B36" s="478"/>
      <c r="C36" s="478"/>
      <c r="D36" s="479" t="n">
        <f aca="false">SUM(D33:D35)</f>
        <v>0.0979</v>
      </c>
      <c r="E36" s="480"/>
      <c r="F36" s="456" t="n">
        <f aca="false">F33+F35</f>
        <v>309.64</v>
      </c>
      <c r="G36" s="456" t="n">
        <f aca="false">G33+G35</f>
        <v>309.64</v>
      </c>
      <c r="H36" s="456" t="n">
        <f aca="false">H33+H35</f>
        <v>0</v>
      </c>
      <c r="I36" s="456" t="n">
        <f aca="false">I33+I35</f>
        <v>12</v>
      </c>
      <c r="J36" s="457" t="n">
        <f aca="false">J33+J35</f>
        <v>0</v>
      </c>
    </row>
    <row r="37" customFormat="false" ht="19.5" hidden="false" customHeight="true" outlineLevel="0" collapsed="false">
      <c r="A37" s="481" t="s">
        <v>570</v>
      </c>
      <c r="B37" s="481"/>
      <c r="C37" s="481"/>
      <c r="D37" s="481"/>
      <c r="E37" s="481"/>
      <c r="F37" s="482" t="n">
        <f aca="false">F30+F36</f>
        <v>3407.98</v>
      </c>
      <c r="G37" s="482" t="n">
        <f aca="false">G30+G36</f>
        <v>3407.98</v>
      </c>
      <c r="H37" s="482" t="n">
        <f aca="false">H30+H36</f>
        <v>0</v>
      </c>
      <c r="I37" s="482" t="n">
        <f aca="false">I30+I36</f>
        <v>132.14</v>
      </c>
      <c r="J37" s="483" t="n">
        <f aca="false">J30+J36</f>
        <v>0</v>
      </c>
    </row>
    <row r="38" customFormat="false" ht="19.5" hidden="false" customHeight="true" outlineLevel="0" collapsed="false">
      <c r="A38" s="484" t="s">
        <v>571</v>
      </c>
      <c r="B38" s="484"/>
      <c r="C38" s="484"/>
      <c r="D38" s="484"/>
      <c r="E38" s="484"/>
      <c r="F38" s="484"/>
      <c r="G38" s="484"/>
      <c r="H38" s="484"/>
      <c r="I38" s="484"/>
      <c r="J38" s="484"/>
    </row>
    <row r="39" customFormat="false" ht="19.5" hidden="false" customHeight="true" outlineLevel="0" collapsed="false">
      <c r="A39" s="460" t="s">
        <v>254</v>
      </c>
      <c r="B39" s="460"/>
      <c r="C39" s="460"/>
      <c r="D39" s="444" t="n">
        <f aca="false">Dados!G51</f>
        <v>0.076</v>
      </c>
      <c r="E39" s="442"/>
      <c r="F39" s="442" t="n">
        <f aca="false">ROUND(($F$45*D39),2)</f>
        <v>295.16</v>
      </c>
      <c r="G39" s="442" t="n">
        <f aca="false">ROUND((G45*$D$39),2)</f>
        <v>295.16</v>
      </c>
      <c r="H39" s="442" t="n">
        <f aca="false">ROUND((H45*$D$39),2)</f>
        <v>0</v>
      </c>
      <c r="I39" s="442" t="n">
        <f aca="false">ROUND((I45*$D$39),2)</f>
        <v>11.44</v>
      </c>
      <c r="J39" s="443" t="n">
        <f aca="false">ROUND((J45*$D$39),2)</f>
        <v>0</v>
      </c>
    </row>
    <row r="40" customFormat="false" ht="19.5" hidden="false" customHeight="true" outlineLevel="0" collapsed="false">
      <c r="A40" s="460" t="s">
        <v>256</v>
      </c>
      <c r="B40" s="460"/>
      <c r="C40" s="460"/>
      <c r="D40" s="444" t="n">
        <f aca="false">Dados!G52</f>
        <v>0.0165</v>
      </c>
      <c r="E40" s="442"/>
      <c r="F40" s="442" t="n">
        <f aca="false">ROUND((F45*$D$40),2)</f>
        <v>64.08</v>
      </c>
      <c r="G40" s="442" t="n">
        <f aca="false">ROUND((G45*$D$40),2)</f>
        <v>64.08</v>
      </c>
      <c r="H40" s="442" t="n">
        <f aca="false">ROUND((H45*$D$40),2)</f>
        <v>0</v>
      </c>
      <c r="I40" s="442" t="n">
        <f aca="false">ROUND((I45*$D$40),2)</f>
        <v>2.48</v>
      </c>
      <c r="J40" s="443" t="n">
        <f aca="false">ROUND((J45*$D$40),2)</f>
        <v>0</v>
      </c>
    </row>
    <row r="41" customFormat="false" ht="19.5" hidden="false" customHeight="true" outlineLevel="0" collapsed="false">
      <c r="A41" s="460" t="str">
        <f aca="false">Dados!B53</f>
        <v>ISSQN - Limpeza e Conservação</v>
      </c>
      <c r="B41" s="460"/>
      <c r="C41" s="460"/>
      <c r="D41" s="444" t="n">
        <f aca="false">Dados!G53</f>
        <v>0.03</v>
      </c>
      <c r="E41" s="442"/>
      <c r="F41" s="442" t="n">
        <f aca="false">ROUND((F45*$D$41),2)</f>
        <v>116.51</v>
      </c>
      <c r="G41" s="442" t="n">
        <f aca="false">ROUND((G45*$D$41),2)</f>
        <v>116.51</v>
      </c>
      <c r="H41" s="442" t="n">
        <f aca="false">ROUND((H45*$D$41),2)</f>
        <v>0</v>
      </c>
      <c r="I41" s="442" t="n">
        <f aca="false">ROUND((I45*$D$41),2)</f>
        <v>4.52</v>
      </c>
      <c r="J41" s="443" t="n">
        <f aca="false">ROUND((J45*$D$41),2)</f>
        <v>0</v>
      </c>
    </row>
    <row r="42" customFormat="false" ht="19.5" hidden="false" customHeight="true" outlineLevel="0" collapsed="false">
      <c r="A42" s="460" t="str">
        <f aca="false">Dados!B54</f>
        <v>ISSQN - Serviços Administrativos</v>
      </c>
      <c r="B42" s="460"/>
      <c r="C42" s="460"/>
      <c r="D42" s="444" t="n">
        <v>0</v>
      </c>
      <c r="E42" s="442"/>
      <c r="F42" s="442" t="n">
        <f aca="false">ROUND((F45*$D$42),2)</f>
        <v>0</v>
      </c>
      <c r="G42" s="442" t="n">
        <f aca="false">ROUND((G45*$D$42),2)</f>
        <v>0</v>
      </c>
      <c r="H42" s="442" t="n">
        <f aca="false">ROUND((H45*$D$42),2)</f>
        <v>0</v>
      </c>
      <c r="I42" s="442" t="n">
        <f aca="false">ROUND((I45*$D$42),2)</f>
        <v>0</v>
      </c>
      <c r="J42" s="443" t="n">
        <f aca="false">ROUND((J45*$D$42),2)</f>
        <v>0</v>
      </c>
    </row>
    <row r="43" customFormat="false" ht="19.5" hidden="false" customHeight="true" outlineLevel="0" collapsed="false">
      <c r="A43" s="485" t="s">
        <v>572</v>
      </c>
      <c r="B43" s="485"/>
      <c r="C43" s="485"/>
      <c r="D43" s="486" t="n">
        <f aca="false">SUM(D39:D42)</f>
        <v>0.1225</v>
      </c>
      <c r="E43" s="487"/>
      <c r="F43" s="488" t="n">
        <f aca="false">SUM(F39:F42)</f>
        <v>475.75</v>
      </c>
      <c r="G43" s="488" t="n">
        <f aca="false">SUM(G39:G42)</f>
        <v>475.75</v>
      </c>
      <c r="H43" s="488" t="n">
        <f aca="false">SUM(H39:H42)</f>
        <v>0</v>
      </c>
      <c r="I43" s="488" t="n">
        <f aca="false">SUM(I39:I42)</f>
        <v>18.44</v>
      </c>
      <c r="J43" s="489" t="n">
        <f aca="false">SUM(J39:J41)</f>
        <v>0</v>
      </c>
    </row>
    <row r="44" customFormat="false" ht="19.5" hidden="false" customHeight="true" outlineLevel="0" collapsed="false">
      <c r="A44" s="490" t="str">
        <f aca="false">CONCATENATE("Custo Mensal - ",A7)</f>
        <v>Custo Mensal - Zelador</v>
      </c>
      <c r="B44" s="490"/>
      <c r="C44" s="490"/>
      <c r="D44" s="490"/>
      <c r="E44" s="490"/>
      <c r="F44" s="491" t="n">
        <f aca="false">ROUND(F37/(1-D43),2)</f>
        <v>3883.74</v>
      </c>
      <c r="G44" s="491" t="n">
        <f aca="false">ROUND(G37/(1-D43),2)</f>
        <v>3883.74</v>
      </c>
      <c r="H44" s="491" t="n">
        <f aca="false">ROUND(H37/(1-D43),2)</f>
        <v>0</v>
      </c>
      <c r="I44" s="491" t="n">
        <f aca="false">ROUND(I37/(1-D43),2)</f>
        <v>150.59</v>
      </c>
      <c r="J44" s="492" t="n">
        <f aca="false">ROUND(J37/(1-D43),2)</f>
        <v>0</v>
      </c>
    </row>
    <row r="45" customFormat="false" ht="19.5" hidden="false" customHeight="true" outlineLevel="0" collapsed="false">
      <c r="A45" s="490" t="str">
        <f aca="false">CONCATENATE("Valor do Custo Mensal - ",A7)</f>
        <v>Valor do Custo Mensal - Zelador</v>
      </c>
      <c r="B45" s="490"/>
      <c r="C45" s="490"/>
      <c r="D45" s="490"/>
      <c r="E45" s="490"/>
      <c r="F45" s="491" t="n">
        <f aca="false">F44</f>
        <v>3883.74</v>
      </c>
      <c r="G45" s="491" t="n">
        <f aca="false">G44</f>
        <v>3883.74</v>
      </c>
      <c r="H45" s="491" t="n">
        <f aca="false">H44</f>
        <v>0</v>
      </c>
      <c r="I45" s="491" t="n">
        <f aca="false">I44</f>
        <v>150.59</v>
      </c>
      <c r="J45" s="492" t="n">
        <f aca="false">J44</f>
        <v>0</v>
      </c>
      <c r="K45" s="493"/>
      <c r="L45" s="493"/>
    </row>
    <row r="46" customFormat="false" ht="27.75" hidden="false" customHeight="true" outlineLevel="0" collapsed="false">
      <c r="A46" s="494" t="s">
        <v>573</v>
      </c>
      <c r="B46" s="494"/>
      <c r="C46" s="494"/>
      <c r="D46" s="494"/>
      <c r="E46" s="494"/>
      <c r="F46" s="495" t="n">
        <f aca="false">(F45/F14)</f>
        <v>2.33343146738445</v>
      </c>
      <c r="G46" s="495" t="n">
        <f aca="false">(G45/G14)</f>
        <v>2.33343146738445</v>
      </c>
      <c r="H46" s="496" t="s">
        <v>574</v>
      </c>
      <c r="I46" s="496"/>
      <c r="J46" s="497" t="n">
        <v>0</v>
      </c>
    </row>
    <row r="47" customFormat="false" ht="19.5" hidden="false" customHeight="true" outlineLevel="0" collapsed="false"/>
  </sheetData>
  <sheetProtection sheet="true" password="c4d4"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pageBreakPreview" topLeftCell="A13" colorId="64" zoomScale="120" zoomScaleNormal="100" zoomScalePageLayoutView="120" workbookViewId="0">
      <selection pane="topLeft" activeCell="F14" activeCellId="0" sqref="F14"/>
    </sheetView>
  </sheetViews>
  <sheetFormatPr defaultColWidth="8.71484375" defaultRowHeight="15" zeroHeight="false" outlineLevelRow="0" outlineLevelCol="0"/>
  <cols>
    <col collapsed="false" customWidth="true" hidden="false" outlineLevel="0" max="1" min="1" style="85" width="10.57"/>
    <col collapsed="false" customWidth="true" hidden="false" outlineLevel="0" max="2" min="2" style="85" width="27.71"/>
    <col collapsed="false" customWidth="true" hidden="false" outlineLevel="0" max="3" min="3" style="85" width="14.42"/>
    <col collapsed="false" customWidth="true" hidden="false" outlineLevel="0" max="5" min="4" style="85" width="15"/>
    <col collapsed="false" customWidth="true" hidden="false" outlineLevel="0" max="6" min="6" style="419" width="16.71"/>
    <col collapsed="false" customWidth="true" hidden="false" outlineLevel="0" max="8" min="7" style="419" width="13.15"/>
    <col collapsed="false" customWidth="true" hidden="false" outlineLevel="0" max="9" min="9" style="419" width="12.57"/>
    <col collapsed="false" customWidth="true" hidden="false" outlineLevel="0" max="10" min="10" style="419" width="13.86"/>
    <col collapsed="false" customWidth="true" hidden="false" outlineLevel="0" max="257" min="11" style="85" width="9.14"/>
    <col collapsed="false" customWidth="true" hidden="false" outlineLevel="0" max="258" min="258" style="85" width="10.57"/>
    <col collapsed="false" customWidth="true" hidden="false" outlineLevel="0" max="259" min="259" style="85" width="27.71"/>
    <col collapsed="false" customWidth="true" hidden="false" outlineLevel="0" max="260" min="260" style="85" width="14.42"/>
    <col collapsed="false" customWidth="true" hidden="false" outlineLevel="0" max="262" min="261" style="85" width="15"/>
    <col collapsed="false" customWidth="true" hidden="false" outlineLevel="0" max="263" min="263" style="85" width="16.71"/>
    <col collapsed="false" customWidth="true" hidden="false" outlineLevel="0" max="264" min="264" style="85" width="13.15"/>
    <col collapsed="false" customWidth="true" hidden="false" outlineLevel="0" max="266" min="265" style="85" width="12.57"/>
    <col collapsed="false" customWidth="true" hidden="false" outlineLevel="0" max="513" min="267" style="85" width="9.14"/>
    <col collapsed="false" customWidth="true" hidden="false" outlineLevel="0" max="514" min="514" style="85" width="10.57"/>
    <col collapsed="false" customWidth="true" hidden="false" outlineLevel="0" max="515" min="515" style="85" width="27.71"/>
    <col collapsed="false" customWidth="true" hidden="false" outlineLevel="0" max="516" min="516" style="85" width="14.42"/>
    <col collapsed="false" customWidth="true" hidden="false" outlineLevel="0" max="518" min="517" style="85" width="15"/>
    <col collapsed="false" customWidth="true" hidden="false" outlineLevel="0" max="519" min="519" style="85" width="16.71"/>
    <col collapsed="false" customWidth="true" hidden="false" outlineLevel="0" max="520" min="520" style="85" width="13.15"/>
    <col collapsed="false" customWidth="true" hidden="false" outlineLevel="0" max="522" min="521" style="85" width="12.57"/>
    <col collapsed="false" customWidth="true" hidden="false" outlineLevel="0" max="769" min="523" style="85" width="9.14"/>
    <col collapsed="false" customWidth="true" hidden="false" outlineLevel="0" max="770" min="770" style="85" width="10.57"/>
    <col collapsed="false" customWidth="true" hidden="false" outlineLevel="0" max="771" min="771" style="85" width="27.71"/>
    <col collapsed="false" customWidth="true" hidden="false" outlineLevel="0" max="772" min="772" style="85" width="14.42"/>
    <col collapsed="false" customWidth="true" hidden="false" outlineLevel="0" max="774" min="773" style="85" width="15"/>
    <col collapsed="false" customWidth="true" hidden="false" outlineLevel="0" max="775" min="775" style="85" width="16.71"/>
    <col collapsed="false" customWidth="true" hidden="false" outlineLevel="0" max="776" min="776" style="85" width="13.15"/>
    <col collapsed="false" customWidth="true" hidden="false" outlineLevel="0" max="778" min="777" style="85" width="12.57"/>
    <col collapsed="false" customWidth="true" hidden="false" outlineLevel="0" max="1025" min="779" style="85" width="9.14"/>
  </cols>
  <sheetData>
    <row r="1" customFormat="false" ht="15" hidden="false" customHeight="false" outlineLevel="0" collapsed="false">
      <c r="A1" s="420"/>
      <c r="B1" s="123" t="str">
        <f aca="false">INSTRUÇÕES!B1</f>
        <v>Tribunal Regional Federal da 6ª Região</v>
      </c>
      <c r="C1" s="421"/>
      <c r="D1" s="421"/>
      <c r="E1" s="421"/>
      <c r="F1" s="422"/>
      <c r="G1" s="423"/>
      <c r="H1" s="423"/>
      <c r="I1" s="422"/>
      <c r="J1" s="424"/>
    </row>
    <row r="2" customFormat="false" ht="15" hidden="false" customHeight="false" outlineLevel="0" collapsed="false">
      <c r="A2" s="425"/>
      <c r="B2" s="125" t="str">
        <f aca="false">INSTRUÇÕES!B2</f>
        <v>Seção Judiciária de Minas Gerais</v>
      </c>
      <c r="C2" s="74"/>
      <c r="D2" s="74"/>
      <c r="E2" s="74"/>
      <c r="F2" s="426"/>
      <c r="I2" s="426"/>
      <c r="J2" s="427"/>
    </row>
    <row r="3" customFormat="false" ht="15" hidden="false" customHeight="false" outlineLevel="0" collapsed="false">
      <c r="A3" s="208"/>
      <c r="B3" s="428" t="str">
        <f aca="false">INSTRUÇÕES!B3</f>
        <v>Subseção Judiciária de Lavras</v>
      </c>
      <c r="C3" s="74"/>
      <c r="D3" s="74"/>
      <c r="E3" s="74"/>
      <c r="F3" s="426"/>
      <c r="I3" s="426"/>
      <c r="J3" s="427"/>
    </row>
    <row r="4" customFormat="false" ht="19.5" hidden="false" customHeight="true" outlineLevel="0" collapsed="false">
      <c r="A4" s="429" t="s">
        <v>538</v>
      </c>
      <c r="B4" s="429"/>
      <c r="C4" s="429"/>
      <c r="D4" s="429"/>
      <c r="E4" s="429"/>
      <c r="F4" s="429"/>
      <c r="G4" s="429"/>
      <c r="H4" s="429"/>
      <c r="I4" s="429"/>
      <c r="J4" s="429"/>
    </row>
    <row r="5" customFormat="false" ht="19.5" hidden="false" customHeight="true" outlineLevel="0" collapsed="false">
      <c r="A5" s="430" t="s">
        <v>301</v>
      </c>
      <c r="B5" s="430"/>
      <c r="C5" s="430"/>
      <c r="D5" s="430"/>
      <c r="E5" s="430"/>
      <c r="F5" s="430"/>
      <c r="G5" s="430"/>
      <c r="H5" s="430"/>
      <c r="I5" s="430"/>
      <c r="J5" s="430"/>
    </row>
    <row r="6" s="1" customFormat="true" ht="36" hidden="false" customHeight="true" outlineLevel="0" collapsed="false">
      <c r="A6" s="431" t="str">
        <f aca="false">Dados!A4</f>
        <v>Sindicato utilizado - SINTAPPI x SINSERHT. Vigência: 2025/2026. Sendo a data base da categoria 01° de Abril. Com número de registro no MTE MG001973/2025.</v>
      </c>
      <c r="B6" s="431"/>
      <c r="C6" s="431"/>
      <c r="D6" s="431"/>
      <c r="E6" s="431"/>
      <c r="F6" s="431"/>
      <c r="G6" s="431"/>
      <c r="H6" s="431"/>
      <c r="I6" s="431"/>
      <c r="J6" s="431"/>
    </row>
    <row r="7" customFormat="false" ht="19.5" hidden="false" customHeight="true" outlineLevel="0" collapsed="false">
      <c r="A7" s="432" t="str">
        <f aca="false">Dados!C10</f>
        <v>Auxiliar Administrativo ac. Mensageiro</v>
      </c>
      <c r="B7" s="432"/>
      <c r="C7" s="432"/>
      <c r="D7" s="432"/>
      <c r="E7" s="432"/>
      <c r="F7" s="433" t="s">
        <v>539</v>
      </c>
      <c r="G7" s="433" t="s">
        <v>540</v>
      </c>
      <c r="H7" s="433" t="s">
        <v>541</v>
      </c>
      <c r="I7" s="433" t="s">
        <v>542</v>
      </c>
      <c r="J7" s="433" t="s">
        <v>543</v>
      </c>
    </row>
    <row r="8" customFormat="false" ht="19.5" hidden="false" customHeight="true" outlineLevel="0" collapsed="false">
      <c r="A8" s="434" t="s">
        <v>576</v>
      </c>
      <c r="B8" s="434"/>
      <c r="C8" s="434"/>
      <c r="D8" s="434"/>
      <c r="E8" s="435" t="s">
        <v>485</v>
      </c>
      <c r="F8" s="433"/>
      <c r="G8" s="433"/>
      <c r="H8" s="433"/>
      <c r="I8" s="433"/>
      <c r="J8" s="433"/>
    </row>
    <row r="9" customFormat="false" ht="19.5" hidden="false" customHeight="true" outlineLevel="0" collapsed="false">
      <c r="A9" s="436" t="s">
        <v>545</v>
      </c>
      <c r="B9" s="436"/>
      <c r="C9" s="436"/>
      <c r="D9" s="436"/>
      <c r="E9" s="436"/>
      <c r="F9" s="436"/>
      <c r="G9" s="436"/>
      <c r="H9" s="436"/>
      <c r="I9" s="436"/>
      <c r="J9" s="436"/>
    </row>
    <row r="10" customFormat="false" ht="24" hidden="false" customHeight="true" outlineLevel="0" collapsed="false">
      <c r="A10" s="217" t="s">
        <v>486</v>
      </c>
      <c r="B10" s="437" t="s">
        <v>546</v>
      </c>
      <c r="C10" s="437"/>
      <c r="D10" s="284" t="s">
        <v>547</v>
      </c>
      <c r="E10" s="438" t="s">
        <v>548</v>
      </c>
      <c r="F10" s="439" t="s">
        <v>489</v>
      </c>
      <c r="G10" s="439"/>
      <c r="H10" s="439"/>
      <c r="I10" s="439"/>
      <c r="J10" s="439"/>
    </row>
    <row r="11" customFormat="false" ht="19.5" hidden="false" customHeight="true" outlineLevel="0" collapsed="false">
      <c r="A11" s="440" t="n">
        <v>1</v>
      </c>
      <c r="B11" s="283" t="str">
        <f aca="false">A7</f>
        <v>Auxiliar Administrativo ac. Mensageiro</v>
      </c>
      <c r="C11" s="283"/>
      <c r="D11" s="39" t="n">
        <f aca="false">Dados!$D$10</f>
        <v>200</v>
      </c>
      <c r="E11" s="441" t="n">
        <f aca="false">Dados!$E$10</f>
        <v>2048</v>
      </c>
      <c r="F11" s="442" t="n">
        <f aca="false">ROUND(E11/220*D11,2)</f>
        <v>1861.82</v>
      </c>
      <c r="G11" s="442" t="n">
        <f aca="false">F11</f>
        <v>1861.82</v>
      </c>
      <c r="H11" s="442"/>
      <c r="I11" s="442"/>
      <c r="J11" s="443"/>
    </row>
    <row r="12" customFormat="false" ht="19.5" hidden="false" customHeight="true" outlineLevel="0" collapsed="false">
      <c r="A12" s="440"/>
      <c r="B12" s="283" t="s">
        <v>549</v>
      </c>
      <c r="C12" s="283"/>
      <c r="D12" s="53" t="n">
        <f aca="false">Dados!G8</f>
        <v>0</v>
      </c>
      <c r="E12" s="441" t="n">
        <f aca="false">Dados!$G$27</f>
        <v>1518</v>
      </c>
      <c r="F12" s="442" t="n">
        <f aca="false">D12*E12</f>
        <v>0</v>
      </c>
      <c r="G12" s="442" t="n">
        <f aca="false">F12</f>
        <v>0</v>
      </c>
      <c r="H12" s="442"/>
      <c r="I12" s="442"/>
      <c r="J12" s="443" t="n">
        <f aca="false">F12</f>
        <v>0</v>
      </c>
    </row>
    <row r="13" customFormat="false" ht="21.75" hidden="false" customHeight="true" outlineLevel="0" collapsed="false">
      <c r="A13" s="440"/>
      <c r="B13" s="445" t="s">
        <v>550</v>
      </c>
      <c r="C13" s="446" t="n">
        <f aca="false">Dados!$I$10</f>
        <v>0.12</v>
      </c>
      <c r="D13" s="446" t="n">
        <f aca="false">Dados!$J$10</f>
        <v>0.25</v>
      </c>
      <c r="E13" s="447" t="n">
        <f aca="false">Dados!$K$10</f>
        <v>1861.82</v>
      </c>
      <c r="F13" s="448" t="n">
        <f aca="false">ROUND((E13*D13*C13),2)</f>
        <v>55.85</v>
      </c>
      <c r="G13" s="448" t="n">
        <f aca="false">F13</f>
        <v>55.85</v>
      </c>
      <c r="H13" s="448"/>
      <c r="I13" s="448"/>
      <c r="J13" s="449"/>
    </row>
    <row r="14" customFormat="false" ht="19.5" hidden="false" customHeight="true" outlineLevel="0" collapsed="false">
      <c r="A14" s="440"/>
      <c r="B14" s="450" t="s">
        <v>551</v>
      </c>
      <c r="C14" s="450"/>
      <c r="D14" s="450"/>
      <c r="E14" s="450"/>
      <c r="F14" s="451" t="n">
        <f aca="false">SUM(F11:F13)</f>
        <v>1917.67</v>
      </c>
      <c r="G14" s="451" t="n">
        <f aca="false">SUM(G11:G13)</f>
        <v>1917.67</v>
      </c>
      <c r="H14" s="451" t="n">
        <f aca="false">SUM(H11:H13)</f>
        <v>0</v>
      </c>
      <c r="I14" s="451" t="n">
        <f aca="false">SUM(I11:I13)</f>
        <v>0</v>
      </c>
      <c r="J14" s="452" t="n">
        <f aca="false">SUM(J11:J13)</f>
        <v>0</v>
      </c>
    </row>
    <row r="15" customFormat="false" ht="19.5" hidden="false" customHeight="true" outlineLevel="0" collapsed="false">
      <c r="A15" s="440"/>
      <c r="B15" s="453" t="s">
        <v>552</v>
      </c>
      <c r="C15" s="453"/>
      <c r="D15" s="453"/>
      <c r="E15" s="454" t="n">
        <f aca="false">Encargos!$C$57</f>
        <v>0.764</v>
      </c>
      <c r="F15" s="442" t="n">
        <f aca="false">ROUND((E15*F14),2)</f>
        <v>1465.1</v>
      </c>
      <c r="G15" s="442" t="n">
        <f aca="false">F15</f>
        <v>1465.1</v>
      </c>
      <c r="H15" s="442"/>
      <c r="I15" s="442"/>
      <c r="J15" s="443" t="n">
        <f aca="false">ROUND((E15*J14),2)</f>
        <v>0</v>
      </c>
    </row>
    <row r="16" customFormat="false" ht="19.5" hidden="false" customHeight="true" outlineLevel="0" collapsed="false">
      <c r="A16" s="455" t="s">
        <v>553</v>
      </c>
      <c r="B16" s="455"/>
      <c r="C16" s="455"/>
      <c r="D16" s="455"/>
      <c r="E16" s="455"/>
      <c r="F16" s="456" t="n">
        <f aca="false">SUM(F14:F15)</f>
        <v>3382.77</v>
      </c>
      <c r="G16" s="456" t="n">
        <f aca="false">SUM(G14:G15)</f>
        <v>3382.77</v>
      </c>
      <c r="H16" s="456" t="n">
        <f aca="false">SUM(H14:H15)</f>
        <v>0</v>
      </c>
      <c r="I16" s="456" t="n">
        <f aca="false">SUM(I14:I15)</f>
        <v>0</v>
      </c>
      <c r="J16" s="457" t="n">
        <f aca="false">SUM(J14:J15)</f>
        <v>0</v>
      </c>
    </row>
    <row r="17" customFormat="false" ht="19.5" hidden="false" customHeight="true" outlineLevel="0" collapsed="false">
      <c r="A17" s="458" t="s">
        <v>554</v>
      </c>
      <c r="B17" s="458"/>
      <c r="C17" s="458"/>
      <c r="D17" s="458"/>
      <c r="E17" s="458"/>
      <c r="F17" s="458"/>
      <c r="G17" s="458"/>
      <c r="H17" s="458"/>
      <c r="I17" s="458"/>
      <c r="J17" s="458"/>
    </row>
    <row r="18" customFormat="false" ht="19.5" hidden="false" customHeight="true" outlineLevel="0" collapsed="false">
      <c r="A18" s="282" t="s">
        <v>555</v>
      </c>
      <c r="B18" s="282"/>
      <c r="C18" s="50" t="s">
        <v>488</v>
      </c>
      <c r="D18" s="459" t="s">
        <v>575</v>
      </c>
      <c r="E18" s="459"/>
      <c r="F18" s="443" t="s">
        <v>489</v>
      </c>
      <c r="G18" s="443"/>
      <c r="H18" s="443"/>
      <c r="I18" s="443"/>
      <c r="J18" s="443"/>
    </row>
    <row r="19" customFormat="false" ht="19.5" hidden="false" customHeight="true" outlineLevel="0" collapsed="false">
      <c r="A19" s="460" t="s">
        <v>557</v>
      </c>
      <c r="B19" s="460"/>
      <c r="C19" s="289"/>
      <c r="D19" s="289"/>
      <c r="E19" s="289"/>
      <c r="F19" s="442" t="n">
        <f aca="false">Dados!$N$10</f>
        <v>45.84</v>
      </c>
      <c r="G19" s="442" t="n">
        <f aca="false">F19</f>
        <v>45.84</v>
      </c>
      <c r="H19" s="442"/>
      <c r="I19" s="442"/>
      <c r="J19" s="443"/>
    </row>
    <row r="20" customFormat="false" ht="19.5" hidden="false" customHeight="true" outlineLevel="0" collapsed="false">
      <c r="A20" s="460" t="s">
        <v>558</v>
      </c>
      <c r="B20" s="460"/>
      <c r="C20" s="289"/>
      <c r="D20" s="289"/>
      <c r="E20" s="289"/>
      <c r="F20" s="442" t="n">
        <f aca="false">Dados!$G$30</f>
        <v>5.27</v>
      </c>
      <c r="G20" s="442" t="n">
        <f aca="false">F20</f>
        <v>5.27</v>
      </c>
      <c r="H20" s="442"/>
      <c r="I20" s="442"/>
      <c r="J20" s="443"/>
    </row>
    <row r="21" customFormat="false" ht="23.25" hidden="false" customHeight="true" outlineLevel="0" collapsed="false">
      <c r="A21" s="461" t="s">
        <v>230</v>
      </c>
      <c r="B21" s="461"/>
      <c r="C21" s="289"/>
      <c r="D21" s="289"/>
      <c r="E21" s="289"/>
      <c r="F21" s="442" t="n">
        <f aca="false">Dados!G31</f>
        <v>0</v>
      </c>
      <c r="G21" s="442" t="n">
        <f aca="false">F21</f>
        <v>0</v>
      </c>
      <c r="H21" s="442"/>
      <c r="I21" s="442"/>
      <c r="J21" s="443"/>
    </row>
    <row r="22" customFormat="false" ht="19.5" hidden="false" customHeight="true" outlineLevel="0" collapsed="false">
      <c r="A22" s="460" t="s">
        <v>231</v>
      </c>
      <c r="B22" s="460"/>
      <c r="C22" s="462" t="n">
        <f aca="false">Dados!$G$34</f>
        <v>22</v>
      </c>
      <c r="D22" s="462" t="n">
        <f aca="false">Dados!$G$33</f>
        <v>2</v>
      </c>
      <c r="E22" s="289" t="n">
        <f aca="false">Dados!$G$32</f>
        <v>5</v>
      </c>
      <c r="F22" s="442" t="n">
        <f aca="false">IF(ROUND((E22*D22*C22)-(F11*Dados!$G$35),2)&lt;0,0,ROUND((E22*D22*C22)-(F11*Dados!$G$35),2))</f>
        <v>108.29</v>
      </c>
      <c r="G22" s="442" t="n">
        <f aca="false">F22</f>
        <v>108.29</v>
      </c>
      <c r="H22" s="442"/>
      <c r="I22" s="442" t="n">
        <f aca="false">F22</f>
        <v>108.29</v>
      </c>
      <c r="J22" s="443"/>
    </row>
    <row r="23" customFormat="false" ht="19.5" hidden="false" customHeight="true" outlineLevel="0" collapsed="false">
      <c r="A23" s="460" t="s">
        <v>240</v>
      </c>
      <c r="B23" s="460"/>
      <c r="C23" s="462" t="n">
        <f aca="false">Dados!G37</f>
        <v>22</v>
      </c>
      <c r="D23" s="463" t="n">
        <f aca="false">Dados!G38</f>
        <v>0.2</v>
      </c>
      <c r="E23" s="289" t="n">
        <f aca="false">Dados!$G$36</f>
        <v>29</v>
      </c>
      <c r="F23" s="329" t="n">
        <f aca="false">ROUND((IF(D11&gt;150,((C23*E23)-(C23*(D23*E23))),0)),2)</f>
        <v>510.4</v>
      </c>
      <c r="G23" s="442" t="n">
        <f aca="false">F23</f>
        <v>510.4</v>
      </c>
      <c r="H23" s="442" t="n">
        <f aca="false">$F$23</f>
        <v>510.4</v>
      </c>
      <c r="I23" s="329"/>
      <c r="J23" s="443"/>
    </row>
    <row r="24" customFormat="false" ht="19.5" hidden="false" customHeight="true" outlineLevel="0" collapsed="false">
      <c r="A24" s="460" t="s">
        <v>243</v>
      </c>
      <c r="B24" s="460"/>
      <c r="C24" s="462"/>
      <c r="D24" s="462"/>
      <c r="E24" s="289"/>
      <c r="F24" s="329" t="n">
        <f aca="false">Dados!$G$39</f>
        <v>0</v>
      </c>
      <c r="G24" s="442"/>
      <c r="H24" s="442"/>
      <c r="I24" s="329"/>
      <c r="J24" s="443"/>
    </row>
    <row r="25" customFormat="false" ht="19.5" hidden="false" customHeight="true" outlineLevel="0" collapsed="false">
      <c r="A25" s="460" t="s">
        <v>243</v>
      </c>
      <c r="B25" s="460"/>
      <c r="C25" s="462"/>
      <c r="D25" s="462"/>
      <c r="E25" s="289"/>
      <c r="F25" s="329" t="n">
        <f aca="false">Dados!$G$40</f>
        <v>0</v>
      </c>
      <c r="G25" s="442"/>
      <c r="H25" s="442"/>
      <c r="I25" s="329"/>
      <c r="J25" s="443"/>
    </row>
    <row r="26" customFormat="false" ht="19.5" hidden="false" customHeight="true" outlineLevel="0" collapsed="false">
      <c r="A26" s="460" t="s">
        <v>559</v>
      </c>
      <c r="B26" s="460"/>
      <c r="C26" s="462"/>
      <c r="D26" s="289"/>
      <c r="E26" s="289"/>
      <c r="F26" s="442"/>
      <c r="G26" s="442"/>
      <c r="H26" s="442"/>
      <c r="I26" s="442"/>
      <c r="J26" s="443"/>
      <c r="L26" s="74"/>
    </row>
    <row r="27" customFormat="false" ht="19.5" hidden="false" customHeight="true" outlineLevel="0" collapsed="false">
      <c r="A27" s="460" t="s">
        <v>560</v>
      </c>
      <c r="B27" s="464"/>
      <c r="C27" s="462"/>
      <c r="D27" s="289"/>
      <c r="E27" s="289"/>
      <c r="F27" s="442"/>
      <c r="G27" s="442"/>
      <c r="H27" s="442"/>
      <c r="I27" s="442"/>
      <c r="J27" s="443"/>
    </row>
    <row r="28" customFormat="false" ht="19.5" hidden="false" customHeight="true" outlineLevel="0" collapsed="false">
      <c r="A28" s="465" t="s">
        <v>561</v>
      </c>
      <c r="B28" s="465"/>
      <c r="C28" s="466"/>
      <c r="D28" s="467"/>
      <c r="E28" s="467"/>
      <c r="F28" s="448"/>
      <c r="G28" s="448"/>
      <c r="H28" s="448"/>
      <c r="I28" s="448"/>
      <c r="J28" s="449"/>
    </row>
    <row r="29" customFormat="false" ht="19.5" hidden="false" customHeight="true" outlineLevel="0" collapsed="false">
      <c r="A29" s="468" t="s">
        <v>562</v>
      </c>
      <c r="B29" s="468"/>
      <c r="C29" s="468"/>
      <c r="D29" s="468"/>
      <c r="E29" s="468"/>
      <c r="F29" s="456" t="n">
        <f aca="false">SUM(F19:F28)</f>
        <v>669.8</v>
      </c>
      <c r="G29" s="456" t="n">
        <f aca="false">SUM(G19:G28)</f>
        <v>669.8</v>
      </c>
      <c r="H29" s="456" t="n">
        <f aca="false">SUM(H19:H28)</f>
        <v>510.4</v>
      </c>
      <c r="I29" s="456" t="n">
        <f aca="false">SUM(I19:I28)</f>
        <v>108.29</v>
      </c>
      <c r="J29" s="457" t="n">
        <f aca="false">SUM(J19:J28)</f>
        <v>0</v>
      </c>
    </row>
    <row r="30" customFormat="false" ht="19.5" hidden="false" customHeight="true" outlineLevel="0" collapsed="false">
      <c r="A30" s="468" t="s">
        <v>563</v>
      </c>
      <c r="B30" s="468"/>
      <c r="C30" s="468"/>
      <c r="D30" s="468"/>
      <c r="E30" s="468"/>
      <c r="F30" s="456" t="n">
        <f aca="false">F16+F29</f>
        <v>4052.57</v>
      </c>
      <c r="G30" s="456" t="n">
        <f aca="false">G16+G29</f>
        <v>4052.57</v>
      </c>
      <c r="H30" s="456" t="n">
        <f aca="false">H16+H29</f>
        <v>510.4</v>
      </c>
      <c r="I30" s="456" t="n">
        <f aca="false">I16+I29</f>
        <v>108.29</v>
      </c>
      <c r="J30" s="457" t="n">
        <f aca="false">J16+J29</f>
        <v>0</v>
      </c>
    </row>
    <row r="31" customFormat="false" ht="19.5" hidden="false" customHeight="true" outlineLevel="0" collapsed="false">
      <c r="A31" s="436" t="s">
        <v>564</v>
      </c>
      <c r="B31" s="436"/>
      <c r="C31" s="436"/>
      <c r="D31" s="436"/>
      <c r="E31" s="436"/>
      <c r="F31" s="436"/>
      <c r="G31" s="436"/>
      <c r="H31" s="436"/>
      <c r="I31" s="436"/>
      <c r="J31" s="436"/>
    </row>
    <row r="32" customFormat="false" ht="19.5" hidden="false" customHeight="true" outlineLevel="0" collapsed="false">
      <c r="A32" s="282" t="s">
        <v>565</v>
      </c>
      <c r="B32" s="282"/>
      <c r="C32" s="282"/>
      <c r="D32" s="292" t="s">
        <v>566</v>
      </c>
      <c r="E32" s="469" t="s">
        <v>489</v>
      </c>
      <c r="F32" s="469"/>
      <c r="G32" s="469"/>
      <c r="H32" s="469"/>
      <c r="I32" s="469"/>
      <c r="J32" s="469"/>
    </row>
    <row r="33" customFormat="false" ht="19.5" hidden="false" customHeight="true" outlineLevel="0" collapsed="false">
      <c r="A33" s="470" t="s">
        <v>567</v>
      </c>
      <c r="B33" s="471"/>
      <c r="C33" s="471"/>
      <c r="D33" s="444" t="n">
        <f aca="false">Dados!$G$43</f>
        <v>0.03</v>
      </c>
      <c r="E33" s="472"/>
      <c r="F33" s="442" t="n">
        <f aca="false">ROUND((F30*$D$33),2)</f>
        <v>121.58</v>
      </c>
      <c r="G33" s="442" t="n">
        <f aca="false">ROUND((G30*$D$33),2)</f>
        <v>121.58</v>
      </c>
      <c r="H33" s="442" t="n">
        <f aca="false">ROUND((H30*$D$33),2)</f>
        <v>15.31</v>
      </c>
      <c r="I33" s="442" t="n">
        <f aca="false">ROUND((I30*$D$33),2)</f>
        <v>3.25</v>
      </c>
      <c r="J33" s="443" t="n">
        <f aca="false">ROUND((J30*$D$33),2)</f>
        <v>0</v>
      </c>
    </row>
    <row r="34" customFormat="false" ht="19.5" hidden="false" customHeight="true" outlineLevel="0" collapsed="false">
      <c r="A34" s="473" t="s">
        <v>568</v>
      </c>
      <c r="B34" s="473"/>
      <c r="C34" s="473"/>
      <c r="D34" s="444"/>
      <c r="E34" s="472"/>
      <c r="F34" s="442" t="n">
        <f aca="false">F30+F33</f>
        <v>4174.15</v>
      </c>
      <c r="G34" s="442" t="n">
        <f aca="false">G30+G33</f>
        <v>4174.15</v>
      </c>
      <c r="H34" s="442" t="n">
        <f aca="false">H30+H33</f>
        <v>525.71</v>
      </c>
      <c r="I34" s="442" t="n">
        <f aca="false">I30+I33</f>
        <v>111.54</v>
      </c>
      <c r="J34" s="443" t="n">
        <f aca="false">J30+J33</f>
        <v>0</v>
      </c>
    </row>
    <row r="35" customFormat="false" ht="19.5" hidden="false" customHeight="true" outlineLevel="0" collapsed="false">
      <c r="A35" s="474" t="s">
        <v>248</v>
      </c>
      <c r="B35" s="475"/>
      <c r="C35" s="475"/>
      <c r="D35" s="446" t="n">
        <f aca="false">Dados!$G$44</f>
        <v>0.0679</v>
      </c>
      <c r="E35" s="476"/>
      <c r="F35" s="448" t="n">
        <f aca="false">ROUND((F34*$D$35),2)</f>
        <v>283.42</v>
      </c>
      <c r="G35" s="448" t="n">
        <f aca="false">ROUND((G34*$D$35),2)</f>
        <v>283.42</v>
      </c>
      <c r="H35" s="448" t="n">
        <f aca="false">ROUND((H34*$D$35),2)</f>
        <v>35.7</v>
      </c>
      <c r="I35" s="448" t="n">
        <f aca="false">ROUND((I34*$D$35),2)</f>
        <v>7.57</v>
      </c>
      <c r="J35" s="449" t="n">
        <f aca="false">ROUND((J34*$D$35),2)</f>
        <v>0</v>
      </c>
    </row>
    <row r="36" customFormat="false" ht="19.5" hidden="false" customHeight="true" outlineLevel="0" collapsed="false">
      <c r="A36" s="477" t="s">
        <v>569</v>
      </c>
      <c r="B36" s="478"/>
      <c r="C36" s="478"/>
      <c r="D36" s="479" t="n">
        <f aca="false">SUM(D33:D35)</f>
        <v>0.0979</v>
      </c>
      <c r="E36" s="480"/>
      <c r="F36" s="456" t="n">
        <f aca="false">F33+F35</f>
        <v>405</v>
      </c>
      <c r="G36" s="456" t="n">
        <f aca="false">G33+G35</f>
        <v>405</v>
      </c>
      <c r="H36" s="456" t="n">
        <f aca="false">H33+H35</f>
        <v>51.01</v>
      </c>
      <c r="I36" s="456" t="n">
        <f aca="false">I33+I35</f>
        <v>10.82</v>
      </c>
      <c r="J36" s="457" t="n">
        <f aca="false">J33+J35</f>
        <v>0</v>
      </c>
    </row>
    <row r="37" customFormat="false" ht="19.5" hidden="false" customHeight="true" outlineLevel="0" collapsed="false">
      <c r="A37" s="481" t="s">
        <v>570</v>
      </c>
      <c r="B37" s="481"/>
      <c r="C37" s="481"/>
      <c r="D37" s="481"/>
      <c r="E37" s="481"/>
      <c r="F37" s="482" t="n">
        <f aca="false">F30+F36</f>
        <v>4457.57</v>
      </c>
      <c r="G37" s="482" t="n">
        <f aca="false">G30+G36</f>
        <v>4457.57</v>
      </c>
      <c r="H37" s="482" t="n">
        <f aca="false">H30+H36</f>
        <v>561.41</v>
      </c>
      <c r="I37" s="482" t="n">
        <f aca="false">I30+I36</f>
        <v>119.11</v>
      </c>
      <c r="J37" s="483" t="n">
        <f aca="false">J30+J36</f>
        <v>0</v>
      </c>
    </row>
    <row r="38" customFormat="false" ht="19.5" hidden="false" customHeight="true" outlineLevel="0" collapsed="false">
      <c r="A38" s="484" t="s">
        <v>571</v>
      </c>
      <c r="B38" s="484"/>
      <c r="C38" s="484"/>
      <c r="D38" s="484"/>
      <c r="E38" s="484"/>
      <c r="F38" s="484"/>
      <c r="G38" s="484"/>
      <c r="H38" s="484"/>
      <c r="I38" s="484"/>
      <c r="J38" s="484"/>
    </row>
    <row r="39" customFormat="false" ht="19.5" hidden="false" customHeight="true" outlineLevel="0" collapsed="false">
      <c r="A39" s="460" t="s">
        <v>254</v>
      </c>
      <c r="B39" s="460"/>
      <c r="C39" s="460"/>
      <c r="D39" s="444" t="n">
        <f aca="false">Dados!G51</f>
        <v>0.076</v>
      </c>
      <c r="E39" s="442"/>
      <c r="F39" s="442" t="n">
        <f aca="false">ROUND(($F$45*D39),2)</f>
        <v>395.07</v>
      </c>
      <c r="G39" s="442" t="n">
        <f aca="false">ROUND((G45*$D$39),2)</f>
        <v>395.07</v>
      </c>
      <c r="H39" s="442" t="n">
        <f aca="false">ROUND((H45*$D$39),2)</f>
        <v>49.76</v>
      </c>
      <c r="I39" s="442" t="n">
        <f aca="false">ROUND((I45*$D$39),2)</f>
        <v>10.56</v>
      </c>
      <c r="J39" s="443" t="n">
        <f aca="false">ROUND((J45*$D$39),2)</f>
        <v>0</v>
      </c>
    </row>
    <row r="40" customFormat="false" ht="19.5" hidden="false" customHeight="true" outlineLevel="0" collapsed="false">
      <c r="A40" s="460" t="s">
        <v>256</v>
      </c>
      <c r="B40" s="460"/>
      <c r="C40" s="460"/>
      <c r="D40" s="444" t="n">
        <f aca="false">Dados!G52</f>
        <v>0.0165</v>
      </c>
      <c r="E40" s="442"/>
      <c r="F40" s="442" t="n">
        <f aca="false">ROUND((F45*$D$40),2)</f>
        <v>85.77</v>
      </c>
      <c r="G40" s="442" t="n">
        <f aca="false">ROUND((G45*$D$40),2)</f>
        <v>85.77</v>
      </c>
      <c r="H40" s="442" t="n">
        <f aca="false">ROUND((H45*$D$40),2)</f>
        <v>10.8</v>
      </c>
      <c r="I40" s="442" t="n">
        <f aca="false">ROUND((I45*$D$40),2)</f>
        <v>2.29</v>
      </c>
      <c r="J40" s="443" t="n">
        <f aca="false">ROUND((J45*$D$40),2)</f>
        <v>0</v>
      </c>
    </row>
    <row r="41" customFormat="false" ht="19.5" hidden="false" customHeight="true" outlineLevel="0" collapsed="false">
      <c r="A41" s="460" t="str">
        <f aca="false">Dados!B53</f>
        <v>ISSQN - Limpeza e Conservação</v>
      </c>
      <c r="B41" s="460"/>
      <c r="C41" s="460"/>
      <c r="D41" s="444" t="n">
        <v>0</v>
      </c>
      <c r="E41" s="442"/>
      <c r="F41" s="442" t="n">
        <f aca="false">ROUND((F45*$D$41),2)</f>
        <v>0</v>
      </c>
      <c r="G41" s="442" t="n">
        <f aca="false">ROUND((G45*$D$41),2)</f>
        <v>0</v>
      </c>
      <c r="H41" s="442" t="n">
        <f aca="false">ROUND((H45*$D$41),2)</f>
        <v>0</v>
      </c>
      <c r="I41" s="442" t="n">
        <f aca="false">ROUND((I45*$D$41),2)</f>
        <v>0</v>
      </c>
      <c r="J41" s="443" t="n">
        <f aca="false">ROUND((J45*$D$41),2)</f>
        <v>0</v>
      </c>
    </row>
    <row r="42" customFormat="false" ht="19.5" hidden="false" customHeight="true" outlineLevel="0" collapsed="false">
      <c r="A42" s="460" t="str">
        <f aca="false">Dados!B54</f>
        <v>ISSQN - Serviços Administrativos</v>
      </c>
      <c r="B42" s="460"/>
      <c r="C42" s="460"/>
      <c r="D42" s="444" t="n">
        <f aca="false">Dados!G54</f>
        <v>0.05</v>
      </c>
      <c r="E42" s="442"/>
      <c r="F42" s="442" t="n">
        <f aca="false">ROUND((F45*$D$42),2)</f>
        <v>259.92</v>
      </c>
      <c r="G42" s="442" t="n">
        <f aca="false">ROUND((G45*$D$42),2)</f>
        <v>259.92</v>
      </c>
      <c r="H42" s="442" t="n">
        <f aca="false">ROUND((H45*$D$42),2)</f>
        <v>32.74</v>
      </c>
      <c r="I42" s="442" t="n">
        <f aca="false">ROUND((I45*$D$42),2)</f>
        <v>6.95</v>
      </c>
      <c r="J42" s="443" t="n">
        <f aca="false">ROUND((J45*$D$42),2)</f>
        <v>0</v>
      </c>
    </row>
    <row r="43" customFormat="false" ht="19.5" hidden="false" customHeight="true" outlineLevel="0" collapsed="false">
      <c r="A43" s="485" t="s">
        <v>572</v>
      </c>
      <c r="B43" s="485"/>
      <c r="C43" s="485"/>
      <c r="D43" s="486" t="n">
        <f aca="false">SUM(D39:D42)</f>
        <v>0.1425</v>
      </c>
      <c r="E43" s="487"/>
      <c r="F43" s="488" t="n">
        <f aca="false">SUM(F39:F42)</f>
        <v>740.76</v>
      </c>
      <c r="G43" s="488" t="n">
        <f aca="false">SUM(G39:G42)</f>
        <v>740.76</v>
      </c>
      <c r="H43" s="488" t="n">
        <f aca="false">SUM(H39:H42)</f>
        <v>93.3</v>
      </c>
      <c r="I43" s="488" t="n">
        <f aca="false">SUM(I39:I42)</f>
        <v>19.8</v>
      </c>
      <c r="J43" s="489" t="n">
        <f aca="false">SUM(J39:J41)</f>
        <v>0</v>
      </c>
    </row>
    <row r="44" customFormat="false" ht="19.5" hidden="false" customHeight="true" outlineLevel="0" collapsed="false">
      <c r="A44" s="490" t="str">
        <f aca="false">CONCATENATE("Custo Mensal - ",A7)</f>
        <v>Custo Mensal - Auxiliar Administrativo ac. Mensageiro</v>
      </c>
      <c r="B44" s="490"/>
      <c r="C44" s="490"/>
      <c r="D44" s="490"/>
      <c r="E44" s="490"/>
      <c r="F44" s="491" t="n">
        <f aca="false">ROUND(F37/(1-D43),2)</f>
        <v>5198.33</v>
      </c>
      <c r="G44" s="491" t="n">
        <f aca="false">ROUND(G37/(1-D43),2)</f>
        <v>5198.33</v>
      </c>
      <c r="H44" s="491" t="n">
        <f aca="false">ROUND(H37/(1-D43),2)</f>
        <v>654.71</v>
      </c>
      <c r="I44" s="491" t="n">
        <f aca="false">ROUND(I37/(1-D43),2)</f>
        <v>138.9</v>
      </c>
      <c r="J44" s="492" t="n">
        <f aca="false">ROUND(J37/(1-D43),2)</f>
        <v>0</v>
      </c>
    </row>
    <row r="45" customFormat="false" ht="19.5" hidden="false" customHeight="true" outlineLevel="0" collapsed="false">
      <c r="A45" s="490" t="str">
        <f aca="false">CONCATENATE("Valor do Custo Mensal - ",A7)</f>
        <v>Valor do Custo Mensal - Auxiliar Administrativo ac. Mensageiro</v>
      </c>
      <c r="B45" s="490"/>
      <c r="C45" s="490"/>
      <c r="D45" s="490"/>
      <c r="E45" s="490"/>
      <c r="F45" s="491" t="n">
        <f aca="false">F44</f>
        <v>5198.33</v>
      </c>
      <c r="G45" s="491" t="n">
        <f aca="false">G44</f>
        <v>5198.33</v>
      </c>
      <c r="H45" s="491" t="n">
        <f aca="false">H44</f>
        <v>654.71</v>
      </c>
      <c r="I45" s="491" t="n">
        <f aca="false">I44</f>
        <v>138.9</v>
      </c>
      <c r="J45" s="492" t="n">
        <f aca="false">J44</f>
        <v>0</v>
      </c>
      <c r="K45" s="493"/>
      <c r="L45" s="493"/>
    </row>
    <row r="46" customFormat="false" ht="27.75" hidden="false" customHeight="true" outlineLevel="0" collapsed="false">
      <c r="A46" s="494" t="s">
        <v>573</v>
      </c>
      <c r="B46" s="494"/>
      <c r="C46" s="494"/>
      <c r="D46" s="494"/>
      <c r="E46" s="494"/>
      <c r="F46" s="495" t="n">
        <f aca="false">(F45/F14)</f>
        <v>2.71075315356657</v>
      </c>
      <c r="G46" s="495" t="n">
        <f aca="false">(G45/G14)</f>
        <v>2.71075315356657</v>
      </c>
      <c r="H46" s="496" t="s">
        <v>574</v>
      </c>
      <c r="I46" s="496"/>
      <c r="J46" s="497" t="n">
        <v>0</v>
      </c>
    </row>
    <row r="47" customFormat="false" ht="19.5" hidden="false" customHeight="true" outlineLevel="0" collapsed="false"/>
  </sheetData>
  <sheetProtection algorithmName="SHA-512" hashValue="ryCBP8ssh/qtOXai9nX2irWyl2PIYHrUc2iMK3CGX2EtF8+Zq+95vlJAWimv+1ON1waL/F6I7H3ai8Id+MaevA==" saltValue="F+ouHWrfDUa8oiquX1uZZw==" spinCount="100000" sheet="true"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23"/>
  <sheetViews>
    <sheetView showFormulas="false" showGridLines="false" showRowColHeaders="true" showZeros="true" rightToLeft="false" tabSelected="false" showOutlineSymbols="true" defaultGridColor="true" view="pageBreakPreview" topLeftCell="A1" colorId="64" zoomScale="120" zoomScaleNormal="100" zoomScalePageLayoutView="120" workbookViewId="0">
      <selection pane="topLeft" activeCell="W16" activeCellId="0" sqref="W16"/>
    </sheetView>
  </sheetViews>
  <sheetFormatPr defaultColWidth="8.71484375" defaultRowHeight="15" zeroHeight="false" outlineLevelRow="0" outlineLevelCol="0"/>
  <cols>
    <col collapsed="false" customWidth="true" hidden="false" outlineLevel="0" max="1" min="1" style="1" width="12"/>
    <col collapsed="false" customWidth="true" hidden="false" outlineLevel="0" max="2" min="2" style="1" width="44.42"/>
    <col collapsed="false" customWidth="true" hidden="false" outlineLevel="0" max="3" min="3" style="1" width="7.16"/>
    <col collapsed="false" customWidth="true" hidden="false" outlineLevel="0" max="4" min="4" style="1" width="6.71"/>
    <col collapsed="false" customWidth="true" hidden="false" outlineLevel="0" max="5" min="5" style="1" width="10.14"/>
    <col collapsed="false" customWidth="true" hidden="false" outlineLevel="0" max="6" min="6" style="1" width="12.57"/>
    <col collapsed="false" customWidth="true" hidden="false" outlineLevel="0" max="7" min="7" style="1" width="12.29"/>
    <col collapsed="false" customWidth="true" hidden="false" outlineLevel="0" max="8" min="8" style="1" width="13.42"/>
    <col collapsed="false" customWidth="true" hidden="false" outlineLevel="0" max="9" min="9" style="1" width="11.85"/>
    <col collapsed="false" customWidth="true" hidden="false" outlineLevel="0" max="10" min="10" style="1" width="13.71"/>
    <col collapsed="false" customWidth="true" hidden="false" outlineLevel="0" max="11" min="11" style="1" width="11.29"/>
    <col collapsed="false" customWidth="true" hidden="false" outlineLevel="0" max="12" min="12" style="1" width="15.57"/>
    <col collapsed="false" customWidth="true" hidden="false" outlineLevel="0" max="13" min="13" style="1" width="12.29"/>
    <col collapsed="false" customWidth="true" hidden="false" outlineLevel="0" max="14" min="14" style="1" width="7.42"/>
    <col collapsed="false" customWidth="true" hidden="false" outlineLevel="0" max="15" min="15" style="1" width="13.29"/>
    <col collapsed="false" customWidth="true" hidden="false" outlineLevel="0" max="16" min="16" style="1" width="12"/>
    <col collapsed="false" customWidth="true" hidden="false" outlineLevel="0" max="17" min="17" style="1" width="9.57"/>
    <col collapsed="false" customWidth="true" hidden="false" outlineLevel="0" max="18" min="18" style="1" width="11.29"/>
    <col collapsed="false" customWidth="true" hidden="false" outlineLevel="0" max="19" min="19" style="1" width="16.14"/>
    <col collapsed="false" customWidth="true" hidden="false" outlineLevel="0" max="20" min="20" style="1" width="12.15"/>
    <col collapsed="false" customWidth="true" hidden="false" outlineLevel="0" max="22" min="21" style="1" width="10.14"/>
    <col collapsed="false" customWidth="true" hidden="false" outlineLevel="0" max="23" min="23" style="1" width="16.43"/>
    <col collapsed="false" customWidth="true" hidden="false" outlineLevel="0" max="259" min="24" style="1" width="9.14"/>
    <col collapsed="false" customWidth="true" hidden="false" outlineLevel="0" max="260" min="260" style="1" width="13.15"/>
    <col collapsed="false" customWidth="true" hidden="false" outlineLevel="0" max="261" min="261" style="1" width="38.42"/>
    <col collapsed="false" customWidth="true" hidden="false" outlineLevel="0" max="262" min="262" style="1" width="7.16"/>
    <col collapsed="false" customWidth="true" hidden="false" outlineLevel="0" max="263" min="263" style="1" width="6.71"/>
    <col collapsed="false" customWidth="true" hidden="false" outlineLevel="0" max="264" min="264" style="1" width="10.14"/>
    <col collapsed="false" customWidth="true" hidden="false" outlineLevel="0" max="265" min="265" style="1" width="12.57"/>
    <col collapsed="false" customWidth="true" hidden="false" outlineLevel="0" max="266" min="266" style="1" width="12.29"/>
    <col collapsed="false" customWidth="true" hidden="false" outlineLevel="0" max="267" min="267" style="1" width="13.42"/>
    <col collapsed="false" customWidth="true" hidden="false" outlineLevel="0" max="268" min="268" style="1" width="12.15"/>
    <col collapsed="false" customWidth="true" hidden="false" outlineLevel="0" max="269" min="269" style="1" width="13.71"/>
    <col collapsed="false" customWidth="true" hidden="false" outlineLevel="0" max="270" min="270" style="1" width="11.29"/>
    <col collapsed="false" customWidth="true" hidden="false" outlineLevel="0" max="271" min="271" style="1" width="15.57"/>
    <col collapsed="false" customWidth="true" hidden="false" outlineLevel="0" max="272" min="272" style="1" width="12.29"/>
    <col collapsed="false" customWidth="true" hidden="false" outlineLevel="0" max="273" min="273" style="1" width="7.42"/>
    <col collapsed="false" customWidth="true" hidden="false" outlineLevel="0" max="274" min="274" style="1" width="13.29"/>
    <col collapsed="false" customWidth="true" hidden="false" outlineLevel="0" max="275" min="275" style="1" width="14"/>
    <col collapsed="false" customWidth="true" hidden="false" outlineLevel="0" max="276" min="276" style="1" width="12.15"/>
    <col collapsed="false" customWidth="true" hidden="false" outlineLevel="0" max="278" min="277" style="1" width="10.14"/>
    <col collapsed="false" customWidth="true" hidden="false" outlineLevel="0" max="279" min="279" style="1" width="16.43"/>
    <col collapsed="false" customWidth="true" hidden="false" outlineLevel="0" max="515" min="280" style="1" width="9.14"/>
    <col collapsed="false" customWidth="true" hidden="false" outlineLevel="0" max="516" min="516" style="1" width="13.15"/>
    <col collapsed="false" customWidth="true" hidden="false" outlineLevel="0" max="517" min="517" style="1" width="38.42"/>
    <col collapsed="false" customWidth="true" hidden="false" outlineLevel="0" max="518" min="518" style="1" width="7.16"/>
    <col collapsed="false" customWidth="true" hidden="false" outlineLevel="0" max="519" min="519" style="1" width="6.71"/>
    <col collapsed="false" customWidth="true" hidden="false" outlineLevel="0" max="520" min="520" style="1" width="10.14"/>
    <col collapsed="false" customWidth="true" hidden="false" outlineLevel="0" max="521" min="521" style="1" width="12.57"/>
    <col collapsed="false" customWidth="true" hidden="false" outlineLevel="0" max="522" min="522" style="1" width="12.29"/>
    <col collapsed="false" customWidth="true" hidden="false" outlineLevel="0" max="523" min="523" style="1" width="13.42"/>
    <col collapsed="false" customWidth="true" hidden="false" outlineLevel="0" max="524" min="524" style="1" width="12.15"/>
    <col collapsed="false" customWidth="true" hidden="false" outlineLevel="0" max="525" min="525" style="1" width="13.71"/>
    <col collapsed="false" customWidth="true" hidden="false" outlineLevel="0" max="526" min="526" style="1" width="11.29"/>
    <col collapsed="false" customWidth="true" hidden="false" outlineLevel="0" max="527" min="527" style="1" width="15.57"/>
    <col collapsed="false" customWidth="true" hidden="false" outlineLevel="0" max="528" min="528" style="1" width="12.29"/>
    <col collapsed="false" customWidth="true" hidden="false" outlineLevel="0" max="529" min="529" style="1" width="7.42"/>
    <col collapsed="false" customWidth="true" hidden="false" outlineLevel="0" max="530" min="530" style="1" width="13.29"/>
    <col collapsed="false" customWidth="true" hidden="false" outlineLevel="0" max="531" min="531" style="1" width="14"/>
    <col collapsed="false" customWidth="true" hidden="false" outlineLevel="0" max="532" min="532" style="1" width="12.15"/>
    <col collapsed="false" customWidth="true" hidden="false" outlineLevel="0" max="534" min="533" style="1" width="10.14"/>
    <col collapsed="false" customWidth="true" hidden="false" outlineLevel="0" max="535" min="535" style="1" width="16.43"/>
    <col collapsed="false" customWidth="true" hidden="false" outlineLevel="0" max="771" min="536" style="1" width="9.14"/>
    <col collapsed="false" customWidth="true" hidden="false" outlineLevel="0" max="772" min="772" style="1" width="13.15"/>
    <col collapsed="false" customWidth="true" hidden="false" outlineLevel="0" max="773" min="773" style="1" width="38.42"/>
    <col collapsed="false" customWidth="true" hidden="false" outlineLevel="0" max="774" min="774" style="1" width="7.16"/>
    <col collapsed="false" customWidth="true" hidden="false" outlineLevel="0" max="775" min="775" style="1" width="6.71"/>
    <col collapsed="false" customWidth="true" hidden="false" outlineLevel="0" max="776" min="776" style="1" width="10.14"/>
    <col collapsed="false" customWidth="true" hidden="false" outlineLevel="0" max="777" min="777" style="1" width="12.57"/>
    <col collapsed="false" customWidth="true" hidden="false" outlineLevel="0" max="778" min="778" style="1" width="12.29"/>
    <col collapsed="false" customWidth="true" hidden="false" outlineLevel="0" max="779" min="779" style="1" width="13.42"/>
    <col collapsed="false" customWidth="true" hidden="false" outlineLevel="0" max="780" min="780" style="1" width="12.15"/>
    <col collapsed="false" customWidth="true" hidden="false" outlineLevel="0" max="781" min="781" style="1" width="13.71"/>
    <col collapsed="false" customWidth="true" hidden="false" outlineLevel="0" max="782" min="782" style="1" width="11.29"/>
    <col collapsed="false" customWidth="true" hidden="false" outlineLevel="0" max="783" min="783" style="1" width="15.57"/>
    <col collapsed="false" customWidth="true" hidden="false" outlineLevel="0" max="784" min="784" style="1" width="12.29"/>
    <col collapsed="false" customWidth="true" hidden="false" outlineLevel="0" max="785" min="785" style="1" width="7.42"/>
    <col collapsed="false" customWidth="true" hidden="false" outlineLevel="0" max="786" min="786" style="1" width="13.29"/>
    <col collapsed="false" customWidth="true" hidden="false" outlineLevel="0" max="787" min="787" style="1" width="14"/>
    <col collapsed="false" customWidth="true" hidden="false" outlineLevel="0" max="788" min="788" style="1" width="12.15"/>
    <col collapsed="false" customWidth="true" hidden="false" outlineLevel="0" max="790" min="789" style="1" width="10.14"/>
    <col collapsed="false" customWidth="true" hidden="false" outlineLevel="0" max="791" min="791" style="1" width="16.43"/>
    <col collapsed="false" customWidth="true" hidden="false" outlineLevel="0" max="1025" min="792" style="1" width="9.14"/>
  </cols>
  <sheetData>
    <row r="1" customFormat="false" ht="15" hidden="false" customHeight="false" outlineLevel="0" collapsed="false">
      <c r="A1" s="5"/>
      <c r="B1" s="498" t="str">
        <f aca="false">INSTRUÇÕES!B1</f>
        <v>Tribunal Regional Federal da 6ª Região</v>
      </c>
      <c r="C1" s="265"/>
      <c r="D1" s="265"/>
      <c r="E1" s="265"/>
      <c r="F1" s="265"/>
      <c r="G1" s="265"/>
      <c r="H1" s="265"/>
      <c r="I1" s="265"/>
      <c r="J1" s="499"/>
      <c r="K1" s="499"/>
      <c r="L1" s="499"/>
      <c r="M1" s="499"/>
      <c r="N1" s="499"/>
      <c r="O1" s="499"/>
      <c r="P1" s="499"/>
      <c r="Q1" s="499"/>
      <c r="R1" s="499"/>
      <c r="S1" s="499"/>
      <c r="T1" s="499"/>
      <c r="U1" s="499"/>
      <c r="V1" s="499"/>
      <c r="W1" s="500"/>
    </row>
    <row r="2" customFormat="false" ht="15" hidden="false" customHeight="false" outlineLevel="0" collapsed="false">
      <c r="A2" s="501"/>
      <c r="B2" s="139" t="str">
        <f aca="false">INSTRUÇÕES!B2</f>
        <v>Seção Judiciária de Minas Gerais</v>
      </c>
      <c r="C2" s="85"/>
      <c r="D2" s="85"/>
      <c r="E2" s="85"/>
      <c r="F2" s="85"/>
      <c r="G2" s="85"/>
      <c r="H2" s="85"/>
      <c r="I2" s="85"/>
      <c r="W2" s="502"/>
    </row>
    <row r="3" customFormat="false" ht="15" hidden="false" customHeight="false" outlineLevel="0" collapsed="false">
      <c r="A3" s="501"/>
      <c r="B3" s="139" t="str">
        <f aca="false">INSTRUÇÕES!B3</f>
        <v>Subseção Judiciária de Lavras</v>
      </c>
      <c r="C3" s="85"/>
      <c r="D3" s="85"/>
      <c r="E3" s="85"/>
      <c r="F3" s="85"/>
      <c r="G3" s="85"/>
      <c r="H3" s="85"/>
      <c r="I3" s="85"/>
      <c r="W3" s="502"/>
    </row>
    <row r="4" s="504" customFormat="true" ht="18.75" hidden="false" customHeight="true" outlineLevel="0" collapsed="false">
      <c r="A4" s="503" t="s">
        <v>577</v>
      </c>
      <c r="B4" s="503"/>
      <c r="C4" s="503"/>
      <c r="D4" s="503"/>
      <c r="E4" s="503"/>
      <c r="F4" s="503"/>
      <c r="G4" s="503"/>
      <c r="H4" s="503"/>
      <c r="I4" s="503"/>
      <c r="J4" s="503"/>
      <c r="K4" s="503"/>
      <c r="L4" s="503"/>
      <c r="M4" s="503"/>
      <c r="N4" s="503"/>
      <c r="O4" s="503"/>
      <c r="P4" s="503"/>
      <c r="Q4" s="503"/>
      <c r="R4" s="503"/>
      <c r="S4" s="503"/>
      <c r="T4" s="503"/>
      <c r="U4" s="503"/>
      <c r="V4" s="503"/>
      <c r="W4" s="503"/>
    </row>
    <row r="5" s="142" customFormat="true" ht="21" hidden="false" customHeight="true" outlineLevel="0" collapsed="false">
      <c r="A5" s="505" t="str">
        <f aca="false">"PREÇO MENSAL GLOBAL - "&amp;B3</f>
        <v>PREÇO MENSAL GLOBAL - Subseção Judiciária de Lavras</v>
      </c>
      <c r="B5" s="505"/>
      <c r="C5" s="505"/>
      <c r="D5" s="505"/>
      <c r="E5" s="505"/>
      <c r="F5" s="505"/>
      <c r="G5" s="505"/>
      <c r="H5" s="505"/>
      <c r="I5" s="505"/>
      <c r="J5" s="505"/>
      <c r="K5" s="505"/>
      <c r="L5" s="505"/>
      <c r="M5" s="505"/>
      <c r="N5" s="505"/>
      <c r="O5" s="505"/>
      <c r="P5" s="505"/>
      <c r="Q5" s="505"/>
      <c r="R5" s="505"/>
      <c r="S5" s="505"/>
      <c r="T5" s="505"/>
      <c r="U5" s="505"/>
      <c r="V5" s="505"/>
      <c r="W5" s="505"/>
    </row>
    <row r="6" s="4" customFormat="true" ht="23.25" hidden="false" customHeight="true" outlineLevel="0" collapsed="false">
      <c r="A6" s="506" t="str">
        <f aca="false">Dados!A4</f>
        <v>Sindicato utilizado - SINTAPPI x SINSERHT. Vigência: 2025/2026. Sendo a data base da categoria 01° de Abril. Com número de registro no MTE MG001973/2025.</v>
      </c>
      <c r="B6" s="506"/>
      <c r="C6" s="506"/>
      <c r="D6" s="506"/>
      <c r="E6" s="506"/>
      <c r="F6" s="506"/>
      <c r="G6" s="506"/>
      <c r="H6" s="506"/>
      <c r="I6" s="506"/>
      <c r="J6" s="506"/>
      <c r="K6" s="506"/>
      <c r="L6" s="506"/>
      <c r="M6" s="506"/>
      <c r="N6" s="506"/>
      <c r="O6" s="506"/>
      <c r="P6" s="506"/>
      <c r="Q6" s="506"/>
      <c r="R6" s="506"/>
      <c r="S6" s="506"/>
      <c r="T6" s="506"/>
      <c r="U6" s="506"/>
      <c r="V6" s="506"/>
      <c r="W6" s="506"/>
    </row>
    <row r="7" s="17" customFormat="true" ht="18.75" hidden="false" customHeight="true" outlineLevel="0" collapsed="false">
      <c r="A7" s="507"/>
      <c r="B7" s="508"/>
      <c r="C7" s="508"/>
      <c r="D7" s="508"/>
      <c r="E7" s="509"/>
      <c r="F7" s="509"/>
      <c r="G7" s="509"/>
      <c r="H7" s="510" t="s">
        <v>578</v>
      </c>
      <c r="I7" s="511"/>
      <c r="J7" s="511"/>
      <c r="K7" s="509"/>
      <c r="L7" s="509"/>
      <c r="M7" s="509"/>
      <c r="N7" s="509"/>
      <c r="O7" s="509"/>
      <c r="P7" s="509"/>
      <c r="Q7" s="509"/>
      <c r="R7" s="509"/>
      <c r="S7" s="512" t="s">
        <v>579</v>
      </c>
      <c r="T7" s="512"/>
      <c r="U7" s="512"/>
      <c r="V7" s="512"/>
      <c r="W7" s="512"/>
    </row>
    <row r="8" s="17" customFormat="true" ht="22.5" hidden="false" customHeight="true" outlineLevel="0" collapsed="false">
      <c r="A8" s="513" t="s">
        <v>580</v>
      </c>
      <c r="B8" s="514" t="s">
        <v>581</v>
      </c>
      <c r="C8" s="514"/>
      <c r="D8" s="515" t="s">
        <v>44</v>
      </c>
      <c r="E8" s="515"/>
      <c r="F8" s="515"/>
      <c r="G8" s="515"/>
      <c r="H8" s="515"/>
      <c r="I8" s="515"/>
      <c r="J8" s="515"/>
      <c r="K8" s="515"/>
      <c r="L8" s="515"/>
      <c r="M8" s="515"/>
      <c r="N8" s="515"/>
      <c r="O8" s="515"/>
      <c r="P8" s="515"/>
      <c r="Q8" s="515"/>
      <c r="R8" s="515"/>
      <c r="S8" s="515"/>
      <c r="T8" s="515"/>
      <c r="U8" s="515"/>
      <c r="V8" s="515"/>
      <c r="W8" s="516" t="s">
        <v>582</v>
      </c>
    </row>
    <row r="9" s="17" customFormat="true" ht="20.25" hidden="false" customHeight="true" outlineLevel="0" collapsed="false">
      <c r="A9" s="513"/>
      <c r="B9" s="514"/>
      <c r="C9" s="514"/>
      <c r="D9" s="517" t="s">
        <v>583</v>
      </c>
      <c r="E9" s="517"/>
      <c r="F9" s="517"/>
      <c r="G9" s="517" t="s">
        <v>584</v>
      </c>
      <c r="H9" s="517"/>
      <c r="I9" s="517"/>
      <c r="J9" s="518" t="s">
        <v>585</v>
      </c>
      <c r="K9" s="518"/>
      <c r="L9" s="518"/>
      <c r="M9" s="518"/>
      <c r="N9" s="518"/>
      <c r="O9" s="518"/>
      <c r="P9" s="519" t="s">
        <v>586</v>
      </c>
      <c r="Q9" s="519"/>
      <c r="R9" s="519"/>
      <c r="S9" s="520" t="s">
        <v>587</v>
      </c>
      <c r="T9" s="521" t="s">
        <v>588</v>
      </c>
      <c r="U9" s="521"/>
      <c r="V9" s="521"/>
      <c r="W9" s="516"/>
    </row>
    <row r="10" s="17" customFormat="true" ht="27.75" hidden="false" customHeight="true" outlineLevel="0" collapsed="false">
      <c r="A10" s="513"/>
      <c r="B10" s="514"/>
      <c r="C10" s="514"/>
      <c r="D10" s="522" t="s">
        <v>589</v>
      </c>
      <c r="E10" s="522"/>
      <c r="F10" s="522"/>
      <c r="G10" s="523" t="s">
        <v>590</v>
      </c>
      <c r="H10" s="524" t="s">
        <v>591</v>
      </c>
      <c r="I10" s="524"/>
      <c r="J10" s="525" t="s">
        <v>592</v>
      </c>
      <c r="K10" s="525"/>
      <c r="L10" s="525"/>
      <c r="M10" s="526" t="s">
        <v>593</v>
      </c>
      <c r="N10" s="526"/>
      <c r="O10" s="526"/>
      <c r="P10" s="527" t="s">
        <v>594</v>
      </c>
      <c r="Q10" s="527"/>
      <c r="R10" s="527"/>
      <c r="S10" s="528" t="s">
        <v>595</v>
      </c>
      <c r="T10" s="527" t="s">
        <v>596</v>
      </c>
      <c r="U10" s="527"/>
      <c r="V10" s="527"/>
      <c r="W10" s="516"/>
    </row>
    <row r="11" s="17" customFormat="true" ht="49.95" hidden="false" customHeight="false" outlineLevel="0" collapsed="false">
      <c r="A11" s="513"/>
      <c r="B11" s="529" t="s">
        <v>25</v>
      </c>
      <c r="C11" s="530" t="s">
        <v>26</v>
      </c>
      <c r="D11" s="531" t="s">
        <v>24</v>
      </c>
      <c r="E11" s="532" t="s">
        <v>597</v>
      </c>
      <c r="F11" s="533" t="s">
        <v>598</v>
      </c>
      <c r="G11" s="523"/>
      <c r="H11" s="534" t="s">
        <v>599</v>
      </c>
      <c r="I11" s="535" t="s">
        <v>600</v>
      </c>
      <c r="J11" s="536" t="s">
        <v>601</v>
      </c>
      <c r="K11" s="534" t="s">
        <v>33</v>
      </c>
      <c r="L11" s="537" t="s">
        <v>602</v>
      </c>
      <c r="M11" s="529" t="s">
        <v>603</v>
      </c>
      <c r="N11" s="532" t="s">
        <v>34</v>
      </c>
      <c r="O11" s="538" t="s">
        <v>604</v>
      </c>
      <c r="P11" s="529" t="s">
        <v>605</v>
      </c>
      <c r="Q11" s="532" t="s">
        <v>606</v>
      </c>
      <c r="R11" s="530" t="s">
        <v>607</v>
      </c>
      <c r="S11" s="528"/>
      <c r="T11" s="529" t="s">
        <v>608</v>
      </c>
      <c r="U11" s="532" t="s">
        <v>609</v>
      </c>
      <c r="V11" s="539" t="s">
        <v>610</v>
      </c>
      <c r="W11" s="516"/>
    </row>
    <row r="12" s="17" customFormat="true" ht="15.75" hidden="false" customHeight="true" outlineLevel="0" collapsed="false">
      <c r="A12" s="540" t="n">
        <f aca="false">Dados!A7</f>
        <v>333903702</v>
      </c>
      <c r="B12" s="541" t="str">
        <f aca="false">Dados!C7</f>
        <v>Servente de Limpeza 40% Insalubridade</v>
      </c>
      <c r="C12" s="542" t="n">
        <f aca="false">Dados!D7</f>
        <v>200</v>
      </c>
      <c r="D12" s="543" t="n">
        <f aca="false">Dados!B7</f>
        <v>1</v>
      </c>
      <c r="E12" s="544" t="n">
        <f aca="false">'Serv Ins'!$F$45</f>
        <v>6101.33</v>
      </c>
      <c r="F12" s="545" t="n">
        <f aca="false">ROUND((D12*E12),2)</f>
        <v>6101.33</v>
      </c>
      <c r="G12" s="546" t="n">
        <f aca="false">'Serv Ins'!$I$45</f>
        <v>164.07</v>
      </c>
      <c r="H12" s="547" t="n">
        <f aca="false">'Ocorrências Mensais - FAT'!F11+'Ocorrências Mensais - FAT'!H11</f>
        <v>0</v>
      </c>
      <c r="I12" s="548" t="n">
        <f aca="false">(ROUND((G12/Dados!$G$34*H12)-(G12/'Ocorrências Mensais - FAT'!$E$5*'Ocorrências Mensais - FAT'!G11),2))</f>
        <v>0</v>
      </c>
      <c r="J12" s="549" t="n">
        <f aca="false">'Serv Ins'!$G$45</f>
        <v>5482.09</v>
      </c>
      <c r="K12" s="547" t="n">
        <f aca="false">'Ocorrências Mensais - FAT'!K11</f>
        <v>0</v>
      </c>
      <c r="L12" s="548" t="n">
        <f aca="false">J12/'Ocorrências Mensais - FAT'!$E$5*K12</f>
        <v>0</v>
      </c>
      <c r="M12" s="550" t="n">
        <f aca="false">'Custo Estimado Substituto'!$F$33</f>
        <v>4803.48</v>
      </c>
      <c r="N12" s="551" t="n">
        <f aca="false">'Ocorrências Mensais - FAT'!L11</f>
        <v>0</v>
      </c>
      <c r="O12" s="552" t="n">
        <f aca="false">M12/'Ocorrências Mensais - FAT'!$E$5*N12</f>
        <v>0</v>
      </c>
      <c r="P12" s="553" t="n">
        <f aca="false">'Serv Ins'!$H$45</f>
        <v>639.78</v>
      </c>
      <c r="Q12" s="554" t="n">
        <f aca="false">'Ocorrências Mensais - FAT'!M11</f>
        <v>0</v>
      </c>
      <c r="R12" s="552" t="n">
        <f aca="false">ROUND((P12/Dados!$G$37*Q12),2)</f>
        <v>0</v>
      </c>
      <c r="S12" s="555" t="n">
        <f aca="false">I12+L12+O12+R12</f>
        <v>0</v>
      </c>
      <c r="T12" s="556"/>
      <c r="U12" s="557"/>
      <c r="V12" s="558"/>
      <c r="W12" s="559" t="n">
        <f aca="false">ROUND((F12-S12+V12),2)</f>
        <v>6101.33</v>
      </c>
    </row>
    <row r="13" s="17" customFormat="true" ht="15" hidden="false" customHeight="false" outlineLevel="0" collapsed="false">
      <c r="A13" s="540"/>
      <c r="B13" s="541" t="str">
        <f aca="false">Dados!C8</f>
        <v>Servente de Limpeza  ac. Copeira</v>
      </c>
      <c r="C13" s="542" t="n">
        <f aca="false">Dados!D8</f>
        <v>200</v>
      </c>
      <c r="D13" s="543" t="n">
        <f aca="false">Dados!B8</f>
        <v>1</v>
      </c>
      <c r="E13" s="544" t="n">
        <f aca="false">'Serv Copeira'!$F$45</f>
        <v>5048.73</v>
      </c>
      <c r="F13" s="545" t="n">
        <f aca="false">ROUND((D13*E13),2)</f>
        <v>5048.73</v>
      </c>
      <c r="G13" s="560" t="n">
        <f aca="false">'Serv Copeira'!$I$45</f>
        <v>164.07</v>
      </c>
      <c r="H13" s="561" t="n">
        <f aca="false">'Ocorrências Mensais - FAT'!F12+'Ocorrências Mensais - FAT'!H12</f>
        <v>0</v>
      </c>
      <c r="I13" s="562" t="n">
        <f aca="false">(ROUND((G13/Dados!$G$34*H13)-(G13/'Ocorrências Mensais - FAT'!$E$5*'Ocorrências Mensais - FAT'!G12),2))</f>
        <v>0</v>
      </c>
      <c r="J13" s="563" t="n">
        <f aca="false">'Serv Copeira'!$G$45</f>
        <v>4242.72</v>
      </c>
      <c r="K13" s="561" t="n">
        <f aca="false">'Ocorrências Mensais - FAT'!K12</f>
        <v>0</v>
      </c>
      <c r="L13" s="562" t="n">
        <f aca="false">J13/'Ocorrências Mensais - FAT'!$E$5*K13</f>
        <v>0</v>
      </c>
      <c r="M13" s="563" t="n">
        <f aca="false">'Custo Estimado Substituto'!G33</f>
        <v>3727.84</v>
      </c>
      <c r="N13" s="561" t="n">
        <f aca="false">'Ocorrências Mensais - FAT'!L12</f>
        <v>0</v>
      </c>
      <c r="O13" s="564" t="n">
        <f aca="false">M13/'Ocorrências Mensais - FAT'!$E$5*N13</f>
        <v>0</v>
      </c>
      <c r="P13" s="565" t="n">
        <f aca="false">'Serv Copeira'!$H$45</f>
        <v>639.78</v>
      </c>
      <c r="Q13" s="566" t="n">
        <f aca="false">'Ocorrências Mensais - FAT'!M12</f>
        <v>0</v>
      </c>
      <c r="R13" s="564" t="n">
        <f aca="false">ROUND((P13/Dados!$G$37*Q13),2)</f>
        <v>0</v>
      </c>
      <c r="S13" s="567" t="n">
        <f aca="false">I13+L13+O13+R13</f>
        <v>0</v>
      </c>
      <c r="T13" s="560" t="n">
        <f aca="false">'Serv Ins'!$J$46</f>
        <v>44.75</v>
      </c>
      <c r="U13" s="566" t="n">
        <f aca="false">'Ocorrências Mensais - FAT'!N12</f>
        <v>0</v>
      </c>
      <c r="V13" s="568" t="n">
        <f aca="false">T13*U13</f>
        <v>0</v>
      </c>
      <c r="W13" s="559" t="n">
        <f aca="false">ROUND((F13-S13+V13),2)</f>
        <v>5048.73</v>
      </c>
    </row>
    <row r="14" s="17" customFormat="true" ht="15" hidden="false" customHeight="false" outlineLevel="0" collapsed="false">
      <c r="A14" s="540"/>
      <c r="B14" s="541" t="str">
        <f aca="false">Dados!C9</f>
        <v>Zelador</v>
      </c>
      <c r="C14" s="542" t="n">
        <f aca="false">Dados!D9</f>
        <v>150</v>
      </c>
      <c r="D14" s="543" t="n">
        <f aca="false">Dados!B9</f>
        <v>1</v>
      </c>
      <c r="E14" s="544" t="n">
        <f aca="false">Zel!$F$45</f>
        <v>3883.74</v>
      </c>
      <c r="F14" s="545" t="n">
        <f aca="false">ROUND((D14*E14),2)</f>
        <v>3883.74</v>
      </c>
      <c r="G14" s="560" t="n">
        <f aca="false">Zel!$I$45</f>
        <v>150.59</v>
      </c>
      <c r="H14" s="561" t="n">
        <f aca="false">'Ocorrências Mensais - FAT'!F13+'Ocorrências Mensais - FAT'!H13</f>
        <v>0</v>
      </c>
      <c r="I14" s="562" t="n">
        <f aca="false">(ROUND((G14/Dados!$G$34*H14)-(G14/'Ocorrências Mensais - FAT'!$E$5*'Ocorrências Mensais - FAT'!G13),2))</f>
        <v>0</v>
      </c>
      <c r="J14" s="563" t="n">
        <f aca="false">Zel!$G$45</f>
        <v>3883.74</v>
      </c>
      <c r="K14" s="561" t="n">
        <f aca="false">'Ocorrências Mensais - FAT'!K13</f>
        <v>0</v>
      </c>
      <c r="L14" s="562" t="n">
        <f aca="false">J14/'Ocorrências Mensais - FAT'!$E$5*K14</f>
        <v>0</v>
      </c>
      <c r="M14" s="563" t="n">
        <f aca="false">'Custo Estimado Substituto'!H33</f>
        <v>3331.94</v>
      </c>
      <c r="N14" s="561" t="n">
        <f aca="false">'Ocorrências Mensais - FAT'!L13</f>
        <v>0</v>
      </c>
      <c r="O14" s="564" t="n">
        <f aca="false">M14/'Ocorrências Mensais - FAT'!$E$5*N14</f>
        <v>0</v>
      </c>
      <c r="P14" s="565" t="n">
        <f aca="false">Zel!$H$45</f>
        <v>0</v>
      </c>
      <c r="Q14" s="566" t="n">
        <f aca="false">'Ocorrências Mensais - FAT'!M13</f>
        <v>0</v>
      </c>
      <c r="R14" s="564" t="n">
        <f aca="false">ROUND((P14/Dados!$G$37*Q14),2)</f>
        <v>0</v>
      </c>
      <c r="S14" s="567" t="n">
        <f aca="false">I14+L14+O14+R14</f>
        <v>0</v>
      </c>
      <c r="T14" s="569"/>
      <c r="U14" s="570"/>
      <c r="V14" s="571"/>
      <c r="W14" s="559" t="n">
        <f aca="false">ROUND((F14-S14+V14),2)</f>
        <v>3883.74</v>
      </c>
    </row>
    <row r="15" s="17" customFormat="true" ht="15" hidden="false" customHeight="false" outlineLevel="0" collapsed="false">
      <c r="A15" s="572" t="n">
        <f aca="false">Dados!A10</f>
        <v>333903701</v>
      </c>
      <c r="B15" s="573" t="str">
        <f aca="false">Dados!C10</f>
        <v>Auxiliar Administrativo ac. Mensageiro</v>
      </c>
      <c r="C15" s="574" t="n">
        <f aca="false">Dados!D10</f>
        <v>200</v>
      </c>
      <c r="D15" s="575" t="n">
        <f aca="false">Dados!B10</f>
        <v>1</v>
      </c>
      <c r="E15" s="576" t="n">
        <f aca="false">'Aux Adm'!$F$45</f>
        <v>5198.33</v>
      </c>
      <c r="F15" s="577" t="n">
        <f aca="false">ROUND((D15*E15),2)</f>
        <v>5198.33</v>
      </c>
      <c r="G15" s="578" t="n">
        <f aca="false">'Aux Adm'!$I$45</f>
        <v>138.9</v>
      </c>
      <c r="H15" s="579" t="n">
        <f aca="false">'Ocorrências Mensais - FAT'!F14+'Ocorrências Mensais - FAT'!H14</f>
        <v>0</v>
      </c>
      <c r="I15" s="580" t="n">
        <f aca="false">(ROUND((G15/Dados!$G$34*H15)-(G15/'Ocorrências Mensais - FAT'!$E$5*'Ocorrências Mensais - FAT'!G14),2))</f>
        <v>0</v>
      </c>
      <c r="J15" s="581" t="n">
        <f aca="false">'Aux Adm'!$G$45</f>
        <v>5198.33</v>
      </c>
      <c r="K15" s="579" t="n">
        <f aca="false">'Ocorrências Mensais - FAT'!K14</f>
        <v>0</v>
      </c>
      <c r="L15" s="580" t="n">
        <f aca="false">J15/'Ocorrências Mensais - FAT'!$E$5*K15</f>
        <v>0</v>
      </c>
      <c r="M15" s="581" t="n">
        <f aca="false">'Custo Estimado Substituto'!N33</f>
        <v>4441.22</v>
      </c>
      <c r="N15" s="579" t="n">
        <f aca="false">'Ocorrências Mensais - FAT'!L14</f>
        <v>0</v>
      </c>
      <c r="O15" s="582" t="n">
        <f aca="false">M15/'Ocorrências Mensais - FAT'!$E$5*N15</f>
        <v>0</v>
      </c>
      <c r="P15" s="583" t="n">
        <f aca="false">'Aux Adm'!$H$45</f>
        <v>654.71</v>
      </c>
      <c r="Q15" s="584" t="n">
        <f aca="false">'Ocorrências Mensais - FAT'!M14</f>
        <v>0</v>
      </c>
      <c r="R15" s="582" t="n">
        <f aca="false">ROUND((P15/Dados!$G$37*Q15),2)</f>
        <v>0</v>
      </c>
      <c r="S15" s="585" t="n">
        <f aca="false">I15+L15+O15+R15</f>
        <v>0</v>
      </c>
      <c r="T15" s="586"/>
      <c r="U15" s="587"/>
      <c r="V15" s="588"/>
      <c r="W15" s="589" t="n">
        <f aca="false">ROUND((F15-S15+V15),2)</f>
        <v>5198.33</v>
      </c>
    </row>
    <row r="16" s="79" customFormat="true" ht="21.75" hidden="false" customHeight="true" outlineLevel="0" collapsed="false">
      <c r="A16" s="429" t="s">
        <v>611</v>
      </c>
      <c r="B16" s="429"/>
      <c r="C16" s="429"/>
      <c r="D16" s="590" t="n">
        <f aca="false">SUM(D12:D15)</f>
        <v>4</v>
      </c>
      <c r="E16" s="591"/>
      <c r="F16" s="592" t="n">
        <f aca="false">SUM(F12:F15)</f>
        <v>20232.13</v>
      </c>
      <c r="G16" s="593"/>
      <c r="H16" s="591" t="n">
        <f aca="false">SUM(H12:H15)</f>
        <v>0</v>
      </c>
      <c r="I16" s="594" t="n">
        <f aca="false">SUM(I12:I15)</f>
        <v>0</v>
      </c>
      <c r="J16" s="595" t="n">
        <f aca="false">SUM(J12:J15)</f>
        <v>18806.88</v>
      </c>
      <c r="K16" s="591" t="n">
        <f aca="false">SUM(K12:K15)</f>
        <v>0</v>
      </c>
      <c r="L16" s="594" t="n">
        <f aca="false">SUM(L12:L15)</f>
        <v>0</v>
      </c>
      <c r="M16" s="596" t="n">
        <f aca="false">SUM(M12:M15)</f>
        <v>16304.48</v>
      </c>
      <c r="N16" s="591" t="n">
        <f aca="false">SUM(N12:N15)</f>
        <v>0</v>
      </c>
      <c r="O16" s="592" t="n">
        <f aca="false">SUM(O12:O15)</f>
        <v>0</v>
      </c>
      <c r="P16" s="593"/>
      <c r="Q16" s="591" t="n">
        <f aca="false">SUM(Q12:Q15)</f>
        <v>0</v>
      </c>
      <c r="R16" s="592" t="n">
        <f aca="false">SUM(R12:R15)</f>
        <v>0</v>
      </c>
      <c r="S16" s="597" t="n">
        <f aca="false">SUM(S12:S15)</f>
        <v>0</v>
      </c>
      <c r="T16" s="598"/>
      <c r="U16" s="591" t="n">
        <f aca="false">SUM(U12:U15)</f>
        <v>0</v>
      </c>
      <c r="V16" s="594" t="n">
        <f aca="false">SUM(V12:V15)</f>
        <v>0</v>
      </c>
      <c r="W16" s="599" t="n">
        <f aca="false">SUM(W12:W15)</f>
        <v>20232.13</v>
      </c>
      <c r="X16" s="600" t="s">
        <v>612</v>
      </c>
      <c r="Y16" s="130"/>
    </row>
    <row r="17" s="74" customFormat="true" ht="18" hidden="false" customHeight="true" outlineLevel="0" collapsed="false">
      <c r="A17" s="601" t="s">
        <v>613</v>
      </c>
      <c r="B17" s="601"/>
      <c r="C17" s="601"/>
      <c r="D17" s="601"/>
      <c r="E17" s="601"/>
      <c r="F17" s="601"/>
      <c r="G17" s="601"/>
      <c r="H17" s="601"/>
      <c r="I17" s="601"/>
      <c r="J17" s="601"/>
      <c r="K17" s="601"/>
      <c r="L17" s="601"/>
      <c r="M17" s="601"/>
      <c r="N17" s="601"/>
      <c r="O17" s="601"/>
      <c r="P17" s="601"/>
      <c r="Q17" s="601"/>
      <c r="R17" s="601"/>
      <c r="S17" s="601"/>
      <c r="T17" s="601"/>
      <c r="U17" s="601"/>
      <c r="V17" s="601"/>
      <c r="W17" s="602" t="n">
        <f aca="false">Mat!K44+Mat!K66</f>
        <v>1137.035</v>
      </c>
    </row>
    <row r="18" s="74" customFormat="true" ht="20.25" hidden="false" customHeight="true" outlineLevel="0" collapsed="false">
      <c r="A18" s="601" t="s">
        <v>614</v>
      </c>
      <c r="B18" s="601"/>
      <c r="C18" s="601"/>
      <c r="D18" s="601"/>
      <c r="E18" s="601"/>
      <c r="F18" s="601"/>
      <c r="G18" s="601"/>
      <c r="H18" s="601"/>
      <c r="I18" s="601"/>
      <c r="J18" s="601"/>
      <c r="K18" s="601"/>
      <c r="L18" s="601"/>
      <c r="M18" s="601"/>
      <c r="N18" s="601"/>
      <c r="O18" s="601"/>
      <c r="P18" s="601"/>
      <c r="Q18" s="601"/>
      <c r="R18" s="601"/>
      <c r="S18" s="601"/>
      <c r="T18" s="601"/>
      <c r="U18" s="601"/>
      <c r="V18" s="601"/>
      <c r="W18" s="603" t="n">
        <f aca="false">W16*12</f>
        <v>242785.56</v>
      </c>
    </row>
    <row r="19" s="85" customFormat="true" ht="24" hidden="false" customHeight="true" outlineLevel="0" collapsed="false">
      <c r="A19" s="604" t="s">
        <v>50</v>
      </c>
      <c r="B19" s="604"/>
      <c r="C19" s="604"/>
      <c r="D19" s="604"/>
      <c r="E19" s="604"/>
      <c r="F19" s="604"/>
      <c r="G19" s="604"/>
      <c r="H19" s="604"/>
      <c r="I19" s="604"/>
      <c r="J19" s="604"/>
      <c r="K19" s="604"/>
      <c r="L19" s="604"/>
      <c r="M19" s="604"/>
      <c r="N19" s="604"/>
      <c r="O19" s="604"/>
      <c r="P19" s="604"/>
      <c r="Q19" s="604"/>
      <c r="R19" s="604"/>
      <c r="S19" s="604"/>
      <c r="T19" s="604"/>
      <c r="U19" s="604"/>
      <c r="V19" s="604"/>
      <c r="W19" s="604"/>
    </row>
    <row r="20" s="74" customFormat="true" ht="15" hidden="false" customHeight="false" outlineLevel="0" collapsed="false">
      <c r="A20" s="605" t="str">
        <f aca="false">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R$44,75 por dia em que este fato ocorrer.</v>
      </c>
      <c r="B20" s="605"/>
      <c r="C20" s="605"/>
      <c r="D20" s="605"/>
      <c r="E20" s="605"/>
      <c r="F20" s="605"/>
      <c r="G20" s="605"/>
      <c r="H20" s="605"/>
      <c r="I20" s="605"/>
      <c r="J20" s="605"/>
      <c r="K20" s="605"/>
      <c r="L20" s="605"/>
      <c r="M20" s="605"/>
      <c r="N20" s="605"/>
      <c r="O20" s="605"/>
      <c r="P20" s="605"/>
      <c r="Q20" s="605"/>
      <c r="R20" s="605"/>
      <c r="S20" s="605"/>
      <c r="T20" s="605"/>
      <c r="U20" s="605"/>
      <c r="V20" s="605"/>
      <c r="W20" s="605"/>
    </row>
    <row r="21" s="607" customFormat="true" ht="18.75" hidden="false" customHeight="true" outlineLevel="0" collapsed="false">
      <c r="A21" s="606" t="s">
        <v>615</v>
      </c>
      <c r="B21" s="606"/>
      <c r="C21" s="606"/>
      <c r="D21" s="606"/>
      <c r="E21" s="606"/>
      <c r="F21" s="606"/>
      <c r="G21" s="606"/>
      <c r="H21" s="606"/>
      <c r="I21" s="606"/>
      <c r="J21" s="606"/>
      <c r="K21" s="606"/>
      <c r="L21" s="606"/>
      <c r="M21" s="606"/>
      <c r="N21" s="606"/>
      <c r="O21" s="606"/>
      <c r="P21" s="606"/>
      <c r="Q21" s="606"/>
      <c r="R21" s="606"/>
      <c r="S21" s="606"/>
      <c r="T21" s="606"/>
      <c r="U21" s="606"/>
      <c r="V21" s="606"/>
      <c r="W21" s="606"/>
    </row>
    <row r="22" customFormat="false" ht="15" hidden="false" customHeight="false" outlineLevel="0" collapsed="false">
      <c r="A22" s="608"/>
      <c r="B22" s="608"/>
      <c r="C22" s="608"/>
      <c r="D22" s="608"/>
      <c r="E22" s="608"/>
      <c r="F22" s="608"/>
      <c r="G22" s="608"/>
      <c r="H22" s="608"/>
      <c r="I22" s="608"/>
      <c r="J22" s="608"/>
      <c r="K22" s="608"/>
      <c r="L22" s="608"/>
      <c r="M22" s="608"/>
      <c r="N22" s="608"/>
      <c r="O22" s="608"/>
      <c r="P22" s="608"/>
      <c r="Q22" s="608"/>
      <c r="R22" s="608"/>
      <c r="S22" s="608"/>
      <c r="T22" s="608"/>
      <c r="U22" s="608"/>
      <c r="V22" s="608"/>
      <c r="W22" s="608"/>
    </row>
    <row r="23" customFormat="false" ht="15" hidden="false" customHeight="false" outlineLevel="0" collapsed="false">
      <c r="A23" s="608"/>
      <c r="B23" s="608"/>
      <c r="C23" s="608"/>
      <c r="D23" s="608"/>
      <c r="E23" s="608"/>
      <c r="F23" s="608"/>
      <c r="G23" s="608"/>
      <c r="H23" s="608"/>
      <c r="I23" s="608"/>
      <c r="J23" s="608"/>
      <c r="K23" s="608"/>
      <c r="L23" s="608"/>
      <c r="M23" s="608"/>
      <c r="N23" s="608"/>
      <c r="O23" s="608"/>
      <c r="P23" s="608"/>
      <c r="Q23" s="608"/>
      <c r="R23" s="608"/>
      <c r="S23" s="608"/>
      <c r="T23" s="608"/>
      <c r="U23" s="608"/>
      <c r="V23" s="608"/>
      <c r="W23" s="608"/>
    </row>
  </sheetData>
  <sheetProtection sheet="true" password="c4d4" objects="true" scenarios="true"/>
  <mergeCells count="3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 ref="J10:L10"/>
    <mergeCell ref="M10:O10"/>
    <mergeCell ref="P10:R10"/>
    <mergeCell ref="S10:S11"/>
    <mergeCell ref="T10:V10"/>
    <mergeCell ref="A12:A14"/>
    <mergeCell ref="A16:C16"/>
    <mergeCell ref="A17:V17"/>
    <mergeCell ref="A18:V18"/>
    <mergeCell ref="A19:W19"/>
    <mergeCell ref="A20:W20"/>
    <mergeCell ref="A21:W21"/>
    <mergeCell ref="A22:W22"/>
    <mergeCell ref="A23:W23"/>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colBreaks count="1" manualBreakCount="1">
    <brk id="23" man="true" max="65535" min="0"/>
  </colBreaks>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33"/>
  <sheetViews>
    <sheetView showFormulas="false" showGridLines="false" showRowColHeaders="true" showZeros="true" rightToLeft="false" tabSelected="false" showOutlineSymbols="true" defaultGridColor="true" view="pageBreakPreview" topLeftCell="A10" colorId="64" zoomScale="120" zoomScaleNormal="130" zoomScalePageLayoutView="120" workbookViewId="0">
      <selection pane="topLeft" activeCell="N11" activeCellId="0" sqref="N11"/>
    </sheetView>
  </sheetViews>
  <sheetFormatPr defaultColWidth="8.71484375" defaultRowHeight="15" zeroHeight="false" outlineLevelRow="0" outlineLevelCol="0"/>
  <cols>
    <col collapsed="false" customWidth="true" hidden="false" outlineLevel="0" max="1" min="1" style="85" width="7.29"/>
    <col collapsed="false" customWidth="true" hidden="false" outlineLevel="0" max="3" min="2" style="85" width="9.14"/>
    <col collapsed="false" customWidth="true" hidden="false" outlineLevel="0" max="4" min="4" style="85" width="33"/>
    <col collapsed="false" customWidth="true" hidden="false" outlineLevel="0" max="5" min="5" style="140" width="9.42"/>
    <col collapsed="false" customWidth="true" hidden="false" outlineLevel="0" max="6" min="6" style="140" width="12.42"/>
    <col collapsed="false" customWidth="true" hidden="false" outlineLevel="0" max="7" min="7" style="140" width="8.86"/>
    <col collapsed="false" customWidth="true" hidden="false" outlineLevel="0" max="9" min="8" style="140" width="8.15"/>
    <col collapsed="false" customWidth="true" hidden="false" outlineLevel="0" max="10" min="10" style="85" width="18.86"/>
    <col collapsed="false" customWidth="true" hidden="false" outlineLevel="0" max="11" min="11" style="85" width="16"/>
    <col collapsed="false" customWidth="true" hidden="false" outlineLevel="0" max="12" min="12" style="85" width="15.57"/>
    <col collapsed="false" customWidth="true" hidden="false" outlineLevel="0" max="13" min="13" style="85" width="10.14"/>
    <col collapsed="false" customWidth="true" hidden="false" outlineLevel="0" max="14" min="14" style="85" width="13.15"/>
    <col collapsed="false" customWidth="true" hidden="false" outlineLevel="0" max="1029" min="15" style="85" width="9.14"/>
  </cols>
  <sheetData>
    <row r="1" customFormat="false" ht="15" hidden="false" customHeight="false" outlineLevel="0" collapsed="false">
      <c r="A1" s="122"/>
      <c r="B1" s="123" t="str">
        <f aca="false">INSTRUÇÕES!B1</f>
        <v>Tribunal Regional Federal da 6ª Região</v>
      </c>
      <c r="C1" s="123"/>
      <c r="D1" s="123"/>
      <c r="E1" s="609"/>
      <c r="F1" s="609"/>
      <c r="G1" s="609"/>
      <c r="H1" s="609"/>
      <c r="I1" s="609"/>
      <c r="J1" s="123"/>
      <c r="K1" s="123"/>
      <c r="L1" s="123"/>
      <c r="M1" s="123"/>
      <c r="N1" s="205"/>
    </row>
    <row r="2" customFormat="false" ht="15" hidden="false" customHeight="false" outlineLevel="0" collapsed="false">
      <c r="A2" s="124"/>
      <c r="B2" s="125" t="str">
        <f aca="false">INSTRUÇÕES!B2</f>
        <v>Seção Judiciária de Minas Gerais</v>
      </c>
      <c r="C2" s="125"/>
      <c r="D2" s="125"/>
      <c r="E2" s="610"/>
      <c r="F2" s="610"/>
      <c r="G2" s="610"/>
      <c r="H2" s="610"/>
      <c r="I2" s="610"/>
      <c r="J2" s="125"/>
      <c r="K2" s="125"/>
      <c r="L2" s="125"/>
      <c r="M2" s="125"/>
      <c r="N2" s="207"/>
    </row>
    <row r="3" customFormat="false" ht="15" hidden="false" customHeight="false" outlineLevel="0" collapsed="false">
      <c r="A3" s="124"/>
      <c r="B3" s="85" t="str">
        <f aca="false">INSTRUÇÕES!B3</f>
        <v>Subseção Judiciária de Lavras</v>
      </c>
      <c r="C3" s="428"/>
      <c r="D3" s="428"/>
      <c r="E3" s="611"/>
      <c r="F3" s="611"/>
      <c r="G3" s="611"/>
      <c r="H3" s="611"/>
      <c r="I3" s="611"/>
      <c r="J3" s="428"/>
      <c r="K3" s="428"/>
      <c r="L3" s="428"/>
      <c r="M3" s="428"/>
      <c r="N3" s="612"/>
    </row>
    <row r="4" s="315" customFormat="true" ht="31.5" hidden="false" customHeight="true" outlineLevel="0" collapsed="false">
      <c r="A4" s="613" t="s">
        <v>616</v>
      </c>
      <c r="B4" s="613"/>
      <c r="C4" s="613"/>
      <c r="D4" s="613"/>
      <c r="E4" s="613"/>
      <c r="F4" s="613"/>
      <c r="G4" s="613"/>
      <c r="H4" s="613"/>
      <c r="I4" s="613"/>
      <c r="J4" s="613"/>
      <c r="K4" s="613"/>
      <c r="L4" s="613"/>
      <c r="M4" s="613"/>
      <c r="N4" s="613"/>
      <c r="O4" s="614"/>
      <c r="P4" s="614"/>
      <c r="Q4" s="614"/>
      <c r="R4" s="614"/>
    </row>
    <row r="5" s="620" customFormat="true" ht="41.25" hidden="false" customHeight="true" outlineLevel="0" collapsed="false">
      <c r="A5" s="615" t="s">
        <v>617</v>
      </c>
      <c r="B5" s="615"/>
      <c r="C5" s="615"/>
      <c r="D5" s="615"/>
      <c r="E5" s="616" t="s">
        <v>566</v>
      </c>
      <c r="F5" s="617" t="str">
        <f aca="false">Dados!C7</f>
        <v>Servente de Limpeza 40% Insalubridade</v>
      </c>
      <c r="G5" s="618" t="str">
        <f aca="false">Dados!C8</f>
        <v>Servente de Limpeza  ac. Copeira</v>
      </c>
      <c r="H5" s="618" t="str">
        <f aca="false">Dados!C9</f>
        <v>Zelador</v>
      </c>
      <c r="I5" s="615" t="s">
        <v>617</v>
      </c>
      <c r="J5" s="615"/>
      <c r="K5" s="615"/>
      <c r="L5" s="615"/>
      <c r="M5" s="616" t="s">
        <v>566</v>
      </c>
      <c r="N5" s="619" t="str">
        <f aca="false">Dados!C10</f>
        <v>Auxiliar Administrativo ac. Mensageiro</v>
      </c>
    </row>
    <row r="6" s="133" customFormat="true" ht="22.5" hidden="false" customHeight="true" outlineLevel="0" collapsed="false">
      <c r="A6" s="621" t="s">
        <v>618</v>
      </c>
      <c r="B6" s="622" t="s">
        <v>340</v>
      </c>
      <c r="C6" s="622"/>
      <c r="D6" s="622"/>
      <c r="E6" s="616"/>
      <c r="F6" s="623" t="s">
        <v>619</v>
      </c>
      <c r="G6" s="623"/>
      <c r="H6" s="623"/>
      <c r="I6" s="621" t="s">
        <v>618</v>
      </c>
      <c r="J6" s="622" t="s">
        <v>340</v>
      </c>
      <c r="K6" s="622"/>
      <c r="L6" s="622"/>
      <c r="M6" s="616"/>
      <c r="N6" s="624"/>
    </row>
    <row r="7" customFormat="false" ht="14.25" hidden="false" customHeight="true" outlineLevel="0" collapsed="false">
      <c r="A7" s="625" t="n">
        <v>1</v>
      </c>
      <c r="B7" s="626" t="s">
        <v>620</v>
      </c>
      <c r="C7" s="626"/>
      <c r="D7" s="626"/>
      <c r="E7" s="626"/>
      <c r="F7" s="627" t="n">
        <f aca="false">Dados!M7</f>
        <v>2092.36</v>
      </c>
      <c r="G7" s="627" t="n">
        <f aca="false">Dados!M8</f>
        <v>1529.71</v>
      </c>
      <c r="H7" s="627" t="n">
        <f aca="false">Dados!M9</f>
        <v>1664.39</v>
      </c>
      <c r="I7" s="625" t="n">
        <v>1</v>
      </c>
      <c r="J7" s="626" t="s">
        <v>620</v>
      </c>
      <c r="K7" s="626"/>
      <c r="L7" s="626"/>
      <c r="M7" s="626"/>
      <c r="N7" s="628" t="n">
        <f aca="false">Dados!M10</f>
        <v>1917.67</v>
      </c>
    </row>
    <row r="8" customFormat="false" ht="15" hidden="false" customHeight="false" outlineLevel="0" collapsed="false">
      <c r="A8" s="629" t="s">
        <v>621</v>
      </c>
      <c r="B8" s="630" t="s">
        <v>341</v>
      </c>
      <c r="C8" s="630"/>
      <c r="D8" s="630"/>
      <c r="E8" s="454" t="n">
        <f aca="false">Encargos!C39</f>
        <v>0.0909</v>
      </c>
      <c r="F8" s="631" t="n">
        <f aca="false">ROUND(F7*$E$8,2)</f>
        <v>190.2</v>
      </c>
      <c r="G8" s="631" t="n">
        <f aca="false">ROUND(G7*$E$8,2)</f>
        <v>139.05</v>
      </c>
      <c r="H8" s="631" t="n">
        <f aca="false">ROUND(H7*$E$8,2)</f>
        <v>151.29</v>
      </c>
      <c r="I8" s="629" t="s">
        <v>621</v>
      </c>
      <c r="J8" s="630" t="s">
        <v>341</v>
      </c>
      <c r="K8" s="630"/>
      <c r="L8" s="630"/>
      <c r="M8" s="454" t="n">
        <f aca="false">Encargos!C39</f>
        <v>0.0909</v>
      </c>
      <c r="N8" s="632" t="n">
        <f aca="false">ROUND(N7*$E$8,2)</f>
        <v>174.32</v>
      </c>
    </row>
    <row r="9" customFormat="false" ht="15" hidden="false" customHeight="false" outlineLevel="0" collapsed="false">
      <c r="A9" s="282" t="s">
        <v>622</v>
      </c>
      <c r="B9" s="464" t="s">
        <v>347</v>
      </c>
      <c r="C9" s="464"/>
      <c r="D9" s="464"/>
      <c r="E9" s="633" t="n">
        <f aca="false">E8*Encargos!C18</f>
        <v>0.0361782</v>
      </c>
      <c r="F9" s="634" t="n">
        <f aca="false">ROUND(F7*$E$9,2)</f>
        <v>75.7</v>
      </c>
      <c r="G9" s="634" t="n">
        <f aca="false">ROUND(G7*$E$9,2)</f>
        <v>55.34</v>
      </c>
      <c r="H9" s="634" t="n">
        <f aca="false">ROUND(H7*$E$9,2)</f>
        <v>60.21</v>
      </c>
      <c r="I9" s="282" t="s">
        <v>622</v>
      </c>
      <c r="J9" s="464" t="s">
        <v>347</v>
      </c>
      <c r="K9" s="464"/>
      <c r="L9" s="464"/>
      <c r="M9" s="633" t="n">
        <f aca="false">M8*Encargos!C18</f>
        <v>0.0361782</v>
      </c>
      <c r="N9" s="635" t="n">
        <f aca="false">ROUND(N7*$E$9,2)</f>
        <v>69.38</v>
      </c>
    </row>
    <row r="10" customFormat="false" ht="12.75" hidden="false" customHeight="true" outlineLevel="0" collapsed="false">
      <c r="A10" s="636" t="s">
        <v>623</v>
      </c>
      <c r="B10" s="636"/>
      <c r="C10" s="636"/>
      <c r="D10" s="636"/>
      <c r="E10" s="637" t="n">
        <f aca="false">SUM(E8:E9)</f>
        <v>0.1270782</v>
      </c>
      <c r="F10" s="638" t="n">
        <f aca="false">SUM(F8:F9)</f>
        <v>265.9</v>
      </c>
      <c r="G10" s="638" t="n">
        <f aca="false">SUM(G8:G9)</f>
        <v>194.39</v>
      </c>
      <c r="H10" s="638" t="n">
        <f aca="false">SUM(H8:H9)</f>
        <v>211.5</v>
      </c>
      <c r="I10" s="636" t="s">
        <v>623</v>
      </c>
      <c r="J10" s="636"/>
      <c r="K10" s="636"/>
      <c r="L10" s="636"/>
      <c r="M10" s="637" t="n">
        <f aca="false">SUM(M8:M9)</f>
        <v>0.1270782</v>
      </c>
      <c r="N10" s="639" t="n">
        <f aca="false">SUM(N8:N9)</f>
        <v>243.7</v>
      </c>
    </row>
    <row r="11" customFormat="false" ht="12.75" hidden="false" customHeight="true" outlineLevel="0" collapsed="false">
      <c r="A11" s="636" t="s">
        <v>624</v>
      </c>
      <c r="B11" s="636"/>
      <c r="C11" s="636"/>
      <c r="D11" s="636"/>
      <c r="E11" s="636"/>
      <c r="F11" s="638" t="n">
        <f aca="false">F10*12</f>
        <v>3190.8</v>
      </c>
      <c r="G11" s="638" t="n">
        <f aca="false">G10*12</f>
        <v>2332.68</v>
      </c>
      <c r="H11" s="638" t="n">
        <f aca="false">H10*12</f>
        <v>2538</v>
      </c>
      <c r="I11" s="636" t="s">
        <v>624</v>
      </c>
      <c r="J11" s="636"/>
      <c r="K11" s="636"/>
      <c r="L11" s="636"/>
      <c r="M11" s="636"/>
      <c r="N11" s="639" t="n">
        <f aca="false">N10*12</f>
        <v>2924.4</v>
      </c>
    </row>
    <row r="12" customFormat="false" ht="15" hidden="false" customHeight="false" outlineLevel="0" collapsed="false">
      <c r="A12" s="640" t="n">
        <v>2</v>
      </c>
      <c r="B12" s="641" t="s">
        <v>625</v>
      </c>
      <c r="C12" s="641"/>
      <c r="D12" s="641"/>
      <c r="E12" s="642"/>
      <c r="F12" s="643" t="s">
        <v>485</v>
      </c>
      <c r="G12" s="643"/>
      <c r="H12" s="643"/>
      <c r="I12" s="640" t="n">
        <v>2</v>
      </c>
      <c r="J12" s="644" t="s">
        <v>625</v>
      </c>
      <c r="K12" s="644"/>
      <c r="L12" s="644"/>
      <c r="M12" s="645"/>
      <c r="N12" s="645"/>
    </row>
    <row r="13" customFormat="false" ht="15" hidden="false" customHeight="false" outlineLevel="0" collapsed="false">
      <c r="A13" s="282" t="s">
        <v>621</v>
      </c>
      <c r="B13" s="464" t="s">
        <v>626</v>
      </c>
      <c r="C13" s="464"/>
      <c r="D13" s="464"/>
      <c r="E13" s="50"/>
      <c r="F13" s="442" t="n">
        <f aca="false">'Serv Ins'!$F$23</f>
        <v>510.4</v>
      </c>
      <c r="G13" s="442" t="n">
        <f aca="false">'Serv Copeira'!$F$23</f>
        <v>510.4</v>
      </c>
      <c r="H13" s="442" t="n">
        <f aca="false">Zel!$F$23</f>
        <v>0</v>
      </c>
      <c r="I13" s="282" t="s">
        <v>621</v>
      </c>
      <c r="J13" s="464" t="s">
        <v>626</v>
      </c>
      <c r="K13" s="464"/>
      <c r="L13" s="464"/>
      <c r="M13" s="646"/>
      <c r="N13" s="647" t="n">
        <f aca="false">'Aux Adm'!$F$23</f>
        <v>510.4</v>
      </c>
    </row>
    <row r="14" customFormat="false" ht="15" hidden="false" customHeight="false" outlineLevel="0" collapsed="false">
      <c r="A14" s="282" t="s">
        <v>627</v>
      </c>
      <c r="B14" s="464" t="s">
        <v>628</v>
      </c>
      <c r="C14" s="464"/>
      <c r="D14" s="464"/>
      <c r="E14" s="50"/>
      <c r="F14" s="442" t="n">
        <f aca="false">'Serv Ins'!$F$22</f>
        <v>130.89</v>
      </c>
      <c r="G14" s="442" t="n">
        <f aca="false">'Serv Copeira'!$F$22</f>
        <v>130.89</v>
      </c>
      <c r="H14" s="442" t="n">
        <f aca="false">Zel!$F$22</f>
        <v>120.14</v>
      </c>
      <c r="I14" s="282" t="s">
        <v>627</v>
      </c>
      <c r="J14" s="464" t="s">
        <v>628</v>
      </c>
      <c r="K14" s="464"/>
      <c r="L14" s="464"/>
      <c r="M14" s="646"/>
      <c r="N14" s="647" t="n">
        <f aca="false">'Aux Adm'!$F$22</f>
        <v>108.29</v>
      </c>
    </row>
    <row r="15" customFormat="false" ht="15" hidden="false" customHeight="false" outlineLevel="0" collapsed="false">
      <c r="A15" s="282" t="s">
        <v>629</v>
      </c>
      <c r="B15" s="648" t="s">
        <v>630</v>
      </c>
      <c r="C15" s="648"/>
      <c r="D15" s="648"/>
      <c r="E15" s="50"/>
      <c r="F15" s="442" t="n">
        <v>0</v>
      </c>
      <c r="G15" s="442" t="n">
        <v>0</v>
      </c>
      <c r="H15" s="442" t="n">
        <v>0</v>
      </c>
      <c r="I15" s="282" t="s">
        <v>629</v>
      </c>
      <c r="J15" s="648" t="s">
        <v>630</v>
      </c>
      <c r="K15" s="648"/>
      <c r="L15" s="648"/>
      <c r="M15" s="646"/>
      <c r="N15" s="647" t="n">
        <v>0</v>
      </c>
    </row>
    <row r="16" customFormat="false" ht="15" hidden="false" customHeight="false" outlineLevel="0" collapsed="false">
      <c r="A16" s="649" t="s">
        <v>631</v>
      </c>
      <c r="B16" s="649"/>
      <c r="C16" s="649"/>
      <c r="D16" s="649"/>
      <c r="E16" s="649"/>
      <c r="F16" s="650" t="n">
        <f aca="false">SUM(F13:F15)</f>
        <v>641.29</v>
      </c>
      <c r="G16" s="650" t="n">
        <f aca="false">SUM(G13:G15)</f>
        <v>641.29</v>
      </c>
      <c r="H16" s="650" t="n">
        <f aca="false">SUM(H13:H15)</f>
        <v>120.14</v>
      </c>
      <c r="I16" s="649" t="s">
        <v>631</v>
      </c>
      <c r="J16" s="649"/>
      <c r="K16" s="649"/>
      <c r="L16" s="649"/>
      <c r="M16" s="649"/>
      <c r="N16" s="651" t="n">
        <f aca="false">SUM(N13:N15)</f>
        <v>618.69</v>
      </c>
    </row>
    <row r="17" customFormat="false" ht="12.75" hidden="false" customHeight="true" outlineLevel="0" collapsed="false">
      <c r="A17" s="640" t="n">
        <v>5</v>
      </c>
      <c r="B17" s="652" t="s">
        <v>632</v>
      </c>
      <c r="C17" s="652"/>
      <c r="D17" s="652"/>
      <c r="E17" s="653" t="s">
        <v>566</v>
      </c>
      <c r="F17" s="643" t="s">
        <v>485</v>
      </c>
      <c r="G17" s="643"/>
      <c r="H17" s="643"/>
      <c r="I17" s="640" t="n">
        <v>5</v>
      </c>
      <c r="J17" s="652" t="s">
        <v>632</v>
      </c>
      <c r="K17" s="652"/>
      <c r="L17" s="652"/>
      <c r="M17" s="645"/>
      <c r="N17" s="645"/>
    </row>
    <row r="18" customFormat="false" ht="12.75" hidden="false" customHeight="true" outlineLevel="0" collapsed="false">
      <c r="A18" s="282" t="s">
        <v>621</v>
      </c>
      <c r="B18" s="283" t="s">
        <v>633</v>
      </c>
      <c r="C18" s="283"/>
      <c r="D18" s="283"/>
      <c r="E18" s="444" t="n">
        <f aca="false">Dados!$G$43</f>
        <v>0.03</v>
      </c>
      <c r="F18" s="654" t="n">
        <f aca="false">ROUND(($E$18*F31),2)</f>
        <v>114.96</v>
      </c>
      <c r="G18" s="654" t="n">
        <f aca="false">ROUND(($E$18*G31),2)</f>
        <v>89.22</v>
      </c>
      <c r="H18" s="654" t="n">
        <f aca="false">ROUND(($E$18*H31),2)</f>
        <v>79.74</v>
      </c>
      <c r="I18" s="282" t="s">
        <v>621</v>
      </c>
      <c r="J18" s="283" t="s">
        <v>633</v>
      </c>
      <c r="K18" s="283"/>
      <c r="L18" s="283"/>
      <c r="M18" s="655" t="n">
        <f aca="false">Dados!$G$43</f>
        <v>0.03</v>
      </c>
      <c r="N18" s="656" t="n">
        <f aca="false">ROUND(($E$18*N31),2)</f>
        <v>106.29</v>
      </c>
    </row>
    <row r="19" customFormat="false" ht="12.75" hidden="false" customHeight="true" outlineLevel="0" collapsed="false">
      <c r="A19" s="282" t="s">
        <v>627</v>
      </c>
      <c r="B19" s="283" t="s">
        <v>248</v>
      </c>
      <c r="C19" s="283"/>
      <c r="D19" s="283"/>
      <c r="E19" s="444" t="n">
        <f aca="false">Dados!$G$44</f>
        <v>0.0679</v>
      </c>
      <c r="F19" s="654" t="n">
        <f aca="false">ROUND(($E$19*(F18+F31)),2)</f>
        <v>268</v>
      </c>
      <c r="G19" s="654" t="n">
        <f aca="false">ROUND(($E$19*(G18+G31)),2)</f>
        <v>207.99</v>
      </c>
      <c r="H19" s="654" t="n">
        <f aca="false">ROUND(($E$19*(H18+H31)),2)</f>
        <v>185.9</v>
      </c>
      <c r="I19" s="282" t="s">
        <v>627</v>
      </c>
      <c r="J19" s="283" t="s">
        <v>248</v>
      </c>
      <c r="K19" s="283"/>
      <c r="L19" s="283"/>
      <c r="M19" s="655" t="n">
        <f aca="false">Dados!$G$44</f>
        <v>0.0679</v>
      </c>
      <c r="N19" s="656" t="n">
        <f aca="false">ROUND(($E$19*(N18+N31)),2)</f>
        <v>247.79</v>
      </c>
    </row>
    <row r="20" customFormat="false" ht="12.75" hidden="false" customHeight="true" outlineLevel="0" collapsed="false">
      <c r="A20" s="657" t="s">
        <v>629</v>
      </c>
      <c r="B20" s="658" t="s">
        <v>634</v>
      </c>
      <c r="C20" s="658"/>
      <c r="D20" s="658"/>
      <c r="E20" s="637" t="n">
        <f aca="false">SUM(E21:E24)</f>
        <v>0.1225</v>
      </c>
      <c r="F20" s="659" t="n">
        <f aca="false">ROUND((((F31+F18+F19)/(1-$E$20))-(F31+F18+F19)),2)</f>
        <v>588.43</v>
      </c>
      <c r="G20" s="659" t="n">
        <f aca="false">ROUND((((G31+G18+G19)/(1-$E$20))-(G31+G18+G19)),2)</f>
        <v>456.66</v>
      </c>
      <c r="H20" s="659" t="n">
        <f aca="false">ROUND((((H31+H18+H19)/(1-$E$20))-(H31+H18+H19)),2)</f>
        <v>408.16</v>
      </c>
      <c r="I20" s="657" t="s">
        <v>629</v>
      </c>
      <c r="J20" s="658" t="s">
        <v>634</v>
      </c>
      <c r="K20" s="658"/>
      <c r="L20" s="658"/>
      <c r="M20" s="660" t="n">
        <f aca="false">SUM(M21:M24)</f>
        <v>0.05</v>
      </c>
      <c r="N20" s="661" t="n">
        <f aca="false">ROUND((((N31+N18+N19)/(1-$E$20))-(N31+N18+N19)),2)</f>
        <v>544.05</v>
      </c>
    </row>
    <row r="21" customFormat="false" ht="12.75" hidden="false" customHeight="true" outlineLevel="0" collapsed="false">
      <c r="A21" s="92" t="s">
        <v>635</v>
      </c>
      <c r="B21" s="283" t="s">
        <v>636</v>
      </c>
      <c r="C21" s="283"/>
      <c r="D21" s="283"/>
      <c r="E21" s="444" t="n">
        <f aca="false">Dados!G51+Dados!G52</f>
        <v>0.0925</v>
      </c>
      <c r="F21" s="654" t="n">
        <f aca="false">ROUND($E$21*F33,2)</f>
        <v>444.32</v>
      </c>
      <c r="G21" s="654" t="n">
        <f aca="false">ROUND($E$21*G33,2)</f>
        <v>344.83</v>
      </c>
      <c r="H21" s="654" t="n">
        <f aca="false">ROUND($E$21*H33,2)</f>
        <v>308.2</v>
      </c>
      <c r="I21" s="92" t="s">
        <v>635</v>
      </c>
      <c r="J21" s="283" t="s">
        <v>636</v>
      </c>
      <c r="K21" s="283"/>
      <c r="L21" s="283"/>
      <c r="M21" s="655" t="n">
        <f aca="false">Dados!P51+Dados!P52</f>
        <v>0</v>
      </c>
      <c r="N21" s="656" t="n">
        <f aca="false">ROUND($E$21*N33,2)</f>
        <v>410.81</v>
      </c>
    </row>
    <row r="22" customFormat="false" ht="12.75" hidden="false" customHeight="true" outlineLevel="0" collapsed="false">
      <c r="A22" s="282" t="s">
        <v>637</v>
      </c>
      <c r="B22" s="283" t="s">
        <v>638</v>
      </c>
      <c r="C22" s="283"/>
      <c r="D22" s="283"/>
      <c r="E22" s="444" t="n">
        <v>0</v>
      </c>
      <c r="F22" s="654" t="n">
        <f aca="false">ROUND($E$22*F33,2)</f>
        <v>0</v>
      </c>
      <c r="G22" s="654" t="n">
        <f aca="false">ROUND($E$22*G33,2)</f>
        <v>0</v>
      </c>
      <c r="H22" s="654" t="n">
        <f aca="false">ROUND($E$22*H33,2)</f>
        <v>0</v>
      </c>
      <c r="I22" s="282" t="s">
        <v>637</v>
      </c>
      <c r="J22" s="283" t="s">
        <v>638</v>
      </c>
      <c r="K22" s="283"/>
      <c r="L22" s="283"/>
      <c r="M22" s="655" t="n">
        <v>0</v>
      </c>
      <c r="N22" s="656" t="n">
        <f aca="false">ROUND($E$22*N33,2)</f>
        <v>0</v>
      </c>
    </row>
    <row r="23" customFormat="false" ht="12.75" hidden="false" customHeight="true" outlineLevel="0" collapsed="false">
      <c r="A23" s="282" t="s">
        <v>639</v>
      </c>
      <c r="B23" s="283" t="str">
        <f aca="false">Dados!B53</f>
        <v>ISSQN - Limpeza e Conservação</v>
      </c>
      <c r="C23" s="283"/>
      <c r="D23" s="283"/>
      <c r="E23" s="444" t="n">
        <f aca="false">Dados!G53</f>
        <v>0.03</v>
      </c>
      <c r="F23" s="654" t="n">
        <f aca="false">ROUND($E$23*F33,2)</f>
        <v>144.1</v>
      </c>
      <c r="G23" s="654" t="n">
        <f aca="false">ROUND($E$23*G33,2)</f>
        <v>111.84</v>
      </c>
      <c r="H23" s="654" t="n">
        <f aca="false">ROUND($E$23*H33,2)</f>
        <v>99.96</v>
      </c>
      <c r="I23" s="282" t="s">
        <v>639</v>
      </c>
      <c r="J23" s="283" t="str">
        <f aca="false">Dados!B53</f>
        <v>ISSQN - Limpeza e Conservação</v>
      </c>
      <c r="K23" s="283"/>
      <c r="L23" s="283"/>
      <c r="M23" s="655" t="n">
        <v>0</v>
      </c>
      <c r="N23" s="656" t="n">
        <f aca="false">ROUND(M23*N33,2)</f>
        <v>0</v>
      </c>
    </row>
    <row r="24" customFormat="false" ht="15" hidden="false" customHeight="false" outlineLevel="0" collapsed="false">
      <c r="A24" s="282" t="s">
        <v>640</v>
      </c>
      <c r="B24" s="283" t="str">
        <f aca="false">Dados!B54</f>
        <v>ISSQN - Serviços Administrativos</v>
      </c>
      <c r="C24" s="283"/>
      <c r="D24" s="283"/>
      <c r="E24" s="444" t="n">
        <v>0</v>
      </c>
      <c r="F24" s="654" t="n">
        <f aca="false">ROUND($E$24*F33,2)</f>
        <v>0</v>
      </c>
      <c r="G24" s="654" t="n">
        <f aca="false">ROUND($E$24*G33,2)</f>
        <v>0</v>
      </c>
      <c r="H24" s="654" t="n">
        <f aca="false">ROUND($E$24*H33,2)</f>
        <v>0</v>
      </c>
      <c r="I24" s="282" t="s">
        <v>640</v>
      </c>
      <c r="J24" s="283" t="str">
        <f aca="false">Dados!B54</f>
        <v>ISSQN - Serviços Administrativos</v>
      </c>
      <c r="K24" s="283"/>
      <c r="L24" s="283"/>
      <c r="M24" s="655" t="n">
        <f aca="false">Dados!G54</f>
        <v>0.05</v>
      </c>
      <c r="N24" s="656" t="n">
        <f aca="false">ROUND(M24*N33,2)</f>
        <v>222.06</v>
      </c>
    </row>
    <row r="25" customFormat="false" ht="15" hidden="false" customHeight="false" outlineLevel="0" collapsed="false">
      <c r="A25" s="662" t="s">
        <v>641</v>
      </c>
      <c r="B25" s="445"/>
      <c r="C25" s="445"/>
      <c r="D25" s="445"/>
      <c r="E25" s="663"/>
      <c r="F25" s="664" t="n">
        <f aca="false">SUM(F18:F20)</f>
        <v>971.39</v>
      </c>
      <c r="G25" s="664" t="n">
        <f aca="false">SUM(G18:G20)</f>
        <v>753.87</v>
      </c>
      <c r="H25" s="664" t="n">
        <f aca="false">SUM(H18:H20)</f>
        <v>673.8</v>
      </c>
      <c r="I25" s="665" t="s">
        <v>641</v>
      </c>
      <c r="J25" s="665"/>
      <c r="K25" s="665"/>
      <c r="L25" s="665"/>
      <c r="M25" s="666"/>
      <c r="N25" s="667" t="n">
        <f aca="false">SUM(N18:N20)</f>
        <v>898.13</v>
      </c>
    </row>
    <row r="26" customFormat="false" ht="19.5" hidden="false" customHeight="true" outlineLevel="0" collapsed="false">
      <c r="A26" s="668" t="s">
        <v>642</v>
      </c>
      <c r="B26" s="668"/>
      <c r="C26" s="668"/>
      <c r="D26" s="668"/>
      <c r="E26" s="668"/>
      <c r="F26" s="668"/>
      <c r="G26" s="668"/>
      <c r="H26" s="668"/>
      <c r="I26" s="668"/>
      <c r="J26" s="668"/>
      <c r="K26" s="668"/>
      <c r="L26" s="668"/>
      <c r="M26" s="668"/>
      <c r="N26" s="668"/>
    </row>
    <row r="27" customFormat="false" ht="18" hidden="false" customHeight="true" outlineLevel="0" collapsed="false">
      <c r="A27" s="669" t="s">
        <v>643</v>
      </c>
      <c r="B27" s="669"/>
      <c r="C27" s="669"/>
      <c r="D27" s="669"/>
      <c r="E27" s="669"/>
      <c r="F27" s="669"/>
      <c r="G27" s="669"/>
      <c r="H27" s="669"/>
      <c r="I27" s="669"/>
      <c r="J27" s="669"/>
      <c r="K27" s="669"/>
      <c r="L27" s="669"/>
      <c r="M27" s="669"/>
      <c r="N27" s="669"/>
    </row>
    <row r="28" customFormat="false" ht="14.25" hidden="false" customHeight="true" outlineLevel="0" collapsed="false">
      <c r="A28" s="670" t="s">
        <v>644</v>
      </c>
      <c r="B28" s="671"/>
      <c r="C28" s="671"/>
      <c r="D28" s="671"/>
      <c r="E28" s="672"/>
      <c r="F28" s="673" t="s">
        <v>485</v>
      </c>
      <c r="G28" s="673"/>
      <c r="H28" s="673"/>
      <c r="I28" s="674" t="s">
        <v>644</v>
      </c>
      <c r="J28" s="671"/>
      <c r="K28" s="671"/>
      <c r="L28" s="671"/>
      <c r="M28" s="675"/>
      <c r="N28" s="675"/>
    </row>
    <row r="29" customFormat="false" ht="15" hidden="false" customHeight="false" outlineLevel="0" collapsed="false">
      <c r="A29" s="282" t="s">
        <v>621</v>
      </c>
      <c r="B29" s="648" t="s">
        <v>645</v>
      </c>
      <c r="C29" s="648"/>
      <c r="D29" s="648"/>
      <c r="E29" s="50"/>
      <c r="F29" s="676" t="n">
        <f aca="false">F11</f>
        <v>3190.8</v>
      </c>
      <c r="G29" s="676" t="n">
        <f aca="false">G11</f>
        <v>2332.68</v>
      </c>
      <c r="H29" s="676" t="n">
        <f aca="false">H11</f>
        <v>2538</v>
      </c>
      <c r="I29" s="282" t="s">
        <v>621</v>
      </c>
      <c r="J29" s="648" t="s">
        <v>645</v>
      </c>
      <c r="K29" s="648"/>
      <c r="L29" s="648"/>
      <c r="M29" s="677"/>
      <c r="N29" s="678" t="n">
        <f aca="false">N11</f>
        <v>2924.4</v>
      </c>
    </row>
    <row r="30" customFormat="false" ht="15" hidden="false" customHeight="false" outlineLevel="0" collapsed="false">
      <c r="A30" s="282" t="s">
        <v>627</v>
      </c>
      <c r="B30" s="648" t="s">
        <v>625</v>
      </c>
      <c r="C30" s="648"/>
      <c r="D30" s="648"/>
      <c r="E30" s="50"/>
      <c r="F30" s="676" t="n">
        <f aca="false">F16</f>
        <v>641.29</v>
      </c>
      <c r="G30" s="676" t="n">
        <f aca="false">G16</f>
        <v>641.29</v>
      </c>
      <c r="H30" s="676" t="n">
        <f aca="false">H16</f>
        <v>120.14</v>
      </c>
      <c r="I30" s="282" t="s">
        <v>627</v>
      </c>
      <c r="J30" s="648" t="s">
        <v>625</v>
      </c>
      <c r="K30" s="648"/>
      <c r="L30" s="648"/>
      <c r="M30" s="679"/>
      <c r="N30" s="678" t="n">
        <f aca="false">N16</f>
        <v>618.69</v>
      </c>
    </row>
    <row r="31" customFormat="false" ht="15" hidden="false" customHeight="false" outlineLevel="0" collapsed="false">
      <c r="A31" s="649" t="s">
        <v>646</v>
      </c>
      <c r="B31" s="649"/>
      <c r="C31" s="649"/>
      <c r="D31" s="649"/>
      <c r="E31" s="680"/>
      <c r="F31" s="659" t="n">
        <f aca="false">SUM(F29:F30)</f>
        <v>3832.09</v>
      </c>
      <c r="G31" s="659" t="n">
        <f aca="false">SUM(G29:G30)</f>
        <v>2973.97</v>
      </c>
      <c r="H31" s="659" t="n">
        <f aca="false">SUM(H29:H30)</f>
        <v>2658.14</v>
      </c>
      <c r="I31" s="649" t="s">
        <v>646</v>
      </c>
      <c r="J31" s="649"/>
      <c r="K31" s="649"/>
      <c r="L31" s="649"/>
      <c r="M31" s="679"/>
      <c r="N31" s="681" t="n">
        <f aca="false">SUM(N29:N30)</f>
        <v>3543.09</v>
      </c>
    </row>
    <row r="32" customFormat="false" ht="15" hidden="false" customHeight="false" outlineLevel="0" collapsed="false">
      <c r="A32" s="440" t="s">
        <v>647</v>
      </c>
      <c r="B32" s="682" t="s">
        <v>648</v>
      </c>
      <c r="C32" s="682"/>
      <c r="D32" s="682"/>
      <c r="E32" s="663"/>
      <c r="F32" s="683" t="n">
        <f aca="false">F25</f>
        <v>971.39</v>
      </c>
      <c r="G32" s="683" t="n">
        <f aca="false">G25</f>
        <v>753.87</v>
      </c>
      <c r="H32" s="683" t="n">
        <f aca="false">H25</f>
        <v>673.8</v>
      </c>
      <c r="I32" s="440" t="s">
        <v>647</v>
      </c>
      <c r="J32" s="682" t="s">
        <v>648</v>
      </c>
      <c r="K32" s="682"/>
      <c r="L32" s="682"/>
      <c r="M32" s="684"/>
      <c r="N32" s="685" t="n">
        <f aca="false">N25</f>
        <v>898.13</v>
      </c>
    </row>
    <row r="33" customFormat="false" ht="19.5" hidden="false" customHeight="true" outlineLevel="0" collapsed="false">
      <c r="A33" s="686" t="s">
        <v>649</v>
      </c>
      <c r="B33" s="687"/>
      <c r="C33" s="687"/>
      <c r="D33" s="687"/>
      <c r="E33" s="688"/>
      <c r="F33" s="689" t="n">
        <f aca="false">SUM(F31:F32)</f>
        <v>4803.48</v>
      </c>
      <c r="G33" s="689" t="n">
        <f aca="false">SUM(G31:G32)</f>
        <v>3727.84</v>
      </c>
      <c r="H33" s="689" t="n">
        <f aca="false">SUM(H31:H32)</f>
        <v>3331.94</v>
      </c>
      <c r="I33" s="690" t="s">
        <v>649</v>
      </c>
      <c r="J33" s="687"/>
      <c r="K33" s="687"/>
      <c r="L33" s="687"/>
      <c r="M33" s="691"/>
      <c r="N33" s="692" t="n">
        <f aca="false">SUM(N31:N32)</f>
        <v>4441.22</v>
      </c>
    </row>
  </sheetData>
  <sheetProtection algorithmName="SHA-512" hashValue="ZO+iucUugUTbSevsX0XLTmNkTwo/o/tYtA881o5pSjijBfuz39lCmoNQ+I8lMAt+dSg/Okut1gOaTfcPt7qNIw==" saltValue="EMrNxkwCBKHz/zDmYzpN/w==" spinCount="100000" sheet="true" objects="true" scenarios="true"/>
  <mergeCells count="49">
    <mergeCell ref="A4:N4"/>
    <mergeCell ref="A5:D5"/>
    <mergeCell ref="E5:E6"/>
    <mergeCell ref="I5:L5"/>
    <mergeCell ref="M5:M6"/>
    <mergeCell ref="B6:D6"/>
    <mergeCell ref="F6:H6"/>
    <mergeCell ref="J6:L6"/>
    <mergeCell ref="B7:E7"/>
    <mergeCell ref="J7:M7"/>
    <mergeCell ref="B8:D8"/>
    <mergeCell ref="J8:L8"/>
    <mergeCell ref="B9:D9"/>
    <mergeCell ref="J9:L9"/>
    <mergeCell ref="A10:D10"/>
    <mergeCell ref="I10:L10"/>
    <mergeCell ref="A11:E11"/>
    <mergeCell ref="I11:M11"/>
    <mergeCell ref="F12:H12"/>
    <mergeCell ref="J12:L12"/>
    <mergeCell ref="B13:D13"/>
    <mergeCell ref="J13:L13"/>
    <mergeCell ref="B14:D14"/>
    <mergeCell ref="J14:L14"/>
    <mergeCell ref="A16:E16"/>
    <mergeCell ref="I16:M16"/>
    <mergeCell ref="B17:D17"/>
    <mergeCell ref="F17:H17"/>
    <mergeCell ref="J17:L17"/>
    <mergeCell ref="B18:D18"/>
    <mergeCell ref="J18:L18"/>
    <mergeCell ref="B19:D19"/>
    <mergeCell ref="J19:L19"/>
    <mergeCell ref="B20:D20"/>
    <mergeCell ref="J20:L20"/>
    <mergeCell ref="B21:D21"/>
    <mergeCell ref="J21:L21"/>
    <mergeCell ref="B22:D22"/>
    <mergeCell ref="J22:L22"/>
    <mergeCell ref="B23:D23"/>
    <mergeCell ref="J23:L23"/>
    <mergeCell ref="B24:D24"/>
    <mergeCell ref="J24:L24"/>
    <mergeCell ref="I25:L25"/>
    <mergeCell ref="A26:N26"/>
    <mergeCell ref="A27:N27"/>
    <mergeCell ref="F28:H28"/>
    <mergeCell ref="A31:D31"/>
    <mergeCell ref="I31:L31"/>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I23"/>
  <sheetViews>
    <sheetView showFormulas="false" showGridLines="false" showRowColHeaders="true" showZeros="true" rightToLeft="false" tabSelected="false" showOutlineSymbols="true" defaultGridColor="true" view="pageBreakPreview" topLeftCell="A1" colorId="64" zoomScale="120" zoomScaleNormal="100" zoomScalePageLayoutView="12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203" width="7.86"/>
    <col collapsed="false" customWidth="true" hidden="false" outlineLevel="0" max="2" min="2" style="203" width="7.29"/>
    <col collapsed="false" customWidth="true" hidden="false" outlineLevel="0" max="3" min="3" style="203" width="4.42"/>
    <col collapsed="false" customWidth="true" hidden="false" outlineLevel="0" max="4" min="4" style="203" width="7.57"/>
    <col collapsed="false" customWidth="true" hidden="false" outlineLevel="0" max="5" min="5" style="203" width="5.42"/>
    <col collapsed="false" customWidth="true" hidden="false" outlineLevel="0" max="6" min="6" style="203" width="8.29"/>
    <col collapsed="false" customWidth="true" hidden="false" outlineLevel="0" max="7" min="7" style="203" width="7.42"/>
    <col collapsed="false" customWidth="true" hidden="false" outlineLevel="0" max="8" min="8" style="203" width="3.29"/>
    <col collapsed="false" customWidth="true" hidden="false" outlineLevel="0" max="9" min="9" style="203" width="7.29"/>
    <col collapsed="false" customWidth="true" hidden="false" outlineLevel="0" max="10" min="10" style="203" width="4.42"/>
    <col collapsed="false" customWidth="true" hidden="false" outlineLevel="0" max="11" min="11" style="203" width="7.57"/>
    <col collapsed="false" customWidth="true" hidden="false" outlineLevel="0" max="12" min="12" style="203" width="5.42"/>
    <col collapsed="false" customWidth="true" hidden="false" outlineLevel="0" max="13" min="13" style="203" width="8.29"/>
    <col collapsed="false" customWidth="true" hidden="false" outlineLevel="0" max="14" min="14" style="203" width="7.42"/>
    <col collapsed="false" customWidth="true" hidden="false" outlineLevel="0" max="15" min="15" style="203" width="3"/>
    <col collapsed="false" customWidth="true" hidden="false" outlineLevel="0" max="16" min="16" style="203" width="7.29"/>
    <col collapsed="false" customWidth="true" hidden="false" outlineLevel="0" max="17" min="17" style="203" width="4.42"/>
    <col collapsed="false" customWidth="true" hidden="false" outlineLevel="0" max="18" min="18" style="203" width="7.57"/>
    <col collapsed="false" customWidth="true" hidden="false" outlineLevel="0" max="19" min="19" style="203" width="5.42"/>
    <col collapsed="false" customWidth="true" hidden="false" outlineLevel="0" max="20" min="20" style="203" width="8.29"/>
    <col collapsed="false" customWidth="true" hidden="false" outlineLevel="0" max="21" min="21" style="203" width="7.42"/>
    <col collapsed="false" customWidth="true" hidden="false" outlineLevel="0" max="22" min="22" style="203" width="3"/>
    <col collapsed="false" customWidth="true" hidden="false" outlineLevel="0" max="23" min="23" style="203" width="7.29"/>
    <col collapsed="false" customWidth="true" hidden="false" outlineLevel="0" max="24" min="24" style="203" width="4.42"/>
    <col collapsed="false" customWidth="true" hidden="false" outlineLevel="0" max="25" min="25" style="203" width="7.57"/>
    <col collapsed="false" customWidth="true" hidden="false" outlineLevel="0" max="26" min="26" style="203" width="5.42"/>
    <col collapsed="false" customWidth="true" hidden="false" outlineLevel="0" max="27" min="27" style="203" width="8.29"/>
    <col collapsed="false" customWidth="true" hidden="false" outlineLevel="0" max="28" min="28" style="203" width="7.42"/>
    <col collapsed="false" customWidth="true" hidden="false" outlineLevel="0" max="29" min="29" style="203" width="3"/>
    <col collapsed="false" customWidth="true" hidden="false" outlineLevel="0" max="30" min="30" style="203" width="7.29"/>
    <col collapsed="false" customWidth="true" hidden="false" outlineLevel="0" max="31" min="31" style="203" width="4.42"/>
    <col collapsed="false" customWidth="true" hidden="false" outlineLevel="0" max="257" min="257" style="203" width="1.42"/>
    <col collapsed="false" customWidth="true" hidden="false" outlineLevel="0" max="258" min="258" style="203" width="7.29"/>
    <col collapsed="false" customWidth="true" hidden="false" outlineLevel="0" max="259" min="259" style="203" width="4.42"/>
    <col collapsed="false" customWidth="true" hidden="false" outlineLevel="0" max="260" min="260" style="203" width="7.57"/>
    <col collapsed="false" customWidth="true" hidden="false" outlineLevel="0" max="261" min="261" style="203" width="5.42"/>
    <col collapsed="false" customWidth="true" hidden="false" outlineLevel="0" max="262" min="262" style="203" width="8.29"/>
    <col collapsed="false" customWidth="true" hidden="false" outlineLevel="0" max="263" min="263" style="203" width="7.42"/>
    <col collapsed="false" customWidth="true" hidden="false" outlineLevel="0" max="264" min="264" style="203" width="3.29"/>
    <col collapsed="false" customWidth="true" hidden="false" outlineLevel="0" max="265" min="265" style="203" width="7.29"/>
    <col collapsed="false" customWidth="true" hidden="false" outlineLevel="0" max="266" min="266" style="203" width="4.42"/>
    <col collapsed="false" customWidth="true" hidden="false" outlineLevel="0" max="267" min="267" style="203" width="7.57"/>
    <col collapsed="false" customWidth="true" hidden="false" outlineLevel="0" max="268" min="268" style="203" width="5.42"/>
    <col collapsed="false" customWidth="true" hidden="false" outlineLevel="0" max="269" min="269" style="203" width="8.29"/>
    <col collapsed="false" customWidth="true" hidden="false" outlineLevel="0" max="270" min="270" style="203" width="7.42"/>
    <col collapsed="false" customWidth="true" hidden="false" outlineLevel="0" max="271" min="271" style="203" width="3"/>
    <col collapsed="false" customWidth="true" hidden="false" outlineLevel="0" max="272" min="272" style="203" width="7.29"/>
    <col collapsed="false" customWidth="true" hidden="false" outlineLevel="0" max="273" min="273" style="203" width="4.42"/>
    <col collapsed="false" customWidth="true" hidden="false" outlineLevel="0" max="274" min="274" style="203" width="7.57"/>
    <col collapsed="false" customWidth="true" hidden="false" outlineLevel="0" max="275" min="275" style="203" width="5.42"/>
    <col collapsed="false" customWidth="true" hidden="false" outlineLevel="0" max="276" min="276" style="203" width="8.29"/>
    <col collapsed="false" customWidth="true" hidden="false" outlineLevel="0" max="277" min="277" style="203" width="7.42"/>
    <col collapsed="false" customWidth="true" hidden="false" outlineLevel="0" max="278" min="278" style="203" width="3"/>
    <col collapsed="false" customWidth="true" hidden="false" outlineLevel="0" max="279" min="279" style="203" width="7.29"/>
    <col collapsed="false" customWidth="true" hidden="false" outlineLevel="0" max="280" min="280" style="203" width="4.42"/>
    <col collapsed="false" customWidth="true" hidden="false" outlineLevel="0" max="281" min="281" style="203" width="7.57"/>
    <col collapsed="false" customWidth="true" hidden="false" outlineLevel="0" max="282" min="282" style="203" width="5.42"/>
    <col collapsed="false" customWidth="true" hidden="false" outlineLevel="0" max="283" min="283" style="203" width="8.29"/>
    <col collapsed="false" customWidth="true" hidden="false" outlineLevel="0" max="284" min="284" style="203" width="7.42"/>
    <col collapsed="false" customWidth="true" hidden="false" outlineLevel="0" max="285" min="285" style="203" width="3"/>
    <col collapsed="false" customWidth="true" hidden="false" outlineLevel="0" max="286" min="286" style="203" width="7.29"/>
    <col collapsed="false" customWidth="true" hidden="false" outlineLevel="0" max="287" min="287" style="203" width="4.42"/>
    <col collapsed="false" customWidth="true" hidden="false" outlineLevel="0" max="513" min="513" style="203" width="1.42"/>
    <col collapsed="false" customWidth="true" hidden="false" outlineLevel="0" max="514" min="514" style="203" width="7.29"/>
    <col collapsed="false" customWidth="true" hidden="false" outlineLevel="0" max="515" min="515" style="203" width="4.42"/>
    <col collapsed="false" customWidth="true" hidden="false" outlineLevel="0" max="516" min="516" style="203" width="7.57"/>
    <col collapsed="false" customWidth="true" hidden="false" outlineLevel="0" max="517" min="517" style="203" width="5.42"/>
    <col collapsed="false" customWidth="true" hidden="false" outlineLevel="0" max="518" min="518" style="203" width="8.29"/>
    <col collapsed="false" customWidth="true" hidden="false" outlineLevel="0" max="519" min="519" style="203" width="7.42"/>
    <col collapsed="false" customWidth="true" hidden="false" outlineLevel="0" max="520" min="520" style="203" width="3.29"/>
    <col collapsed="false" customWidth="true" hidden="false" outlineLevel="0" max="521" min="521" style="203" width="7.29"/>
    <col collapsed="false" customWidth="true" hidden="false" outlineLevel="0" max="522" min="522" style="203" width="4.42"/>
    <col collapsed="false" customWidth="true" hidden="false" outlineLevel="0" max="523" min="523" style="203" width="7.57"/>
    <col collapsed="false" customWidth="true" hidden="false" outlineLevel="0" max="524" min="524" style="203" width="5.42"/>
    <col collapsed="false" customWidth="true" hidden="false" outlineLevel="0" max="525" min="525" style="203" width="8.29"/>
    <col collapsed="false" customWidth="true" hidden="false" outlineLevel="0" max="526" min="526" style="203" width="7.42"/>
    <col collapsed="false" customWidth="true" hidden="false" outlineLevel="0" max="527" min="527" style="203" width="3"/>
    <col collapsed="false" customWidth="true" hidden="false" outlineLevel="0" max="528" min="528" style="203" width="7.29"/>
    <col collapsed="false" customWidth="true" hidden="false" outlineLevel="0" max="529" min="529" style="203" width="4.42"/>
    <col collapsed="false" customWidth="true" hidden="false" outlineLevel="0" max="530" min="530" style="203" width="7.57"/>
    <col collapsed="false" customWidth="true" hidden="false" outlineLevel="0" max="531" min="531" style="203" width="5.42"/>
    <col collapsed="false" customWidth="true" hidden="false" outlineLevel="0" max="532" min="532" style="203" width="8.29"/>
    <col collapsed="false" customWidth="true" hidden="false" outlineLevel="0" max="533" min="533" style="203" width="7.42"/>
    <col collapsed="false" customWidth="true" hidden="false" outlineLevel="0" max="534" min="534" style="203" width="3"/>
    <col collapsed="false" customWidth="true" hidden="false" outlineLevel="0" max="535" min="535" style="203" width="7.29"/>
    <col collapsed="false" customWidth="true" hidden="false" outlineLevel="0" max="536" min="536" style="203" width="4.42"/>
    <col collapsed="false" customWidth="true" hidden="false" outlineLevel="0" max="537" min="537" style="203" width="7.57"/>
    <col collapsed="false" customWidth="true" hidden="false" outlineLevel="0" max="538" min="538" style="203" width="5.42"/>
    <col collapsed="false" customWidth="true" hidden="false" outlineLevel="0" max="539" min="539" style="203" width="8.29"/>
    <col collapsed="false" customWidth="true" hidden="false" outlineLevel="0" max="540" min="540" style="203" width="7.42"/>
    <col collapsed="false" customWidth="true" hidden="false" outlineLevel="0" max="541" min="541" style="203" width="3"/>
    <col collapsed="false" customWidth="true" hidden="false" outlineLevel="0" max="542" min="542" style="203" width="7.29"/>
    <col collapsed="false" customWidth="true" hidden="false" outlineLevel="0" max="543" min="543" style="203" width="4.42"/>
    <col collapsed="false" customWidth="true" hidden="false" outlineLevel="0" max="769" min="769" style="203" width="1.42"/>
    <col collapsed="false" customWidth="true" hidden="false" outlineLevel="0" max="770" min="770" style="203" width="7.29"/>
    <col collapsed="false" customWidth="true" hidden="false" outlineLevel="0" max="771" min="771" style="203" width="4.42"/>
    <col collapsed="false" customWidth="true" hidden="false" outlineLevel="0" max="772" min="772" style="203" width="7.57"/>
    <col collapsed="false" customWidth="true" hidden="false" outlineLevel="0" max="773" min="773" style="203" width="5.42"/>
    <col collapsed="false" customWidth="true" hidden="false" outlineLevel="0" max="774" min="774" style="203" width="8.29"/>
    <col collapsed="false" customWidth="true" hidden="false" outlineLevel="0" max="775" min="775" style="203" width="7.42"/>
    <col collapsed="false" customWidth="true" hidden="false" outlineLevel="0" max="776" min="776" style="203" width="3.29"/>
    <col collapsed="false" customWidth="true" hidden="false" outlineLevel="0" max="777" min="777" style="203" width="7.29"/>
    <col collapsed="false" customWidth="true" hidden="false" outlineLevel="0" max="778" min="778" style="203" width="4.42"/>
    <col collapsed="false" customWidth="true" hidden="false" outlineLevel="0" max="779" min="779" style="203" width="7.57"/>
    <col collapsed="false" customWidth="true" hidden="false" outlineLevel="0" max="780" min="780" style="203" width="5.42"/>
    <col collapsed="false" customWidth="true" hidden="false" outlineLevel="0" max="781" min="781" style="203" width="8.29"/>
    <col collapsed="false" customWidth="true" hidden="false" outlineLevel="0" max="782" min="782" style="203" width="7.42"/>
    <col collapsed="false" customWidth="true" hidden="false" outlineLevel="0" max="783" min="783" style="203" width="3"/>
    <col collapsed="false" customWidth="true" hidden="false" outlineLevel="0" max="784" min="784" style="203" width="7.29"/>
    <col collapsed="false" customWidth="true" hidden="false" outlineLevel="0" max="785" min="785" style="203" width="4.42"/>
    <col collapsed="false" customWidth="true" hidden="false" outlineLevel="0" max="786" min="786" style="203" width="7.57"/>
    <col collapsed="false" customWidth="true" hidden="false" outlineLevel="0" max="787" min="787" style="203" width="5.42"/>
    <col collapsed="false" customWidth="true" hidden="false" outlineLevel="0" max="788" min="788" style="203" width="8.29"/>
    <col collapsed="false" customWidth="true" hidden="false" outlineLevel="0" max="789" min="789" style="203" width="7.42"/>
    <col collapsed="false" customWidth="true" hidden="false" outlineLevel="0" max="790" min="790" style="203" width="3"/>
    <col collapsed="false" customWidth="true" hidden="false" outlineLevel="0" max="791" min="791" style="203" width="7.29"/>
    <col collapsed="false" customWidth="true" hidden="false" outlineLevel="0" max="792" min="792" style="203" width="4.42"/>
    <col collapsed="false" customWidth="true" hidden="false" outlineLevel="0" max="793" min="793" style="203" width="7.57"/>
    <col collapsed="false" customWidth="true" hidden="false" outlineLevel="0" max="794" min="794" style="203" width="5.42"/>
    <col collapsed="false" customWidth="true" hidden="false" outlineLevel="0" max="795" min="795" style="203" width="8.29"/>
    <col collapsed="false" customWidth="true" hidden="false" outlineLevel="0" max="796" min="796" style="203" width="7.42"/>
    <col collapsed="false" customWidth="true" hidden="false" outlineLevel="0" max="797" min="797" style="203" width="3"/>
    <col collapsed="false" customWidth="true" hidden="false" outlineLevel="0" max="798" min="798" style="203" width="7.29"/>
    <col collapsed="false" customWidth="true" hidden="false" outlineLevel="0" max="799" min="799" style="203" width="4.42"/>
  </cols>
  <sheetData>
    <row r="1" customFormat="false" ht="15" hidden="false" customHeight="false" outlineLevel="0" collapsed="false">
      <c r="A1" s="125"/>
      <c r="B1" s="125" t="s">
        <v>90</v>
      </c>
    </row>
    <row r="2" customFormat="false" ht="15" hidden="false" customHeight="false" outlineLevel="0" collapsed="false">
      <c r="A2" s="125"/>
      <c r="B2" s="125" t="s">
        <v>91</v>
      </c>
    </row>
    <row r="3" customFormat="false" ht="15" hidden="false" customHeight="false" outlineLevel="0" collapsed="false">
      <c r="A3" s="428"/>
      <c r="B3" s="85" t="s">
        <v>650</v>
      </c>
    </row>
    <row r="4" customFormat="false" ht="6" hidden="false" customHeight="true" outlineLevel="0" collapsed="false"/>
    <row r="5" customFormat="false" ht="6" hidden="false" customHeight="true" outlineLevel="0" collapsed="false"/>
    <row r="6" customFormat="false" ht="15.75" hidden="false" customHeight="true" outlineLevel="0" collapsed="false">
      <c r="B6" s="693" t="s">
        <v>270</v>
      </c>
      <c r="C6" s="693"/>
      <c r="D6" s="693"/>
      <c r="E6" s="693"/>
      <c r="F6" s="693"/>
      <c r="G6" s="693"/>
      <c r="I6" s="693" t="s">
        <v>274</v>
      </c>
      <c r="J6" s="693"/>
      <c r="K6" s="693"/>
      <c r="L6" s="693"/>
      <c r="M6" s="693"/>
      <c r="N6" s="693"/>
      <c r="P6" s="693" t="s">
        <v>275</v>
      </c>
      <c r="Q6" s="693"/>
      <c r="R6" s="693"/>
      <c r="S6" s="693"/>
      <c r="T6" s="693"/>
      <c r="U6" s="693"/>
      <c r="W6" s="693" t="s">
        <v>276</v>
      </c>
      <c r="X6" s="693"/>
      <c r="Y6" s="693"/>
      <c r="Z6" s="693"/>
      <c r="AA6" s="693"/>
      <c r="AB6" s="693"/>
      <c r="AD6" s="693" t="s">
        <v>277</v>
      </c>
      <c r="AE6" s="693"/>
      <c r="AF6" s="693"/>
      <c r="AG6" s="693"/>
      <c r="AH6" s="693"/>
      <c r="AI6" s="693"/>
    </row>
    <row r="7" customFormat="false" ht="15" hidden="false" customHeight="false" outlineLevel="0" collapsed="false">
      <c r="B7" s="694" t="s">
        <v>651</v>
      </c>
      <c r="C7" s="695"/>
      <c r="D7" s="695"/>
      <c r="E7" s="695"/>
      <c r="F7" s="695"/>
      <c r="G7" s="695"/>
      <c r="I7" s="694" t="s">
        <v>651</v>
      </c>
      <c r="J7" s="695"/>
      <c r="K7" s="695"/>
      <c r="L7" s="695"/>
      <c r="M7" s="695"/>
      <c r="N7" s="695"/>
      <c r="P7" s="694" t="s">
        <v>651</v>
      </c>
      <c r="Q7" s="695"/>
      <c r="R7" s="695"/>
      <c r="S7" s="695"/>
      <c r="T7" s="695"/>
      <c r="U7" s="695"/>
      <c r="W7" s="694" t="s">
        <v>651</v>
      </c>
      <c r="X7" s="695"/>
      <c r="Y7" s="695"/>
      <c r="Z7" s="695"/>
      <c r="AA7" s="695"/>
      <c r="AB7" s="695"/>
      <c r="AD7" s="694" t="s">
        <v>651</v>
      </c>
      <c r="AE7" s="695"/>
      <c r="AF7" s="695"/>
      <c r="AG7" s="695"/>
      <c r="AH7" s="695"/>
      <c r="AI7" s="695"/>
    </row>
    <row r="8" customFormat="false" ht="25.5" hidden="false" customHeight="true" outlineLevel="0" collapsed="false">
      <c r="B8" s="277" t="s">
        <v>652</v>
      </c>
      <c r="C8" s="277"/>
      <c r="D8" s="277" t="s">
        <v>653</v>
      </c>
      <c r="E8" s="277" t="s">
        <v>654</v>
      </c>
      <c r="F8" s="277" t="s">
        <v>655</v>
      </c>
      <c r="G8" s="277" t="s">
        <v>656</v>
      </c>
      <c r="I8" s="277" t="s">
        <v>652</v>
      </c>
      <c r="J8" s="277"/>
      <c r="K8" s="277" t="s">
        <v>653</v>
      </c>
      <c r="L8" s="277" t="s">
        <v>654</v>
      </c>
      <c r="M8" s="277" t="s">
        <v>655</v>
      </c>
      <c r="N8" s="277" t="s">
        <v>656</v>
      </c>
      <c r="P8" s="277" t="s">
        <v>652</v>
      </c>
      <c r="Q8" s="277"/>
      <c r="R8" s="277" t="s">
        <v>653</v>
      </c>
      <c r="S8" s="277" t="s">
        <v>654</v>
      </c>
      <c r="T8" s="277" t="s">
        <v>655</v>
      </c>
      <c r="U8" s="277" t="s">
        <v>656</v>
      </c>
      <c r="W8" s="277" t="s">
        <v>652</v>
      </c>
      <c r="X8" s="277"/>
      <c r="Y8" s="277" t="s">
        <v>653</v>
      </c>
      <c r="Z8" s="277" t="s">
        <v>654</v>
      </c>
      <c r="AA8" s="277" t="s">
        <v>655</v>
      </c>
      <c r="AB8" s="277" t="s">
        <v>656</v>
      </c>
      <c r="AD8" s="277" t="s">
        <v>652</v>
      </c>
      <c r="AE8" s="277"/>
      <c r="AF8" s="277" t="s">
        <v>653</v>
      </c>
      <c r="AG8" s="277" t="s">
        <v>654</v>
      </c>
      <c r="AH8" s="277" t="s">
        <v>655</v>
      </c>
      <c r="AI8" s="277" t="s">
        <v>656</v>
      </c>
    </row>
    <row r="9" customFormat="false" ht="15" hidden="false" customHeight="false" outlineLevel="0" collapsed="false">
      <c r="B9" s="696" t="s">
        <v>657</v>
      </c>
      <c r="C9" s="696" t="s">
        <v>658</v>
      </c>
      <c r="D9" s="696" t="s">
        <v>659</v>
      </c>
      <c r="E9" s="696"/>
      <c r="F9" s="696" t="s">
        <v>660</v>
      </c>
      <c r="G9" s="697" t="n">
        <v>100</v>
      </c>
      <c r="I9" s="696" t="s">
        <v>657</v>
      </c>
      <c r="J9" s="696" t="s">
        <v>658</v>
      </c>
      <c r="K9" s="696" t="s">
        <v>659</v>
      </c>
      <c r="L9" s="696"/>
      <c r="M9" s="696" t="s">
        <v>660</v>
      </c>
      <c r="N9" s="697" t="n">
        <v>100</v>
      </c>
      <c r="P9" s="696" t="s">
        <v>657</v>
      </c>
      <c r="Q9" s="696" t="s">
        <v>658</v>
      </c>
      <c r="R9" s="696" t="s">
        <v>659</v>
      </c>
      <c r="S9" s="696"/>
      <c r="T9" s="696" t="s">
        <v>660</v>
      </c>
      <c r="U9" s="697" t="n">
        <v>100</v>
      </c>
      <c r="W9" s="696" t="s">
        <v>657</v>
      </c>
      <c r="X9" s="696" t="s">
        <v>658</v>
      </c>
      <c r="Y9" s="696" t="s">
        <v>659</v>
      </c>
      <c r="Z9" s="696"/>
      <c r="AA9" s="696" t="s">
        <v>660</v>
      </c>
      <c r="AB9" s="697" t="n">
        <v>100</v>
      </c>
      <c r="AD9" s="696" t="s">
        <v>657</v>
      </c>
      <c r="AE9" s="696" t="s">
        <v>658</v>
      </c>
      <c r="AF9" s="696" t="s">
        <v>659</v>
      </c>
      <c r="AG9" s="696"/>
      <c r="AH9" s="696" t="s">
        <v>660</v>
      </c>
      <c r="AI9" s="697" t="n">
        <v>100</v>
      </c>
    </row>
    <row r="10" customFormat="false" ht="15" hidden="false" customHeight="false" outlineLevel="0" collapsed="false">
      <c r="B10" s="696" t="n">
        <v>2023</v>
      </c>
      <c r="C10" s="698" t="s">
        <v>661</v>
      </c>
      <c r="D10" s="699"/>
      <c r="E10" s="700" t="n">
        <v>25</v>
      </c>
      <c r="F10" s="699" t="n">
        <f aca="false">D10/30*E10</f>
        <v>0</v>
      </c>
      <c r="G10" s="701" t="n">
        <f aca="false">(G9*F10)+G9</f>
        <v>100</v>
      </c>
      <c r="I10" s="696" t="n">
        <f aca="false">B10+1</f>
        <v>2024</v>
      </c>
      <c r="J10" s="698" t="str">
        <f aca="false">$C$10</f>
        <v>AGO</v>
      </c>
      <c r="K10" s="699"/>
      <c r="L10" s="700" t="n">
        <f aca="false">$E$10</f>
        <v>25</v>
      </c>
      <c r="M10" s="699" t="n">
        <f aca="false">K10/30*L10</f>
        <v>0</v>
      </c>
      <c r="N10" s="701" t="n">
        <f aca="false">(N9*M10)+N9</f>
        <v>100</v>
      </c>
      <c r="P10" s="696" t="n">
        <f aca="false">I10+1</f>
        <v>2025</v>
      </c>
      <c r="Q10" s="698" t="str">
        <f aca="false">$C$10</f>
        <v>AGO</v>
      </c>
      <c r="R10" s="699"/>
      <c r="S10" s="700" t="n">
        <f aca="false">$E$10</f>
        <v>25</v>
      </c>
      <c r="T10" s="699" t="n">
        <f aca="false">R10/30*S10</f>
        <v>0</v>
      </c>
      <c r="U10" s="701" t="n">
        <f aca="false">(U9*T10)+U9</f>
        <v>100</v>
      </c>
      <c r="W10" s="696" t="n">
        <f aca="false">P10+1</f>
        <v>2026</v>
      </c>
      <c r="X10" s="698" t="str">
        <f aca="false">$C$10</f>
        <v>AGO</v>
      </c>
      <c r="Y10" s="699"/>
      <c r="Z10" s="700" t="n">
        <f aca="false">$E$10</f>
        <v>25</v>
      </c>
      <c r="AA10" s="699" t="n">
        <f aca="false">Y10/30*Z10</f>
        <v>0</v>
      </c>
      <c r="AB10" s="701" t="n">
        <f aca="false">(AB9*AA10)+AB9</f>
        <v>100</v>
      </c>
      <c r="AD10" s="696" t="n">
        <f aca="false">W10+1</f>
        <v>2027</v>
      </c>
      <c r="AE10" s="698" t="str">
        <f aca="false">$C$10</f>
        <v>AGO</v>
      </c>
      <c r="AF10" s="699"/>
      <c r="AG10" s="700" t="n">
        <f aca="false">$E$10</f>
        <v>25</v>
      </c>
      <c r="AH10" s="699" t="n">
        <f aca="false">AF10/30*AG10</f>
        <v>0</v>
      </c>
      <c r="AI10" s="701" t="n">
        <f aca="false">(AI9*AH10)+AI9</f>
        <v>100</v>
      </c>
    </row>
    <row r="11" customFormat="false" ht="15" hidden="false" customHeight="false" outlineLevel="0" collapsed="false">
      <c r="B11" s="696" t="n">
        <v>2023</v>
      </c>
      <c r="C11" s="698" t="s">
        <v>662</v>
      </c>
      <c r="D11" s="699"/>
      <c r="E11" s="700"/>
      <c r="F11" s="699" t="n">
        <f aca="false">D11/30*E11</f>
        <v>0</v>
      </c>
      <c r="G11" s="701" t="n">
        <f aca="false">(G10*F11)+G10</f>
        <v>100</v>
      </c>
      <c r="I11" s="696" t="n">
        <f aca="false">B11+1</f>
        <v>2024</v>
      </c>
      <c r="J11" s="698" t="str">
        <f aca="false">$C$11</f>
        <v>SET</v>
      </c>
      <c r="K11" s="699"/>
      <c r="L11" s="700"/>
      <c r="M11" s="699" t="n">
        <f aca="false">K11/30*L11</f>
        <v>0</v>
      </c>
      <c r="N11" s="701" t="n">
        <f aca="false">(N10*M11)+N10</f>
        <v>100</v>
      </c>
      <c r="P11" s="696" t="n">
        <f aca="false">I11+1</f>
        <v>2025</v>
      </c>
      <c r="Q11" s="698" t="str">
        <f aca="false">$C$11</f>
        <v>SET</v>
      </c>
      <c r="R11" s="699"/>
      <c r="S11" s="700"/>
      <c r="T11" s="699" t="n">
        <f aca="false">R11/30*S11</f>
        <v>0</v>
      </c>
      <c r="U11" s="701" t="n">
        <f aca="false">(U10*T11)+U10</f>
        <v>100</v>
      </c>
      <c r="W11" s="696" t="n">
        <f aca="false">P11+1</f>
        <v>2026</v>
      </c>
      <c r="X11" s="698" t="str">
        <f aca="false">$C$11</f>
        <v>SET</v>
      </c>
      <c r="Y11" s="699"/>
      <c r="Z11" s="700"/>
      <c r="AA11" s="699" t="n">
        <f aca="false">Y11/30*Z11</f>
        <v>0</v>
      </c>
      <c r="AB11" s="701" t="n">
        <f aca="false">(AB10*AA11)+AB10</f>
        <v>100</v>
      </c>
      <c r="AD11" s="696" t="n">
        <f aca="false">W11+1</f>
        <v>2027</v>
      </c>
      <c r="AE11" s="698" t="str">
        <f aca="false">$C$11</f>
        <v>SET</v>
      </c>
      <c r="AF11" s="699"/>
      <c r="AG11" s="700"/>
      <c r="AH11" s="699" t="n">
        <f aca="false">AF11/30*AG11</f>
        <v>0</v>
      </c>
      <c r="AI11" s="701" t="n">
        <f aca="false">(AI10*AH11)+AI10</f>
        <v>100</v>
      </c>
    </row>
    <row r="12" customFormat="false" ht="15" hidden="false" customHeight="false" outlineLevel="0" collapsed="false">
      <c r="B12" s="696" t="n">
        <v>2023</v>
      </c>
      <c r="C12" s="698" t="s">
        <v>663</v>
      </c>
      <c r="D12" s="699"/>
      <c r="E12" s="700"/>
      <c r="F12" s="699" t="n">
        <f aca="false">D12/30*E12</f>
        <v>0</v>
      </c>
      <c r="G12" s="701" t="n">
        <f aca="false">(G11*F12)+G11</f>
        <v>100</v>
      </c>
      <c r="I12" s="696" t="n">
        <f aca="false">B12+1</f>
        <v>2024</v>
      </c>
      <c r="J12" s="698" t="str">
        <f aca="false">$C$12</f>
        <v>OUT</v>
      </c>
      <c r="K12" s="699"/>
      <c r="L12" s="700"/>
      <c r="M12" s="699" t="n">
        <f aca="false">K12/30*L12</f>
        <v>0</v>
      </c>
      <c r="N12" s="701" t="n">
        <f aca="false">(N11*M12)+N11</f>
        <v>100</v>
      </c>
      <c r="P12" s="696" t="n">
        <f aca="false">I12+1</f>
        <v>2025</v>
      </c>
      <c r="Q12" s="698" t="str">
        <f aca="false">$C$12</f>
        <v>OUT</v>
      </c>
      <c r="R12" s="699"/>
      <c r="S12" s="700"/>
      <c r="T12" s="699" t="n">
        <f aca="false">R12/30*S12</f>
        <v>0</v>
      </c>
      <c r="U12" s="701" t="n">
        <f aca="false">(U11*T12)+U11</f>
        <v>100</v>
      </c>
      <c r="W12" s="696" t="n">
        <f aca="false">P12+1</f>
        <v>2026</v>
      </c>
      <c r="X12" s="698" t="str">
        <f aca="false">$C$12</f>
        <v>OUT</v>
      </c>
      <c r="Y12" s="699"/>
      <c r="Z12" s="700"/>
      <c r="AA12" s="699" t="n">
        <f aca="false">Y12/30*Z12</f>
        <v>0</v>
      </c>
      <c r="AB12" s="701" t="n">
        <f aca="false">(AB11*AA12)+AB11</f>
        <v>100</v>
      </c>
      <c r="AD12" s="696" t="n">
        <f aca="false">W12+1</f>
        <v>2027</v>
      </c>
      <c r="AE12" s="698" t="str">
        <f aca="false">$C$12</f>
        <v>OUT</v>
      </c>
      <c r="AF12" s="699"/>
      <c r="AG12" s="700"/>
      <c r="AH12" s="699" t="n">
        <f aca="false">AF12/30*AG12</f>
        <v>0</v>
      </c>
      <c r="AI12" s="701" t="n">
        <f aca="false">(AI11*AH12)+AI11</f>
        <v>100</v>
      </c>
    </row>
    <row r="13" customFormat="false" ht="15" hidden="false" customHeight="false" outlineLevel="0" collapsed="false">
      <c r="B13" s="696" t="n">
        <v>2023</v>
      </c>
      <c r="C13" s="698" t="s">
        <v>664</v>
      </c>
      <c r="D13" s="699"/>
      <c r="E13" s="700"/>
      <c r="F13" s="699" t="n">
        <f aca="false">D13/30*E13</f>
        <v>0</v>
      </c>
      <c r="G13" s="701" t="n">
        <f aca="false">(G12*F13)+G12</f>
        <v>100</v>
      </c>
      <c r="I13" s="696" t="n">
        <f aca="false">B13+1</f>
        <v>2024</v>
      </c>
      <c r="J13" s="698" t="str">
        <f aca="false">$C$13</f>
        <v>NOV</v>
      </c>
      <c r="K13" s="699"/>
      <c r="L13" s="700"/>
      <c r="M13" s="699" t="n">
        <f aca="false">K13/30*L13</f>
        <v>0</v>
      </c>
      <c r="N13" s="701" t="n">
        <f aca="false">(N12*M13)+N12</f>
        <v>100</v>
      </c>
      <c r="P13" s="696" t="n">
        <f aca="false">I13+1</f>
        <v>2025</v>
      </c>
      <c r="Q13" s="698" t="str">
        <f aca="false">$C$13</f>
        <v>NOV</v>
      </c>
      <c r="R13" s="699"/>
      <c r="S13" s="700"/>
      <c r="T13" s="699" t="n">
        <f aca="false">R13/30*S13</f>
        <v>0</v>
      </c>
      <c r="U13" s="701" t="n">
        <f aca="false">(U12*T13)+U12</f>
        <v>100</v>
      </c>
      <c r="W13" s="696" t="n">
        <f aca="false">P13+1</f>
        <v>2026</v>
      </c>
      <c r="X13" s="698" t="str">
        <f aca="false">$C$13</f>
        <v>NOV</v>
      </c>
      <c r="Y13" s="699"/>
      <c r="Z13" s="700"/>
      <c r="AA13" s="699" t="n">
        <f aca="false">Y13/30*Z13</f>
        <v>0</v>
      </c>
      <c r="AB13" s="701" t="n">
        <f aca="false">(AB12*AA13)+AB12</f>
        <v>100</v>
      </c>
      <c r="AD13" s="696" t="n">
        <f aca="false">W13+1</f>
        <v>2027</v>
      </c>
      <c r="AE13" s="698" t="str">
        <f aca="false">$C$13</f>
        <v>NOV</v>
      </c>
      <c r="AF13" s="699"/>
      <c r="AG13" s="700"/>
      <c r="AH13" s="699" t="n">
        <f aca="false">AF13/30*AG13</f>
        <v>0</v>
      </c>
      <c r="AI13" s="701" t="n">
        <f aca="false">(AI12*AH13)+AI12</f>
        <v>100</v>
      </c>
    </row>
    <row r="14" customFormat="false" ht="15" hidden="false" customHeight="false" outlineLevel="0" collapsed="false">
      <c r="B14" s="696" t="n">
        <v>2023</v>
      </c>
      <c r="C14" s="698" t="s">
        <v>665</v>
      </c>
      <c r="D14" s="699"/>
      <c r="E14" s="700"/>
      <c r="F14" s="699" t="n">
        <f aca="false">D14/30*E14</f>
        <v>0</v>
      </c>
      <c r="G14" s="701" t="n">
        <f aca="false">(G13*F14)+G13</f>
        <v>100</v>
      </c>
      <c r="I14" s="696" t="n">
        <f aca="false">B14+1</f>
        <v>2024</v>
      </c>
      <c r="J14" s="698" t="str">
        <f aca="false">$C$14</f>
        <v>DEZ</v>
      </c>
      <c r="K14" s="699"/>
      <c r="L14" s="700"/>
      <c r="M14" s="699" t="n">
        <f aca="false">K14/30*L14</f>
        <v>0</v>
      </c>
      <c r="N14" s="701" t="n">
        <f aca="false">(N13*M14)+N13</f>
        <v>100</v>
      </c>
      <c r="P14" s="696" t="n">
        <f aca="false">I14+1</f>
        <v>2025</v>
      </c>
      <c r="Q14" s="698" t="str">
        <f aca="false">$C$14</f>
        <v>DEZ</v>
      </c>
      <c r="R14" s="699"/>
      <c r="S14" s="700"/>
      <c r="T14" s="699" t="n">
        <f aca="false">R14/30*S14</f>
        <v>0</v>
      </c>
      <c r="U14" s="701" t="n">
        <f aca="false">(U13*T14)+U13</f>
        <v>100</v>
      </c>
      <c r="W14" s="696" t="n">
        <f aca="false">P14+1</f>
        <v>2026</v>
      </c>
      <c r="X14" s="698" t="str">
        <f aca="false">$C$14</f>
        <v>DEZ</v>
      </c>
      <c r="Y14" s="699"/>
      <c r="Z14" s="700"/>
      <c r="AA14" s="699" t="n">
        <f aca="false">Y14/30*Z14</f>
        <v>0</v>
      </c>
      <c r="AB14" s="701" t="n">
        <f aca="false">(AB13*AA14)+AB13</f>
        <v>100</v>
      </c>
      <c r="AD14" s="696" t="n">
        <f aca="false">W14+1</f>
        <v>2027</v>
      </c>
      <c r="AE14" s="698" t="str">
        <f aca="false">$C$14</f>
        <v>DEZ</v>
      </c>
      <c r="AF14" s="699"/>
      <c r="AG14" s="700"/>
      <c r="AH14" s="699" t="n">
        <f aca="false">AF14/30*AG14</f>
        <v>0</v>
      </c>
      <c r="AI14" s="701" t="n">
        <f aca="false">(AI13*AH14)+AI13</f>
        <v>100</v>
      </c>
    </row>
    <row r="15" customFormat="false" ht="15" hidden="false" customHeight="false" outlineLevel="0" collapsed="false">
      <c r="B15" s="696" t="n">
        <v>2023</v>
      </c>
      <c r="C15" s="698" t="s">
        <v>665</v>
      </c>
      <c r="D15" s="699"/>
      <c r="E15" s="700"/>
      <c r="F15" s="699" t="n">
        <f aca="false">D15/30*E15</f>
        <v>0</v>
      </c>
      <c r="G15" s="701" t="n">
        <f aca="false">(G14*F15)+G14</f>
        <v>100</v>
      </c>
      <c r="I15" s="696" t="n">
        <f aca="false">B15+1</f>
        <v>2024</v>
      </c>
      <c r="J15" s="698" t="str">
        <f aca="false">$C$15</f>
        <v>DEZ</v>
      </c>
      <c r="K15" s="699"/>
      <c r="L15" s="700"/>
      <c r="M15" s="699" t="n">
        <f aca="false">K15/30*L15</f>
        <v>0</v>
      </c>
      <c r="N15" s="701" t="n">
        <f aca="false">(N14*M15)+N14</f>
        <v>100</v>
      </c>
      <c r="P15" s="696" t="n">
        <f aca="false">I15+1</f>
        <v>2025</v>
      </c>
      <c r="Q15" s="698" t="str">
        <f aca="false">$C$15</f>
        <v>DEZ</v>
      </c>
      <c r="R15" s="699"/>
      <c r="S15" s="700"/>
      <c r="T15" s="699" t="n">
        <f aca="false">R15/30*S15</f>
        <v>0</v>
      </c>
      <c r="U15" s="701" t="n">
        <f aca="false">(U14*T15)+U14</f>
        <v>100</v>
      </c>
      <c r="W15" s="696" t="n">
        <f aca="false">P15+1</f>
        <v>2026</v>
      </c>
      <c r="X15" s="698" t="str">
        <f aca="false">$C$15</f>
        <v>DEZ</v>
      </c>
      <c r="Y15" s="699"/>
      <c r="Z15" s="700"/>
      <c r="AA15" s="699" t="n">
        <f aca="false">Y15/30*Z15</f>
        <v>0</v>
      </c>
      <c r="AB15" s="701" t="n">
        <f aca="false">(AB14*AA15)+AB14</f>
        <v>100</v>
      </c>
      <c r="AD15" s="696" t="n">
        <f aca="false">W15+1</f>
        <v>2027</v>
      </c>
      <c r="AE15" s="698" t="str">
        <f aca="false">$C$15</f>
        <v>DEZ</v>
      </c>
      <c r="AF15" s="699"/>
      <c r="AG15" s="700"/>
      <c r="AH15" s="699" t="n">
        <f aca="false">AF15/30*AG15</f>
        <v>0</v>
      </c>
      <c r="AI15" s="701" t="n">
        <f aca="false">(AI14*AH15)+AI14</f>
        <v>100</v>
      </c>
    </row>
    <row r="16" customFormat="false" ht="15" hidden="false" customHeight="false" outlineLevel="0" collapsed="false">
      <c r="B16" s="696" t="n">
        <v>2024</v>
      </c>
      <c r="C16" s="702" t="s">
        <v>666</v>
      </c>
      <c r="D16" s="703"/>
      <c r="E16" s="704"/>
      <c r="F16" s="699" t="n">
        <f aca="false">D16/30*E16</f>
        <v>0</v>
      </c>
      <c r="G16" s="701" t="n">
        <f aca="false">(G15*F16)+G15</f>
        <v>100</v>
      </c>
      <c r="I16" s="696" t="n">
        <f aca="false">B16+1</f>
        <v>2025</v>
      </c>
      <c r="J16" s="698" t="str">
        <f aca="false">$C$16</f>
        <v>JAN</v>
      </c>
      <c r="K16" s="703"/>
      <c r="L16" s="700"/>
      <c r="M16" s="699" t="n">
        <f aca="false">K16/30*L16</f>
        <v>0</v>
      </c>
      <c r="N16" s="701" t="n">
        <f aca="false">(N15*M16)+N15</f>
        <v>100</v>
      </c>
      <c r="P16" s="696" t="n">
        <f aca="false">I16+1</f>
        <v>2026</v>
      </c>
      <c r="Q16" s="698" t="str">
        <f aca="false">$C$16</f>
        <v>JAN</v>
      </c>
      <c r="R16" s="703"/>
      <c r="S16" s="700"/>
      <c r="T16" s="699" t="n">
        <f aca="false">R16/30*S16</f>
        <v>0</v>
      </c>
      <c r="U16" s="701" t="n">
        <f aca="false">(U15*T16)+U15</f>
        <v>100</v>
      </c>
      <c r="W16" s="696" t="n">
        <f aca="false">P16+1</f>
        <v>2027</v>
      </c>
      <c r="X16" s="698" t="str">
        <f aca="false">$C$16</f>
        <v>JAN</v>
      </c>
      <c r="Y16" s="703"/>
      <c r="Z16" s="700"/>
      <c r="AA16" s="699" t="n">
        <f aca="false">Y16/30*Z16</f>
        <v>0</v>
      </c>
      <c r="AB16" s="701" t="n">
        <f aca="false">(AB15*AA16)+AB15</f>
        <v>100</v>
      </c>
      <c r="AD16" s="696" t="n">
        <f aca="false">W16+1</f>
        <v>2028</v>
      </c>
      <c r="AE16" s="698" t="str">
        <f aca="false">$C$16</f>
        <v>JAN</v>
      </c>
      <c r="AF16" s="703"/>
      <c r="AG16" s="700"/>
      <c r="AH16" s="699" t="n">
        <f aca="false">AF16/30*AG16</f>
        <v>0</v>
      </c>
      <c r="AI16" s="701" t="n">
        <f aca="false">(AI15*AH16)+AI15</f>
        <v>100</v>
      </c>
    </row>
    <row r="17" customFormat="false" ht="15" hidden="false" customHeight="false" outlineLevel="0" collapsed="false">
      <c r="B17" s="696" t="n">
        <v>2024</v>
      </c>
      <c r="C17" s="698" t="s">
        <v>667</v>
      </c>
      <c r="D17" s="699"/>
      <c r="E17" s="700"/>
      <c r="F17" s="699" t="n">
        <f aca="false">D17/30*E17</f>
        <v>0</v>
      </c>
      <c r="G17" s="701" t="n">
        <f aca="false">(G16*F17)+G16</f>
        <v>100</v>
      </c>
      <c r="I17" s="696" t="n">
        <f aca="false">B17+1</f>
        <v>2025</v>
      </c>
      <c r="J17" s="698" t="str">
        <f aca="false">$C$17</f>
        <v>FEV</v>
      </c>
      <c r="K17" s="699"/>
      <c r="L17" s="700"/>
      <c r="M17" s="699" t="n">
        <f aca="false">K17/30*L17</f>
        <v>0</v>
      </c>
      <c r="N17" s="701" t="n">
        <f aca="false">(N16*M17)+N16</f>
        <v>100</v>
      </c>
      <c r="P17" s="696" t="n">
        <f aca="false">I17+1</f>
        <v>2026</v>
      </c>
      <c r="Q17" s="698" t="str">
        <f aca="false">$C$17</f>
        <v>FEV</v>
      </c>
      <c r="R17" s="699"/>
      <c r="S17" s="700"/>
      <c r="T17" s="699" t="n">
        <f aca="false">R17/30*S17</f>
        <v>0</v>
      </c>
      <c r="U17" s="701" t="n">
        <f aca="false">(U16*T17)+U16</f>
        <v>100</v>
      </c>
      <c r="W17" s="696" t="n">
        <f aca="false">P17+1</f>
        <v>2027</v>
      </c>
      <c r="X17" s="698" t="str">
        <f aca="false">$C$17</f>
        <v>FEV</v>
      </c>
      <c r="Y17" s="699"/>
      <c r="Z17" s="700"/>
      <c r="AA17" s="699" t="n">
        <f aca="false">Y17/30*Z17</f>
        <v>0</v>
      </c>
      <c r="AB17" s="701" t="n">
        <f aca="false">(AB16*AA17)+AB16</f>
        <v>100</v>
      </c>
      <c r="AD17" s="696" t="n">
        <f aca="false">W17+1</f>
        <v>2028</v>
      </c>
      <c r="AE17" s="698" t="str">
        <f aca="false">$C$17</f>
        <v>FEV</v>
      </c>
      <c r="AF17" s="699"/>
      <c r="AG17" s="700"/>
      <c r="AH17" s="699" t="n">
        <f aca="false">AF17/30*AG17</f>
        <v>0</v>
      </c>
      <c r="AI17" s="701" t="n">
        <f aca="false">(AI16*AH17)+AI16</f>
        <v>100</v>
      </c>
    </row>
    <row r="18" customFormat="false" ht="15" hidden="false" customHeight="false" outlineLevel="0" collapsed="false">
      <c r="B18" s="696" t="n">
        <v>2024</v>
      </c>
      <c r="C18" s="702" t="s">
        <v>668</v>
      </c>
      <c r="D18" s="699"/>
      <c r="E18" s="700"/>
      <c r="F18" s="699" t="n">
        <f aca="false">D18/30*E18</f>
        <v>0</v>
      </c>
      <c r="G18" s="701" t="n">
        <f aca="false">(G17*F18)+G17</f>
        <v>100</v>
      </c>
      <c r="I18" s="696" t="n">
        <f aca="false">B18+1</f>
        <v>2025</v>
      </c>
      <c r="J18" s="698" t="str">
        <f aca="false">$C$18</f>
        <v>MAR</v>
      </c>
      <c r="K18" s="699"/>
      <c r="L18" s="700"/>
      <c r="M18" s="699" t="n">
        <f aca="false">K18/30*L18</f>
        <v>0</v>
      </c>
      <c r="N18" s="701" t="n">
        <f aca="false">(N17*M18)+N17</f>
        <v>100</v>
      </c>
      <c r="P18" s="696" t="n">
        <f aca="false">I18+1</f>
        <v>2026</v>
      </c>
      <c r="Q18" s="698" t="str">
        <f aca="false">$C$18</f>
        <v>MAR</v>
      </c>
      <c r="R18" s="699"/>
      <c r="S18" s="700"/>
      <c r="T18" s="699" t="n">
        <f aca="false">R18/30*S18</f>
        <v>0</v>
      </c>
      <c r="U18" s="701" t="n">
        <f aca="false">(U17*T18)+U17</f>
        <v>100</v>
      </c>
      <c r="W18" s="696" t="n">
        <f aca="false">P18+1</f>
        <v>2027</v>
      </c>
      <c r="X18" s="698" t="str">
        <f aca="false">$C$18</f>
        <v>MAR</v>
      </c>
      <c r="Y18" s="699"/>
      <c r="Z18" s="700"/>
      <c r="AA18" s="699" t="n">
        <f aca="false">Y18/30*Z18</f>
        <v>0</v>
      </c>
      <c r="AB18" s="701" t="n">
        <f aca="false">(AB17*AA18)+AB17</f>
        <v>100</v>
      </c>
      <c r="AD18" s="696" t="n">
        <f aca="false">W18+1</f>
        <v>2028</v>
      </c>
      <c r="AE18" s="698" t="str">
        <f aca="false">$C$18</f>
        <v>MAR</v>
      </c>
      <c r="AF18" s="699"/>
      <c r="AG18" s="700"/>
      <c r="AH18" s="699" t="n">
        <f aca="false">AF18/30*AG18</f>
        <v>0</v>
      </c>
      <c r="AI18" s="701" t="n">
        <f aca="false">(AI17*AH18)+AI17</f>
        <v>100</v>
      </c>
    </row>
    <row r="19" customFormat="false" ht="15" hidden="false" customHeight="false" outlineLevel="0" collapsed="false">
      <c r="B19" s="696" t="n">
        <v>2024</v>
      </c>
      <c r="C19" s="698" t="s">
        <v>669</v>
      </c>
      <c r="D19" s="699"/>
      <c r="E19" s="700"/>
      <c r="F19" s="699" t="n">
        <f aca="false">D19/30*E19</f>
        <v>0</v>
      </c>
      <c r="G19" s="701" t="n">
        <f aca="false">(G18*F19)+G18</f>
        <v>100</v>
      </c>
      <c r="I19" s="696" t="n">
        <f aca="false">B19+1</f>
        <v>2025</v>
      </c>
      <c r="J19" s="698" t="str">
        <f aca="false">$C$19</f>
        <v>ABR</v>
      </c>
      <c r="K19" s="699"/>
      <c r="L19" s="700"/>
      <c r="M19" s="699" t="n">
        <f aca="false">K19/30*L19</f>
        <v>0</v>
      </c>
      <c r="N19" s="701" t="n">
        <f aca="false">(N18*M19)+N18</f>
        <v>100</v>
      </c>
      <c r="P19" s="696" t="n">
        <f aca="false">I19+1</f>
        <v>2026</v>
      </c>
      <c r="Q19" s="698" t="str">
        <f aca="false">$C$19</f>
        <v>ABR</v>
      </c>
      <c r="R19" s="699"/>
      <c r="S19" s="700"/>
      <c r="T19" s="699" t="n">
        <f aca="false">R19/30*S19</f>
        <v>0</v>
      </c>
      <c r="U19" s="701" t="n">
        <f aca="false">(U18*T19)+U18</f>
        <v>100</v>
      </c>
      <c r="W19" s="696" t="n">
        <f aca="false">P19+1</f>
        <v>2027</v>
      </c>
      <c r="X19" s="698" t="str">
        <f aca="false">$C$19</f>
        <v>ABR</v>
      </c>
      <c r="Y19" s="699"/>
      <c r="Z19" s="700"/>
      <c r="AA19" s="699" t="n">
        <f aca="false">Y19/30*Z19</f>
        <v>0</v>
      </c>
      <c r="AB19" s="701" t="n">
        <f aca="false">(AB18*AA19)+AB18</f>
        <v>100</v>
      </c>
      <c r="AD19" s="696" t="n">
        <f aca="false">W19+1</f>
        <v>2028</v>
      </c>
      <c r="AE19" s="698" t="str">
        <f aca="false">$C$19</f>
        <v>ABR</v>
      </c>
      <c r="AF19" s="699"/>
      <c r="AG19" s="700"/>
      <c r="AH19" s="699" t="n">
        <f aca="false">AF19/30*AG19</f>
        <v>0</v>
      </c>
      <c r="AI19" s="701" t="n">
        <f aca="false">(AI18*AH19)+AI18</f>
        <v>100</v>
      </c>
    </row>
    <row r="20" customFormat="false" ht="15" hidden="false" customHeight="false" outlineLevel="0" collapsed="false">
      <c r="B20" s="696" t="n">
        <v>2024</v>
      </c>
      <c r="C20" s="702" t="s">
        <v>670</v>
      </c>
      <c r="D20" s="699"/>
      <c r="E20" s="700"/>
      <c r="F20" s="699" t="n">
        <f aca="false">D20/30*E20</f>
        <v>0</v>
      </c>
      <c r="G20" s="701" t="n">
        <f aca="false">(G19*F20)+G19</f>
        <v>100</v>
      </c>
      <c r="I20" s="696" t="n">
        <f aca="false">B20+1</f>
        <v>2025</v>
      </c>
      <c r="J20" s="698" t="str">
        <f aca="false">$C$20</f>
        <v>MAI</v>
      </c>
      <c r="K20" s="699"/>
      <c r="L20" s="700"/>
      <c r="M20" s="699" t="n">
        <f aca="false">K20/30*L20</f>
        <v>0</v>
      </c>
      <c r="N20" s="701" t="n">
        <f aca="false">(N19*M20)+N19</f>
        <v>100</v>
      </c>
      <c r="P20" s="696" t="n">
        <f aca="false">I20+1</f>
        <v>2026</v>
      </c>
      <c r="Q20" s="698" t="str">
        <f aca="false">$C$20</f>
        <v>MAI</v>
      </c>
      <c r="R20" s="699"/>
      <c r="S20" s="700"/>
      <c r="T20" s="699" t="n">
        <f aca="false">R20/30*S20</f>
        <v>0</v>
      </c>
      <c r="U20" s="701" t="n">
        <f aca="false">(U19*T20)+U19</f>
        <v>100</v>
      </c>
      <c r="W20" s="696" t="n">
        <f aca="false">P20+1</f>
        <v>2027</v>
      </c>
      <c r="X20" s="698" t="str">
        <f aca="false">$C$20</f>
        <v>MAI</v>
      </c>
      <c r="Y20" s="699"/>
      <c r="Z20" s="700"/>
      <c r="AA20" s="699" t="n">
        <f aca="false">Y20/30*Z20</f>
        <v>0</v>
      </c>
      <c r="AB20" s="701" t="n">
        <f aca="false">(AB19*AA20)+AB19</f>
        <v>100</v>
      </c>
      <c r="AD20" s="696" t="n">
        <f aca="false">W20+1</f>
        <v>2028</v>
      </c>
      <c r="AE20" s="698" t="str">
        <f aca="false">$C$20</f>
        <v>MAI</v>
      </c>
      <c r="AF20" s="699"/>
      <c r="AG20" s="700"/>
      <c r="AH20" s="699" t="n">
        <f aca="false">AF20/30*AG20</f>
        <v>0</v>
      </c>
      <c r="AI20" s="701" t="n">
        <f aca="false">(AI19*AH20)+AI19</f>
        <v>100</v>
      </c>
    </row>
    <row r="21" customFormat="false" ht="15" hidden="false" customHeight="false" outlineLevel="0" collapsed="false">
      <c r="B21" s="696" t="n">
        <v>2024</v>
      </c>
      <c r="C21" s="698" t="s">
        <v>671</v>
      </c>
      <c r="D21" s="699"/>
      <c r="E21" s="700"/>
      <c r="F21" s="699" t="n">
        <f aca="false">D21/30*E21</f>
        <v>0</v>
      </c>
      <c r="G21" s="701" t="n">
        <f aca="false">(G20*F21)+G20</f>
        <v>100</v>
      </c>
      <c r="I21" s="696" t="n">
        <f aca="false">B21+1</f>
        <v>2025</v>
      </c>
      <c r="J21" s="698" t="str">
        <f aca="false">$C$21</f>
        <v>JUN</v>
      </c>
      <c r="K21" s="699"/>
      <c r="L21" s="700"/>
      <c r="M21" s="699" t="n">
        <f aca="false">K21/30*L21</f>
        <v>0</v>
      </c>
      <c r="N21" s="701" t="n">
        <f aca="false">(N20*M21)+N20</f>
        <v>100</v>
      </c>
      <c r="P21" s="696" t="n">
        <f aca="false">I21+1</f>
        <v>2026</v>
      </c>
      <c r="Q21" s="698" t="str">
        <f aca="false">$C$21</f>
        <v>JUN</v>
      </c>
      <c r="R21" s="699"/>
      <c r="S21" s="700"/>
      <c r="T21" s="699" t="n">
        <f aca="false">R21/30*S21</f>
        <v>0</v>
      </c>
      <c r="U21" s="701" t="n">
        <f aca="false">(U20*T21)+U20</f>
        <v>100</v>
      </c>
      <c r="W21" s="696" t="n">
        <f aca="false">P21+1</f>
        <v>2027</v>
      </c>
      <c r="X21" s="698" t="str">
        <f aca="false">$C$21</f>
        <v>JUN</v>
      </c>
      <c r="Y21" s="699"/>
      <c r="Z21" s="700"/>
      <c r="AA21" s="699" t="n">
        <f aca="false">Y21/30*Z21</f>
        <v>0</v>
      </c>
      <c r="AB21" s="701" t="n">
        <f aca="false">(AB20*AA21)+AB20</f>
        <v>100</v>
      </c>
      <c r="AD21" s="696" t="n">
        <f aca="false">W21+1</f>
        <v>2028</v>
      </c>
      <c r="AE21" s="698" t="str">
        <f aca="false">$C$21</f>
        <v>JUN</v>
      </c>
      <c r="AF21" s="699"/>
      <c r="AG21" s="700"/>
      <c r="AH21" s="699" t="n">
        <f aca="false">AF21/30*AG21</f>
        <v>0</v>
      </c>
      <c r="AI21" s="701" t="n">
        <f aca="false">(AI20*AH21)+AI20</f>
        <v>100</v>
      </c>
    </row>
    <row r="22" customFormat="false" ht="15" hidden="false" customHeight="false" outlineLevel="0" collapsed="false">
      <c r="B22" s="696" t="n">
        <v>2024</v>
      </c>
      <c r="C22" s="702" t="s">
        <v>672</v>
      </c>
      <c r="D22" s="699"/>
      <c r="E22" s="700" t="n">
        <v>5</v>
      </c>
      <c r="F22" s="699" t="n">
        <f aca="false">D22/30*E22</f>
        <v>0</v>
      </c>
      <c r="G22" s="701" t="n">
        <f aca="false">(G21*F22)+G21</f>
        <v>100</v>
      </c>
      <c r="I22" s="696" t="n">
        <f aca="false">B22+1</f>
        <v>2025</v>
      </c>
      <c r="J22" s="698" t="str">
        <f aca="false">$C$22</f>
        <v>JUL</v>
      </c>
      <c r="K22" s="699"/>
      <c r="L22" s="700" t="n">
        <f aca="false">$E$22</f>
        <v>5</v>
      </c>
      <c r="M22" s="699" t="n">
        <f aca="false">K22/30*L22</f>
        <v>0</v>
      </c>
      <c r="N22" s="701" t="n">
        <f aca="false">(N21*M22)+N21</f>
        <v>100</v>
      </c>
      <c r="P22" s="696" t="n">
        <f aca="false">I22+1</f>
        <v>2026</v>
      </c>
      <c r="Q22" s="698" t="str">
        <f aca="false">$C$22</f>
        <v>JUL</v>
      </c>
      <c r="R22" s="699"/>
      <c r="S22" s="700" t="n">
        <f aca="false">$E$22</f>
        <v>5</v>
      </c>
      <c r="T22" s="699" t="n">
        <f aca="false">R22/30*S22</f>
        <v>0</v>
      </c>
      <c r="U22" s="701" t="n">
        <f aca="false">(U21*T22)+U21</f>
        <v>100</v>
      </c>
      <c r="W22" s="696" t="n">
        <f aca="false">P22+1</f>
        <v>2027</v>
      </c>
      <c r="X22" s="698" t="str">
        <f aca="false">$C$22</f>
        <v>JUL</v>
      </c>
      <c r="Y22" s="699"/>
      <c r="Z22" s="700" t="n">
        <f aca="false">$E$22</f>
        <v>5</v>
      </c>
      <c r="AA22" s="699" t="n">
        <f aca="false">Y22/30*Z22</f>
        <v>0</v>
      </c>
      <c r="AB22" s="701" t="n">
        <f aca="false">(AB21*AA22)+AB21</f>
        <v>100</v>
      </c>
      <c r="AD22" s="696" t="n">
        <f aca="false">W22+1</f>
        <v>2028</v>
      </c>
      <c r="AE22" s="698" t="str">
        <f aca="false">$C$22</f>
        <v>JUL</v>
      </c>
      <c r="AF22" s="699"/>
      <c r="AG22" s="700" t="n">
        <f aca="false">$E$22</f>
        <v>5</v>
      </c>
      <c r="AH22" s="699" t="n">
        <f aca="false">AF22/30*AG22</f>
        <v>0</v>
      </c>
      <c r="AI22" s="701" t="n">
        <f aca="false">(AI21*AH22)+AI21</f>
        <v>100</v>
      </c>
    </row>
    <row r="23" customFormat="false" ht="15" hidden="false" customHeight="false" outlineLevel="0" collapsed="false">
      <c r="B23" s="696" t="s">
        <v>673</v>
      </c>
      <c r="C23" s="696"/>
      <c r="D23" s="696"/>
      <c r="E23" s="696"/>
      <c r="F23" s="696"/>
      <c r="G23" s="705" t="n">
        <f aca="false">ROUND(((G22-G9)/G9),4)</f>
        <v>0</v>
      </c>
      <c r="I23" s="696" t="s">
        <v>673</v>
      </c>
      <c r="J23" s="696"/>
      <c r="K23" s="696"/>
      <c r="L23" s="696"/>
      <c r="M23" s="696"/>
      <c r="N23" s="705" t="n">
        <f aca="false">ROUND(((N22-N9)/N9),4)</f>
        <v>0</v>
      </c>
      <c r="P23" s="696" t="s">
        <v>673</v>
      </c>
      <c r="Q23" s="696"/>
      <c r="R23" s="696"/>
      <c r="S23" s="696"/>
      <c r="T23" s="696"/>
      <c r="U23" s="705" t="n">
        <f aca="false">ROUND(((U22-U9)/U9),4)</f>
        <v>0</v>
      </c>
      <c r="W23" s="696" t="s">
        <v>673</v>
      </c>
      <c r="X23" s="696"/>
      <c r="Y23" s="696"/>
      <c r="Z23" s="696"/>
      <c r="AA23" s="696"/>
      <c r="AB23" s="705" t="n">
        <f aca="false">ROUND(((AB22-AB9)/AB9),4)</f>
        <v>0</v>
      </c>
      <c r="AD23" s="696" t="s">
        <v>673</v>
      </c>
      <c r="AE23" s="696"/>
      <c r="AF23" s="696"/>
      <c r="AG23" s="696"/>
      <c r="AH23" s="696"/>
      <c r="AI23" s="705" t="n">
        <f aca="false">ROUND(((AI22-AI9)/AI9),4)</f>
        <v>0</v>
      </c>
    </row>
  </sheetData>
  <sheetProtection sheet="true" objects="true" scenarios="true"/>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86"/>
  <sheetViews>
    <sheetView showFormulas="false" showGridLines="false" showRowColHeaders="true" showZeros="true" rightToLeft="false" tabSelected="false" showOutlineSymbols="true" defaultGridColor="true" view="pageBreakPreview" topLeftCell="A1" colorId="64" zoomScale="120" zoomScaleNormal="130" zoomScalePageLayoutView="120" workbookViewId="0">
      <selection pane="topLeft" activeCell="F20" activeCellId="0" sqref="F20"/>
    </sheetView>
  </sheetViews>
  <sheetFormatPr defaultColWidth="8.71484375" defaultRowHeight="15" zeroHeight="false" outlineLevelRow="0" outlineLevelCol="0"/>
  <cols>
    <col collapsed="false" customWidth="true" hidden="false" outlineLevel="0" max="1" min="1" style="79" width="6.29"/>
    <col collapsed="false" customWidth="false" hidden="false" outlineLevel="0" max="2" min="2" style="121" width="8.71"/>
    <col collapsed="false" customWidth="true" hidden="false" outlineLevel="0" max="3" min="3" style="85" width="4"/>
    <col collapsed="false" customWidth="true" hidden="false" outlineLevel="0" max="23" min="4" style="85" width="9.14"/>
    <col collapsed="false" customWidth="true" hidden="false" outlineLevel="0" max="24" min="24" style="85" width="10.71"/>
    <col collapsed="false" customWidth="true" hidden="false" outlineLevel="0" max="256" min="25" style="85" width="9.14"/>
    <col collapsed="false" customWidth="true" hidden="false" outlineLevel="0" max="257" min="257" style="85" width="4.57"/>
    <col collapsed="false" customWidth="true" hidden="false" outlineLevel="0" max="258" min="258" style="85" width="11.14"/>
    <col collapsed="false" customWidth="true" hidden="false" outlineLevel="0" max="259" min="259" style="85" width="4"/>
    <col collapsed="false" customWidth="true" hidden="false" outlineLevel="0" max="512" min="260" style="85" width="9.14"/>
    <col collapsed="false" customWidth="true" hidden="false" outlineLevel="0" max="513" min="513" style="85" width="4.57"/>
    <col collapsed="false" customWidth="true" hidden="false" outlineLevel="0" max="514" min="514" style="85" width="11.14"/>
    <col collapsed="false" customWidth="true" hidden="false" outlineLevel="0" max="515" min="515" style="85" width="4"/>
    <col collapsed="false" customWidth="true" hidden="false" outlineLevel="0" max="768" min="516" style="85" width="9.14"/>
    <col collapsed="false" customWidth="true" hidden="false" outlineLevel="0" max="769" min="769" style="85" width="4.57"/>
    <col collapsed="false" customWidth="true" hidden="false" outlineLevel="0" max="770" min="770" style="85" width="11.14"/>
    <col collapsed="false" customWidth="true" hidden="false" outlineLevel="0" max="771" min="771" style="85" width="4"/>
    <col collapsed="false" customWidth="true" hidden="false" outlineLevel="0" max="1025" min="772" style="85" width="9.14"/>
  </cols>
  <sheetData>
    <row r="1" customFormat="false" ht="15" hidden="false" customHeight="false" outlineLevel="0" collapsed="false">
      <c r="A1" s="122"/>
      <c r="B1" s="123" t="s">
        <v>90</v>
      </c>
    </row>
    <row r="2" customFormat="false" ht="15" hidden="false" customHeight="false" outlineLevel="0" collapsed="false">
      <c r="A2" s="124"/>
      <c r="B2" s="125" t="s">
        <v>91</v>
      </c>
    </row>
    <row r="3" customFormat="false" ht="15" hidden="false" customHeight="false" outlineLevel="0" collapsed="false">
      <c r="A3" s="124"/>
      <c r="B3" s="85" t="s">
        <v>92</v>
      </c>
    </row>
    <row r="4" s="17" customFormat="true" ht="15" hidden="false" customHeight="false" outlineLevel="0" collapsed="false">
      <c r="A4" s="126" t="s">
        <v>93</v>
      </c>
      <c r="B4" s="126"/>
      <c r="C4" s="126"/>
      <c r="D4" s="126"/>
      <c r="E4" s="126"/>
      <c r="F4" s="126"/>
      <c r="G4" s="126"/>
      <c r="H4" s="126"/>
      <c r="I4" s="126"/>
      <c r="J4" s="126"/>
      <c r="K4" s="126"/>
      <c r="L4" s="126"/>
      <c r="M4" s="126"/>
      <c r="N4" s="126"/>
      <c r="O4" s="126"/>
      <c r="P4" s="126"/>
      <c r="Q4" s="126"/>
      <c r="R4" s="126"/>
      <c r="S4" s="126"/>
      <c r="T4" s="126"/>
      <c r="U4" s="126"/>
      <c r="V4" s="126"/>
      <c r="W4" s="126"/>
      <c r="X4" s="126"/>
    </row>
    <row r="5" customFormat="false" ht="12" hidden="false" customHeight="true" outlineLevel="0" collapsed="false"/>
    <row r="6" customFormat="false" ht="15" hidden="false" customHeight="false" outlineLevel="0" collapsed="false">
      <c r="A6" s="84" t="s">
        <v>94</v>
      </c>
      <c r="B6" s="127" t="s">
        <v>95</v>
      </c>
    </row>
    <row r="7" customFormat="false" ht="7.5" hidden="false" customHeight="true" outlineLevel="0" collapsed="false"/>
    <row r="8" customFormat="false" ht="15" hidden="false" customHeight="false" outlineLevel="0" collapsed="false">
      <c r="B8" s="128"/>
      <c r="C8" s="121" t="s">
        <v>96</v>
      </c>
    </row>
    <row r="10" customFormat="false" ht="15" hidden="false" customHeight="false" outlineLevel="0" collapsed="false">
      <c r="A10" s="84" t="s">
        <v>97</v>
      </c>
      <c r="B10" s="121" t="s">
        <v>98</v>
      </c>
    </row>
    <row r="12" customFormat="false" ht="15" hidden="false" customHeight="false" outlineLevel="0" collapsed="false">
      <c r="A12" s="84" t="s">
        <v>99</v>
      </c>
      <c r="B12" s="121" t="s">
        <v>100</v>
      </c>
    </row>
    <row r="13" customFormat="false" ht="15" hidden="false" customHeight="false" outlineLevel="0" collapsed="false">
      <c r="A13" s="84"/>
      <c r="B13" s="121" t="s">
        <v>101</v>
      </c>
    </row>
    <row r="14" s="130" customFormat="true" ht="17.25" hidden="false" customHeight="true" outlineLevel="0" collapsed="false">
      <c r="A14" s="84"/>
      <c r="B14" s="129" t="s">
        <v>102</v>
      </c>
    </row>
    <row r="15" customFormat="false" ht="7.5" hidden="false" customHeight="true" outlineLevel="0" collapsed="false"/>
    <row r="16" customFormat="false" ht="15" hidden="false" customHeight="false" outlineLevel="0" collapsed="false">
      <c r="B16" s="131" t="s">
        <v>103</v>
      </c>
      <c r="C16" s="132" t="s">
        <v>104</v>
      </c>
      <c r="D16" s="132"/>
      <c r="E16" s="132"/>
      <c r="F16" s="132"/>
      <c r="G16" s="132"/>
    </row>
    <row r="18" customFormat="false" ht="15" hidden="false" customHeight="false" outlineLevel="0" collapsed="false">
      <c r="C18" s="133" t="s">
        <v>105</v>
      </c>
      <c r="D18" s="133" t="s">
        <v>106</v>
      </c>
    </row>
    <row r="19" customFormat="false" ht="15" hidden="false" customHeight="false" outlineLevel="0" collapsed="false">
      <c r="D19" s="85" t="s">
        <v>107</v>
      </c>
    </row>
    <row r="20" customFormat="false" ht="15" hidden="false" customHeight="false" outlineLevel="0" collapsed="false">
      <c r="D20" s="85" t="s">
        <v>108</v>
      </c>
    </row>
    <row r="21" customFormat="false" ht="15" hidden="false" customHeight="false" outlineLevel="0" collapsed="false">
      <c r="D21" s="85" t="s">
        <v>109</v>
      </c>
    </row>
    <row r="22" customFormat="false" ht="15" hidden="false" customHeight="false" outlineLevel="0" collapsed="false">
      <c r="C22" s="133"/>
      <c r="D22" s="85" t="s">
        <v>110</v>
      </c>
    </row>
    <row r="23" customFormat="false" ht="15" hidden="false" customHeight="false" outlineLevel="0" collapsed="false">
      <c r="D23" s="85" t="s">
        <v>111</v>
      </c>
    </row>
    <row r="24" customFormat="false" ht="15" hidden="false" customHeight="false" outlineLevel="0" collapsed="false">
      <c r="D24" s="85" t="s">
        <v>112</v>
      </c>
    </row>
    <row r="25" customFormat="false" ht="15" hidden="false" customHeight="false" outlineLevel="0" collapsed="false">
      <c r="D25" s="85" t="s">
        <v>113</v>
      </c>
    </row>
    <row r="26" customFormat="false" ht="15" hidden="false" customHeight="false" outlineLevel="0" collapsed="false">
      <c r="D26" s="85" t="s">
        <v>114</v>
      </c>
    </row>
    <row r="27" customFormat="false" ht="15" hidden="false" customHeight="false" outlineLevel="0" collapsed="false">
      <c r="D27" s="85" t="s">
        <v>115</v>
      </c>
    </row>
    <row r="28" customFormat="false" ht="15" hidden="false" customHeight="false" outlineLevel="0" collapsed="false">
      <c r="D28" s="85" t="s">
        <v>116</v>
      </c>
    </row>
    <row r="29" customFormat="false" ht="15" hidden="false" customHeight="false" outlineLevel="0" collapsed="false">
      <c r="D29" s="85" t="s">
        <v>117</v>
      </c>
    </row>
    <row r="30" customFormat="false" ht="15" hidden="false" customHeight="false" outlineLevel="0" collapsed="false">
      <c r="D30" s="85" t="s">
        <v>118</v>
      </c>
    </row>
    <row r="31" customFormat="false" ht="15" hidden="false" customHeight="false" outlineLevel="0" collapsed="false">
      <c r="D31" s="85" t="s">
        <v>119</v>
      </c>
    </row>
    <row r="32" customFormat="false" ht="15" hidden="false" customHeight="false" outlineLevel="0" collapsed="false">
      <c r="D32" s="85" t="s">
        <v>120</v>
      </c>
    </row>
    <row r="33" customFormat="false" ht="15" hidden="false" customHeight="false" outlineLevel="0" collapsed="false">
      <c r="D33" s="85" t="s">
        <v>121</v>
      </c>
    </row>
    <row r="34" customFormat="false" ht="15" hidden="false" customHeight="false" outlineLevel="0" collapsed="false">
      <c r="D34" s="85" t="s">
        <v>122</v>
      </c>
    </row>
    <row r="35" customFormat="false" ht="15" hidden="false" customHeight="false" outlineLevel="0" collapsed="false">
      <c r="D35" s="85" t="s">
        <v>123</v>
      </c>
    </row>
    <row r="36" customFormat="false" ht="15" hidden="false" customHeight="false" outlineLevel="0" collapsed="false">
      <c r="D36" s="85" t="s">
        <v>124</v>
      </c>
    </row>
    <row r="37" customFormat="false" ht="15" hidden="false" customHeight="false" outlineLevel="0" collapsed="false">
      <c r="D37" s="85" t="s">
        <v>125</v>
      </c>
    </row>
    <row r="38" customFormat="false" ht="15" hidden="false" customHeight="false" outlineLevel="0" collapsed="false">
      <c r="D38" s="85" t="s">
        <v>126</v>
      </c>
    </row>
    <row r="39" customFormat="false" ht="15" hidden="false" customHeight="false" outlineLevel="0" collapsed="false">
      <c r="D39" s="85" t="s">
        <v>127</v>
      </c>
    </row>
    <row r="40" customFormat="false" ht="15" hidden="false" customHeight="false" outlineLevel="0" collapsed="false">
      <c r="D40" s="85" t="s">
        <v>128</v>
      </c>
    </row>
    <row r="41" customFormat="false" ht="15" hidden="false" customHeight="false" outlineLevel="0" collapsed="false">
      <c r="D41" s="85" t="s">
        <v>129</v>
      </c>
    </row>
    <row r="42" customFormat="false" ht="15" hidden="false" customHeight="false" outlineLevel="0" collapsed="false">
      <c r="D42" s="85" t="s">
        <v>130</v>
      </c>
    </row>
    <row r="43" customFormat="false" ht="15" hidden="false" customHeight="false" outlineLevel="0" collapsed="false">
      <c r="D43" s="132" t="s">
        <v>131</v>
      </c>
      <c r="E43" s="132"/>
      <c r="F43" s="132"/>
      <c r="G43" s="132"/>
      <c r="H43" s="132"/>
    </row>
    <row r="45" customFormat="false" ht="15" hidden="false" customHeight="false" outlineLevel="0" collapsed="false">
      <c r="C45" s="133" t="s">
        <v>132</v>
      </c>
      <c r="D45" s="133" t="s">
        <v>133</v>
      </c>
    </row>
    <row r="46" customFormat="false" ht="15" hidden="false" customHeight="false" outlineLevel="0" collapsed="false">
      <c r="D46" s="85" t="s">
        <v>134</v>
      </c>
    </row>
    <row r="47" customFormat="false" ht="15" hidden="false" customHeight="false" outlineLevel="0" collapsed="false">
      <c r="D47" s="85" t="s">
        <v>135</v>
      </c>
    </row>
    <row r="48" customFormat="false" ht="15" hidden="false" customHeight="false" outlineLevel="0" collapsed="false">
      <c r="D48" s="132" t="s">
        <v>131</v>
      </c>
      <c r="E48" s="132"/>
      <c r="F48" s="132"/>
      <c r="G48" s="132"/>
      <c r="H48" s="132"/>
    </row>
    <row r="50" customFormat="false" ht="15" hidden="false" customHeight="false" outlineLevel="0" collapsed="false">
      <c r="C50" s="133" t="s">
        <v>136</v>
      </c>
      <c r="D50" s="133" t="s">
        <v>137</v>
      </c>
    </row>
    <row r="51" customFormat="false" ht="15" hidden="false" customHeight="false" outlineLevel="0" collapsed="false">
      <c r="D51" s="85" t="s">
        <v>138</v>
      </c>
    </row>
    <row r="52" customFormat="false" ht="15" hidden="false" customHeight="false" outlineLevel="0" collapsed="false">
      <c r="D52" s="85" t="s">
        <v>139</v>
      </c>
    </row>
    <row r="53" customFormat="false" ht="15" hidden="false" customHeight="false" outlineLevel="0" collapsed="false">
      <c r="E53" s="85" t="s">
        <v>140</v>
      </c>
    </row>
    <row r="54" customFormat="false" ht="15" hidden="false" customHeight="false" outlineLevel="0" collapsed="false">
      <c r="E54" s="85" t="s">
        <v>141</v>
      </c>
    </row>
    <row r="55" customFormat="false" ht="15" hidden="false" customHeight="false" outlineLevel="0" collapsed="false">
      <c r="D55" s="85" t="s">
        <v>142</v>
      </c>
    </row>
    <row r="56" customFormat="false" ht="15" hidden="false" customHeight="false" outlineLevel="0" collapsed="false">
      <c r="D56" s="132" t="s">
        <v>131</v>
      </c>
      <c r="E56" s="132"/>
      <c r="F56" s="132"/>
      <c r="G56" s="132"/>
      <c r="H56" s="132"/>
    </row>
    <row r="58" customFormat="false" ht="15" hidden="false" customHeight="false" outlineLevel="0" collapsed="false">
      <c r="C58" s="133" t="s">
        <v>143</v>
      </c>
      <c r="D58" s="133" t="s">
        <v>144</v>
      </c>
    </row>
    <row r="59" customFormat="false" ht="15" hidden="false" customHeight="false" outlineLevel="0" collapsed="false">
      <c r="D59" s="85" t="s">
        <v>145</v>
      </c>
    </row>
    <row r="60" customFormat="false" ht="15" hidden="false" customHeight="false" outlineLevel="0" collapsed="false">
      <c r="D60" s="132" t="s">
        <v>131</v>
      </c>
      <c r="E60" s="132"/>
      <c r="F60" s="132"/>
      <c r="G60" s="132"/>
      <c r="H60" s="132"/>
    </row>
    <row r="62" customFormat="false" ht="15" hidden="false" customHeight="false" outlineLevel="0" collapsed="false">
      <c r="C62" s="133" t="s">
        <v>146</v>
      </c>
      <c r="D62" s="133" t="s">
        <v>147</v>
      </c>
    </row>
    <row r="63" customFormat="false" ht="15" hidden="false" customHeight="false" outlineLevel="0" collapsed="false">
      <c r="D63" s="85" t="s">
        <v>145</v>
      </c>
    </row>
    <row r="64" customFormat="false" ht="15" hidden="false" customHeight="false" outlineLevel="0" collapsed="false">
      <c r="D64" s="132" t="s">
        <v>131</v>
      </c>
      <c r="E64" s="132"/>
      <c r="F64" s="132"/>
      <c r="G64" s="132"/>
      <c r="H64" s="132"/>
    </row>
    <row r="66" customFormat="false" ht="15" hidden="false" customHeight="false" outlineLevel="0" collapsed="false">
      <c r="C66" s="133" t="s">
        <v>148</v>
      </c>
      <c r="D66" s="133" t="s">
        <v>149</v>
      </c>
    </row>
    <row r="67" customFormat="false" ht="15" hidden="false" customHeight="false" outlineLevel="0" collapsed="false">
      <c r="D67" s="85" t="s">
        <v>150</v>
      </c>
    </row>
    <row r="68" customFormat="false" ht="15" hidden="false" customHeight="false" outlineLevel="0" collapsed="false">
      <c r="D68" s="85" t="s">
        <v>151</v>
      </c>
    </row>
    <row r="69" customFormat="false" ht="15" hidden="false" customHeight="false" outlineLevel="0" collapsed="false">
      <c r="D69" s="132" t="s">
        <v>131</v>
      </c>
      <c r="E69" s="132"/>
      <c r="F69" s="132"/>
      <c r="G69" s="132"/>
      <c r="H69" s="132"/>
    </row>
    <row r="70" customFormat="false" ht="19.5" hidden="false" customHeight="true" outlineLevel="0" collapsed="false"/>
    <row r="71" s="74" customFormat="true" ht="20.25" hidden="false" customHeight="true" outlineLevel="0" collapsed="false">
      <c r="A71" s="84" t="s">
        <v>152</v>
      </c>
      <c r="B71" s="76" t="s">
        <v>153</v>
      </c>
    </row>
    <row r="72" s="74" customFormat="true" ht="13.5" hidden="false" customHeight="true" outlineLevel="0" collapsed="false">
      <c r="A72" s="79"/>
      <c r="B72" s="84" t="s">
        <v>154</v>
      </c>
      <c r="C72" s="134" t="s">
        <v>155</v>
      </c>
      <c r="D72" s="134"/>
      <c r="E72" s="134"/>
      <c r="F72" s="134"/>
    </row>
    <row r="73" customFormat="false" ht="24.75" hidden="false" customHeight="true" outlineLevel="0" collapsed="false"/>
    <row r="74" customFormat="false" ht="15" hidden="false" customHeight="false" outlineLevel="0" collapsed="false">
      <c r="A74" s="84" t="s">
        <v>156</v>
      </c>
      <c r="B74" s="121" t="s">
        <v>157</v>
      </c>
    </row>
    <row r="75" customFormat="false" ht="15" hidden="false" customHeight="false" outlineLevel="0" collapsed="false">
      <c r="A75" s="84"/>
      <c r="B75" s="121" t="s">
        <v>101</v>
      </c>
    </row>
    <row r="76" s="130" customFormat="true" ht="18" hidden="false" customHeight="true" outlineLevel="0" collapsed="false">
      <c r="A76" s="79"/>
      <c r="B76" s="84" t="s">
        <v>158</v>
      </c>
      <c r="C76" s="130" t="s">
        <v>159</v>
      </c>
    </row>
    <row r="77" customFormat="false" ht="15" hidden="false" customHeight="false" outlineLevel="0" collapsed="false">
      <c r="B77" s="131" t="s">
        <v>160</v>
      </c>
      <c r="C77" s="135" t="s">
        <v>161</v>
      </c>
      <c r="D77" s="135"/>
      <c r="E77" s="135"/>
      <c r="F77" s="135"/>
      <c r="G77" s="135"/>
    </row>
    <row r="78" customFormat="false" ht="24.75" hidden="false" customHeight="true" outlineLevel="0" collapsed="false"/>
    <row r="79" s="130" customFormat="true" ht="15" hidden="false" customHeight="true" outlineLevel="0" collapsed="false">
      <c r="A79" s="84" t="s">
        <v>162</v>
      </c>
      <c r="B79" s="76" t="s">
        <v>163</v>
      </c>
    </row>
    <row r="80" s="130" customFormat="true" ht="15.75" hidden="false" customHeight="true" outlineLevel="0" collapsed="false">
      <c r="A80" s="79"/>
      <c r="B80" s="84" t="s">
        <v>164</v>
      </c>
      <c r="C80" s="74" t="s">
        <v>165</v>
      </c>
    </row>
    <row r="81" customFormat="false" ht="15" hidden="false" customHeight="false" outlineLevel="0" collapsed="false">
      <c r="B81" s="131" t="s">
        <v>166</v>
      </c>
      <c r="C81" s="136" t="s">
        <v>167</v>
      </c>
      <c r="D81" s="136"/>
      <c r="E81" s="136"/>
      <c r="F81" s="136"/>
    </row>
    <row r="82" customFormat="false" ht="24.75" hidden="false" customHeight="true" outlineLevel="0" collapsed="false"/>
    <row r="83" customFormat="false" ht="15" hidden="false" customHeight="false" outlineLevel="0" collapsed="false">
      <c r="A83" s="84" t="s">
        <v>168</v>
      </c>
      <c r="B83" s="121" t="s">
        <v>169</v>
      </c>
    </row>
    <row r="84" s="130" customFormat="true" ht="16.5" hidden="false" customHeight="true" outlineLevel="0" collapsed="false">
      <c r="A84" s="79"/>
      <c r="B84" s="84" t="s">
        <v>170</v>
      </c>
      <c r="C84" s="74" t="s">
        <v>171</v>
      </c>
    </row>
    <row r="85" s="130" customFormat="true" ht="14.25" hidden="false" customHeight="true" outlineLevel="0" collapsed="false">
      <c r="A85" s="79"/>
      <c r="B85" s="84" t="s">
        <v>172</v>
      </c>
      <c r="C85" s="137" t="s">
        <v>161</v>
      </c>
      <c r="D85" s="137"/>
      <c r="E85" s="137"/>
      <c r="F85" s="137"/>
      <c r="G85" s="137"/>
    </row>
    <row r="86" s="130" customFormat="true" ht="23.25" hidden="false" customHeight="true" outlineLevel="0" collapsed="false">
      <c r="A86" s="79"/>
      <c r="B86" s="84"/>
      <c r="C86" s="138"/>
      <c r="D86" s="138"/>
      <c r="E86" s="138"/>
      <c r="F86" s="138"/>
      <c r="G86" s="138"/>
    </row>
  </sheetData>
  <sheetProtection algorithmName="SHA-512" hashValue="OD0QEpEvLher2QcQX82aspBB8v16qWxdfoELOos4NvCvjGUPDNgsJYs8ei4Y0Rus0jWzaXUUGggdV3wGVkr+Iw==" saltValue="8D+btrzvsHaLwCurcKx1Ng==" spinCount="100000" sheet="true" objects="true" scenarios="true"/>
  <mergeCells count="1">
    <mergeCell ref="A4:X4"/>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U206"/>
  <sheetViews>
    <sheetView showFormulas="false" showGridLines="false" showRowColHeaders="true" showZeros="true" rightToLeft="false" tabSelected="true" showOutlineSymbols="true" defaultGridColor="true" view="pageBreakPreview" topLeftCell="A1" colorId="64" zoomScale="120" zoomScaleNormal="100" zoomScalePageLayoutView="120" workbookViewId="0">
      <selection pane="topLeft" activeCell="G54" activeCellId="0" sqref="G54"/>
    </sheetView>
  </sheetViews>
  <sheetFormatPr defaultColWidth="8.71484375" defaultRowHeight="15" zeroHeight="false" outlineLevelRow="0" outlineLevelCol="0"/>
  <cols>
    <col collapsed="false" customWidth="true" hidden="false" outlineLevel="0" max="1" min="1" style="1" width="9.86"/>
    <col collapsed="false" customWidth="true" hidden="false" outlineLevel="0" max="2" min="2" style="1" width="10.42"/>
    <col collapsed="false" customWidth="true" hidden="false" outlineLevel="0" max="3" min="3" style="1" width="39.29"/>
    <col collapsed="false" customWidth="true" hidden="false" outlineLevel="0" max="4" min="4" style="1" width="12"/>
    <col collapsed="false" customWidth="true" hidden="false" outlineLevel="0" max="5" min="5" style="1" width="15.71"/>
    <col collapsed="false" customWidth="true" hidden="false" outlineLevel="0" max="6" min="6" style="1" width="14.86"/>
    <col collapsed="false" customWidth="true" hidden="false" outlineLevel="0" max="7" min="7" style="1" width="14"/>
    <col collapsed="false" customWidth="true" hidden="false" outlineLevel="0" max="8" min="8" style="1" width="13.57"/>
    <col collapsed="false" customWidth="true" hidden="false" outlineLevel="0" max="9" min="9" style="1" width="13.42"/>
    <col collapsed="false" customWidth="true" hidden="false" outlineLevel="0" max="10" min="10" style="3" width="13.57"/>
    <col collapsed="false" customWidth="true" hidden="false" outlineLevel="0" max="11" min="11" style="3" width="18.29"/>
    <col collapsed="false" customWidth="true" hidden="false" outlineLevel="0" max="12" min="12" style="1" width="13.29"/>
    <col collapsed="false" customWidth="true" hidden="false" outlineLevel="0" max="13" min="13" style="1" width="15.14"/>
    <col collapsed="false" customWidth="true" hidden="false" outlineLevel="0" max="14" min="14" style="1" width="9.71"/>
    <col collapsed="false" customWidth="true" hidden="false" outlineLevel="0" max="15" min="15" style="1" width="12.71"/>
    <col collapsed="false" customWidth="true" hidden="false" outlineLevel="0" max="18" min="16" style="1" width="13.57"/>
    <col collapsed="false" customWidth="true" hidden="false" outlineLevel="0" max="19" min="19" style="1" width="15"/>
    <col collapsed="false" customWidth="true" hidden="false" outlineLevel="0" max="255" min="20" style="1" width="9.14"/>
    <col collapsed="false" customWidth="true" hidden="false" outlineLevel="0" max="256" min="256" style="1" width="9.86"/>
    <col collapsed="false" customWidth="true" hidden="false" outlineLevel="0" max="257" min="257" style="1" width="10.42"/>
    <col collapsed="false" customWidth="true" hidden="false" outlineLevel="0" max="258" min="258" style="1" width="39.29"/>
    <col collapsed="false" customWidth="true" hidden="false" outlineLevel="0" max="259" min="259" style="1" width="15"/>
    <col collapsed="false" customWidth="true" hidden="false" outlineLevel="0" max="260" min="260" style="1" width="11"/>
    <col collapsed="false" customWidth="true" hidden="false" outlineLevel="0" max="261" min="261" style="1" width="11.14"/>
    <col collapsed="false" customWidth="true" hidden="false" outlineLevel="0" max="262" min="262" style="1" width="12.86"/>
    <col collapsed="false" customWidth="true" hidden="false" outlineLevel="0" max="263" min="263" style="1" width="13.15"/>
    <col collapsed="false" customWidth="true" hidden="false" outlineLevel="0" max="267" min="264" style="1" width="14.14"/>
    <col collapsed="false" customWidth="true" hidden="false" outlineLevel="0" max="268" min="268" style="1" width="14.42"/>
    <col collapsed="false" customWidth="true" hidden="false" outlineLevel="0" max="269" min="269" style="1" width="9.71"/>
    <col collapsed="false" customWidth="true" hidden="false" outlineLevel="0" max="270" min="270" style="1" width="12.71"/>
    <col collapsed="false" customWidth="true" hidden="false" outlineLevel="0" max="273" min="271" style="1" width="13.57"/>
    <col collapsed="false" customWidth="true" hidden="false" outlineLevel="0" max="274" min="274" style="1" width="12.15"/>
    <col collapsed="false" customWidth="true" hidden="false" outlineLevel="0" max="275" min="275" style="1" width="15"/>
    <col collapsed="false" customWidth="true" hidden="false" outlineLevel="0" max="511" min="276" style="1" width="9.14"/>
    <col collapsed="false" customWidth="true" hidden="false" outlineLevel="0" max="512" min="512" style="1" width="9.86"/>
    <col collapsed="false" customWidth="true" hidden="false" outlineLevel="0" max="513" min="513" style="1" width="10.42"/>
    <col collapsed="false" customWidth="true" hidden="false" outlineLevel="0" max="514" min="514" style="1" width="39.29"/>
    <col collapsed="false" customWidth="true" hidden="false" outlineLevel="0" max="515" min="515" style="1" width="15"/>
    <col collapsed="false" customWidth="true" hidden="false" outlineLevel="0" max="516" min="516" style="1" width="11"/>
    <col collapsed="false" customWidth="true" hidden="false" outlineLevel="0" max="517" min="517" style="1" width="11.14"/>
    <col collapsed="false" customWidth="true" hidden="false" outlineLevel="0" max="518" min="518" style="1" width="12.86"/>
    <col collapsed="false" customWidth="true" hidden="false" outlineLevel="0" max="519" min="519" style="1" width="13.15"/>
    <col collapsed="false" customWidth="true" hidden="false" outlineLevel="0" max="523" min="520" style="1" width="14.14"/>
    <col collapsed="false" customWidth="true" hidden="false" outlineLevel="0" max="524" min="524" style="1" width="14.42"/>
    <col collapsed="false" customWidth="true" hidden="false" outlineLevel="0" max="525" min="525" style="1" width="9.71"/>
    <col collapsed="false" customWidth="true" hidden="false" outlineLevel="0" max="526" min="526" style="1" width="12.71"/>
    <col collapsed="false" customWidth="true" hidden="false" outlineLevel="0" max="529" min="527" style="1" width="13.57"/>
    <col collapsed="false" customWidth="true" hidden="false" outlineLevel="0" max="530" min="530" style="1" width="12.15"/>
    <col collapsed="false" customWidth="true" hidden="false" outlineLevel="0" max="531" min="531" style="1" width="15"/>
    <col collapsed="false" customWidth="true" hidden="false" outlineLevel="0" max="767" min="532" style="1" width="9.14"/>
    <col collapsed="false" customWidth="true" hidden="false" outlineLevel="0" max="768" min="768" style="1" width="9.86"/>
    <col collapsed="false" customWidth="true" hidden="false" outlineLevel="0" max="769" min="769" style="1" width="10.42"/>
    <col collapsed="false" customWidth="true" hidden="false" outlineLevel="0" max="770" min="770" style="1" width="39.29"/>
    <col collapsed="false" customWidth="true" hidden="false" outlineLevel="0" max="771" min="771" style="1" width="15"/>
    <col collapsed="false" customWidth="true" hidden="false" outlineLevel="0" max="772" min="772" style="1" width="11"/>
    <col collapsed="false" customWidth="true" hidden="false" outlineLevel="0" max="773" min="773" style="1" width="11.14"/>
    <col collapsed="false" customWidth="true" hidden="false" outlineLevel="0" max="774" min="774" style="1" width="12.86"/>
    <col collapsed="false" customWidth="true" hidden="false" outlineLevel="0" max="775" min="775" style="1" width="13.15"/>
    <col collapsed="false" customWidth="true" hidden="false" outlineLevel="0" max="779" min="776" style="1" width="14.14"/>
    <col collapsed="false" customWidth="true" hidden="false" outlineLevel="0" max="780" min="780" style="1" width="14.42"/>
    <col collapsed="false" customWidth="true" hidden="false" outlineLevel="0" max="781" min="781" style="1" width="9.71"/>
    <col collapsed="false" customWidth="true" hidden="false" outlineLevel="0" max="782" min="782" style="1" width="12.71"/>
    <col collapsed="false" customWidth="true" hidden="false" outlineLevel="0" max="785" min="783" style="1" width="13.57"/>
    <col collapsed="false" customWidth="true" hidden="false" outlineLevel="0" max="786" min="786" style="1" width="12.15"/>
    <col collapsed="false" customWidth="true" hidden="false" outlineLevel="0" max="787" min="787" style="1" width="15"/>
    <col collapsed="false" customWidth="true" hidden="false" outlineLevel="0" max="1023" min="788" style="1" width="9.14"/>
    <col collapsed="false" customWidth="true" hidden="false" outlineLevel="0" max="1025" min="1024" style="1" width="9.86"/>
  </cols>
  <sheetData>
    <row r="1" customFormat="false" ht="15" hidden="false" customHeight="false" outlineLevel="0" collapsed="false">
      <c r="A1" s="139"/>
      <c r="B1" s="125" t="str">
        <f aca="false">INSTRUÇÕES!B1</f>
        <v>Tribunal Regional Federal da 6ª Região</v>
      </c>
      <c r="D1" s="85"/>
      <c r="E1" s="85"/>
      <c r="F1" s="85"/>
      <c r="G1" s="85"/>
      <c r="H1" s="85"/>
      <c r="I1" s="85"/>
      <c r="J1" s="140"/>
      <c r="K1" s="140"/>
      <c r="L1" s="85"/>
      <c r="M1" s="85"/>
      <c r="N1" s="85"/>
    </row>
    <row r="2" customFormat="false" ht="15" hidden="false" customHeight="false" outlineLevel="0" collapsed="false">
      <c r="A2" s="139"/>
      <c r="B2" s="125" t="str">
        <f aca="false">INSTRUÇÕES!B2</f>
        <v>Seção Judiciária de Minas Gerais</v>
      </c>
      <c r="D2" s="85"/>
      <c r="E2" s="85"/>
      <c r="F2" s="85"/>
      <c r="G2" s="85"/>
      <c r="H2" s="85"/>
      <c r="I2" s="85"/>
      <c r="J2" s="140"/>
      <c r="K2" s="140"/>
      <c r="L2" s="85"/>
      <c r="M2" s="85"/>
      <c r="N2" s="85"/>
    </row>
    <row r="3" customFormat="false" ht="17.35" hidden="false" customHeight="false" outlineLevel="0" collapsed="false">
      <c r="A3" s="139"/>
      <c r="B3" s="125" t="str">
        <f aca="false">INSTRUÇÕES!B3</f>
        <v>Subseção Judiciária de Lavras</v>
      </c>
      <c r="D3" s="85"/>
      <c r="E3" s="141" t="s">
        <v>173</v>
      </c>
      <c r="F3" s="85"/>
      <c r="G3" s="85"/>
      <c r="H3" s="85"/>
      <c r="I3" s="85"/>
      <c r="J3" s="140"/>
      <c r="K3" s="140"/>
      <c r="L3" s="85"/>
      <c r="M3" s="85"/>
      <c r="N3" s="85"/>
      <c r="R3" s="85"/>
    </row>
    <row r="4" s="17" customFormat="true" ht="24.75" hidden="false" customHeight="true" outlineLevel="0" collapsed="false">
      <c r="A4" s="142" t="str">
        <f aca="false">CONCATENATE("Sindicato utilizado - ",E14,". Vigência: ",E16,". Sendo a data base da categoria ",E17,". Com número de registro no MTE ",E15,".")</f>
        <v>Sindicato utilizado - SINTAPPI x SINSERHT. Vigência: 2025/2026. Sendo a data base da categoria 01° de Abril. Com número de registro no MTE MG001973/2025.</v>
      </c>
      <c r="B4" s="142"/>
      <c r="C4" s="143"/>
      <c r="D4" s="1"/>
      <c r="E4" s="142"/>
      <c r="F4" s="144"/>
      <c r="G4" s="144"/>
      <c r="H4" s="144"/>
      <c r="I4" s="144"/>
      <c r="J4" s="144"/>
      <c r="K4" s="144"/>
      <c r="L4" s="144"/>
      <c r="M4" s="144"/>
      <c r="N4" s="144"/>
      <c r="O4" s="144"/>
      <c r="P4" s="144"/>
      <c r="Q4" s="144"/>
      <c r="R4" s="144"/>
      <c r="S4" s="144"/>
    </row>
    <row r="5" s="17" customFormat="true" ht="66.75" hidden="false" customHeight="true" outlineLevel="0" collapsed="false">
      <c r="A5" s="145" t="s">
        <v>174</v>
      </c>
      <c r="B5" s="145" t="s">
        <v>175</v>
      </c>
      <c r="C5" s="145" t="s">
        <v>25</v>
      </c>
      <c r="D5" s="145" t="s">
        <v>176</v>
      </c>
      <c r="E5" s="145" t="s">
        <v>177</v>
      </c>
      <c r="F5" s="145" t="s">
        <v>178</v>
      </c>
      <c r="G5" s="145" t="s">
        <v>179</v>
      </c>
      <c r="H5" s="145" t="s">
        <v>180</v>
      </c>
      <c r="I5" s="145" t="s">
        <v>181</v>
      </c>
      <c r="J5" s="145" t="s">
        <v>182</v>
      </c>
      <c r="K5" s="145" t="s">
        <v>183</v>
      </c>
      <c r="L5" s="145" t="s">
        <v>184</v>
      </c>
      <c r="M5" s="146" t="s">
        <v>185</v>
      </c>
      <c r="N5" s="145" t="s">
        <v>186</v>
      </c>
      <c r="O5" s="145" t="s">
        <v>187</v>
      </c>
      <c r="P5" s="145" t="s">
        <v>188</v>
      </c>
      <c r="Q5" s="145" t="s">
        <v>189</v>
      </c>
      <c r="R5" s="145" t="s">
        <v>190</v>
      </c>
      <c r="S5" s="145" t="s">
        <v>191</v>
      </c>
      <c r="U5" s="147"/>
    </row>
    <row r="6" s="17" customFormat="true" ht="23.85" hidden="false" customHeight="false" outlineLevel="0" collapsed="false">
      <c r="A6" s="145"/>
      <c r="B6" s="145"/>
      <c r="C6" s="145"/>
      <c r="D6" s="145"/>
      <c r="E6" s="145"/>
      <c r="F6" s="145"/>
      <c r="G6" s="145"/>
      <c r="H6" s="145"/>
      <c r="I6" s="145"/>
      <c r="J6" s="145"/>
      <c r="K6" s="145"/>
      <c r="L6" s="145"/>
      <c r="M6" s="146"/>
      <c r="N6" s="148" t="s">
        <v>192</v>
      </c>
      <c r="O6" s="149" t="n">
        <f aca="false">B7+B8</f>
        <v>2</v>
      </c>
      <c r="P6" s="149" t="n">
        <f aca="false">B8</f>
        <v>1</v>
      </c>
      <c r="Q6" s="149"/>
      <c r="R6" s="149"/>
      <c r="S6" s="145"/>
      <c r="U6" s="147"/>
    </row>
    <row r="7" s="17" customFormat="true" ht="24.75" hidden="false" customHeight="true" outlineLevel="0" collapsed="false">
      <c r="A7" s="150" t="n">
        <v>333903702</v>
      </c>
      <c r="B7" s="149" t="n">
        <v>1</v>
      </c>
      <c r="C7" s="151" t="s">
        <v>193</v>
      </c>
      <c r="D7" s="149" t="n">
        <v>200</v>
      </c>
      <c r="E7" s="152" t="n">
        <v>1633.68</v>
      </c>
      <c r="F7" s="153" t="n">
        <f aca="false">ROUND(((E7/220)*D7),2)</f>
        <v>1485.16</v>
      </c>
      <c r="G7" s="154" t="n">
        <v>0.4</v>
      </c>
      <c r="H7" s="153" t="n">
        <f aca="false">G7*G27</f>
        <v>607.2</v>
      </c>
      <c r="I7" s="47" t="n">
        <v>0</v>
      </c>
      <c r="J7" s="47" t="n">
        <v>0</v>
      </c>
      <c r="K7" s="47"/>
      <c r="L7" s="47" t="n">
        <v>0</v>
      </c>
      <c r="M7" s="155" t="n">
        <f aca="false">F7+H7+L7</f>
        <v>2092.36</v>
      </c>
      <c r="N7" s="153" t="n">
        <f aca="false">Unif!H13</f>
        <v>26.86</v>
      </c>
      <c r="O7" s="153" t="n">
        <f aca="false">ROUND((Mat!K44/$O$6),2)</f>
        <v>494.02</v>
      </c>
      <c r="P7" s="153"/>
      <c r="Q7" s="153" t="n">
        <f aca="false">EPI!F9/2</f>
        <v>4.94</v>
      </c>
      <c r="R7" s="153" t="n">
        <f aca="false">Equip!G11/2</f>
        <v>4.18</v>
      </c>
      <c r="S7" s="156" t="n">
        <v>2</v>
      </c>
      <c r="U7" s="147"/>
    </row>
    <row r="8" s="17" customFormat="true" ht="21" hidden="false" customHeight="true" outlineLevel="0" collapsed="false">
      <c r="A8" s="150"/>
      <c r="B8" s="149" t="n">
        <v>1</v>
      </c>
      <c r="C8" s="151" t="s">
        <v>194</v>
      </c>
      <c r="D8" s="149" t="n">
        <v>200</v>
      </c>
      <c r="E8" s="152" t="n">
        <v>1633.68</v>
      </c>
      <c r="F8" s="153" t="n">
        <f aca="false">ROUND(((E8/220)*D8),2)</f>
        <v>1485.16</v>
      </c>
      <c r="G8" s="157" t="n">
        <v>0</v>
      </c>
      <c r="H8" s="47" t="n">
        <v>0</v>
      </c>
      <c r="I8" s="158" t="n">
        <v>0.12</v>
      </c>
      <c r="J8" s="158" t="n">
        <v>0.25</v>
      </c>
      <c r="K8" s="152" t="n">
        <f aca="false">F8</f>
        <v>1485.16</v>
      </c>
      <c r="L8" s="159" t="n">
        <f aca="false">ROUND((K8*I8*J8),2)</f>
        <v>44.55</v>
      </c>
      <c r="M8" s="155" t="n">
        <f aca="false">F8+H8+L8</f>
        <v>1529.71</v>
      </c>
      <c r="N8" s="153" t="n">
        <f aca="false">Unif!H13+Unif!H20</f>
        <v>30.64</v>
      </c>
      <c r="O8" s="153" t="n">
        <f aca="false">ROUND((Mat!K44/$O$6),2)</f>
        <v>494.02</v>
      </c>
      <c r="P8" s="153" t="n">
        <f aca="false">Mat!K66/P6</f>
        <v>148.991666666667</v>
      </c>
      <c r="Q8" s="153" t="n">
        <f aca="false">EPI!F9/2</f>
        <v>4.94</v>
      </c>
      <c r="R8" s="153" t="n">
        <f aca="false">Equip!G11/2</f>
        <v>4.18</v>
      </c>
      <c r="S8" s="156" t="n">
        <v>2</v>
      </c>
      <c r="U8" s="147"/>
    </row>
    <row r="9" customFormat="false" ht="21" hidden="false" customHeight="true" outlineLevel="0" collapsed="false">
      <c r="A9" s="150"/>
      <c r="B9" s="149" t="n">
        <v>1</v>
      </c>
      <c r="C9" s="151" t="s">
        <v>195</v>
      </c>
      <c r="D9" s="149" t="n">
        <v>150</v>
      </c>
      <c r="E9" s="152" t="n">
        <v>2441.1</v>
      </c>
      <c r="F9" s="153" t="n">
        <f aca="false">ROUND(((E9/220)*D9),2)</f>
        <v>1664.39</v>
      </c>
      <c r="G9" s="157" t="n">
        <v>0</v>
      </c>
      <c r="H9" s="47" t="n">
        <v>0</v>
      </c>
      <c r="I9" s="160"/>
      <c r="J9" s="160"/>
      <c r="K9" s="161"/>
      <c r="L9" s="162"/>
      <c r="M9" s="155" t="n">
        <f aca="false">F9+H9+L9</f>
        <v>1664.39</v>
      </c>
      <c r="N9" s="153" t="n">
        <f aca="false">Unif!H34</f>
        <v>36.95</v>
      </c>
      <c r="O9" s="163"/>
      <c r="P9" s="153"/>
      <c r="Q9" s="153"/>
      <c r="R9" s="153"/>
      <c r="S9" s="156" t="n">
        <v>2</v>
      </c>
    </row>
    <row r="10" customFormat="false" ht="24.75" hidden="false" customHeight="true" outlineLevel="0" collapsed="false">
      <c r="A10" s="164" t="n">
        <v>333903701</v>
      </c>
      <c r="B10" s="149" t="n">
        <v>1</v>
      </c>
      <c r="C10" s="151" t="s">
        <v>196</v>
      </c>
      <c r="D10" s="149" t="n">
        <v>200</v>
      </c>
      <c r="E10" s="152" t="n">
        <v>2048</v>
      </c>
      <c r="F10" s="153" t="n">
        <f aca="false">ROUND(((E10/220)*D10),2)</f>
        <v>1861.82</v>
      </c>
      <c r="G10" s="157" t="n">
        <v>0</v>
      </c>
      <c r="H10" s="47" t="n">
        <v>0</v>
      </c>
      <c r="I10" s="158" t="n">
        <v>0.12</v>
      </c>
      <c r="J10" s="158" t="n">
        <v>0.25</v>
      </c>
      <c r="K10" s="152" t="n">
        <f aca="false">F10</f>
        <v>1861.82</v>
      </c>
      <c r="L10" s="165" t="n">
        <f aca="false">ROUND((K10*I10*J10),2)</f>
        <v>55.85</v>
      </c>
      <c r="M10" s="155" t="n">
        <f aca="false">F10+H10+L10</f>
        <v>1917.67</v>
      </c>
      <c r="N10" s="153" t="n">
        <f aca="false">Unif!H27</f>
        <v>45.84</v>
      </c>
      <c r="O10" s="153"/>
      <c r="P10" s="153"/>
      <c r="Q10" s="153"/>
      <c r="R10" s="153"/>
      <c r="S10" s="156" t="n">
        <v>1</v>
      </c>
    </row>
    <row r="11" customFormat="false" ht="34.5" hidden="false" customHeight="true" outlineLevel="0" collapsed="false">
      <c r="A11" s="144" t="s">
        <v>197</v>
      </c>
      <c r="B11" s="3"/>
      <c r="C11" s="3"/>
      <c r="D11" s="144"/>
      <c r="F11" s="144"/>
      <c r="G11" s="144" t="s">
        <v>198</v>
      </c>
      <c r="H11" s="144"/>
      <c r="I11" s="144"/>
      <c r="J11" s="144"/>
      <c r="K11" s="142"/>
      <c r="L11" s="166" t="s">
        <v>199</v>
      </c>
      <c r="M11" s="167" t="n">
        <f aca="false">SUM(M7:M10)</f>
        <v>7204.13</v>
      </c>
      <c r="N11" s="142"/>
      <c r="O11" s="142"/>
      <c r="P11" s="142"/>
      <c r="Q11" s="142"/>
      <c r="R11" s="142"/>
      <c r="S11" s="142"/>
    </row>
    <row r="12" customFormat="false" ht="24.75" hidden="false" customHeight="true" outlineLevel="0" collapsed="false">
      <c r="A12" s="168" t="s">
        <v>200</v>
      </c>
      <c r="B12" s="168"/>
      <c r="C12" s="168"/>
      <c r="D12" s="168"/>
      <c r="E12" s="168"/>
      <c r="F12" s="168"/>
      <c r="G12" s="168"/>
      <c r="N12" s="142"/>
      <c r="O12" s="142"/>
      <c r="P12" s="142"/>
      <c r="Q12" s="142"/>
      <c r="R12" s="142"/>
      <c r="S12" s="142"/>
    </row>
    <row r="13" customFormat="false" ht="24" hidden="false" customHeight="true" outlineLevel="0" collapsed="false">
      <c r="A13" s="169" t="n">
        <v>1</v>
      </c>
      <c r="B13" s="117" t="s">
        <v>201</v>
      </c>
      <c r="C13" s="117"/>
      <c r="D13" s="117"/>
      <c r="E13" s="170" t="s">
        <v>202</v>
      </c>
      <c r="F13" s="170"/>
      <c r="G13" s="170"/>
      <c r="H13" s="2" t="s">
        <v>203</v>
      </c>
      <c r="N13" s="142"/>
      <c r="O13" s="142"/>
      <c r="P13" s="142"/>
      <c r="Q13" s="142"/>
      <c r="R13" s="142"/>
      <c r="S13" s="74"/>
    </row>
    <row r="14" customFormat="false" ht="24" hidden="false" customHeight="true" outlineLevel="0" collapsed="false">
      <c r="A14" s="169" t="n">
        <v>2</v>
      </c>
      <c r="B14" s="117" t="s">
        <v>204</v>
      </c>
      <c r="C14" s="117"/>
      <c r="D14" s="117"/>
      <c r="E14" s="170" t="s">
        <v>205</v>
      </c>
      <c r="F14" s="170"/>
      <c r="G14" s="170"/>
      <c r="H14" s="2" t="s">
        <v>206</v>
      </c>
      <c r="N14" s="142"/>
      <c r="O14" s="142"/>
      <c r="P14" s="142"/>
      <c r="Q14" s="142"/>
      <c r="R14" s="142"/>
      <c r="S14" s="74"/>
    </row>
    <row r="15" customFormat="false" ht="24" hidden="false" customHeight="true" outlineLevel="0" collapsed="false">
      <c r="A15" s="169" t="n">
        <v>3</v>
      </c>
      <c r="B15" s="117" t="s">
        <v>207</v>
      </c>
      <c r="C15" s="117"/>
      <c r="D15" s="117"/>
      <c r="E15" s="170" t="s">
        <v>208</v>
      </c>
      <c r="F15" s="170"/>
      <c r="G15" s="170"/>
      <c r="H15" s="2" t="s">
        <v>209</v>
      </c>
      <c r="N15" s="142"/>
      <c r="O15" s="142"/>
      <c r="P15" s="142"/>
      <c r="Q15" s="142"/>
      <c r="R15" s="142"/>
      <c r="S15" s="74"/>
    </row>
    <row r="16" customFormat="false" ht="24" hidden="false" customHeight="true" outlineLevel="0" collapsed="false">
      <c r="A16" s="169" t="n">
        <v>4</v>
      </c>
      <c r="B16" s="117" t="s">
        <v>210</v>
      </c>
      <c r="C16" s="117"/>
      <c r="D16" s="117"/>
      <c r="E16" s="170" t="s">
        <v>211</v>
      </c>
      <c r="F16" s="170"/>
      <c r="G16" s="170"/>
      <c r="H16" s="2" t="s">
        <v>212</v>
      </c>
      <c r="N16" s="142"/>
      <c r="O16" s="142"/>
      <c r="P16" s="142"/>
      <c r="Q16" s="142"/>
      <c r="R16" s="142"/>
      <c r="S16" s="74"/>
    </row>
    <row r="17" customFormat="false" ht="24" hidden="false" customHeight="true" outlineLevel="0" collapsed="false">
      <c r="A17" s="169" t="n">
        <v>5</v>
      </c>
      <c r="B17" s="117" t="s">
        <v>213</v>
      </c>
      <c r="C17" s="117"/>
      <c r="D17" s="117"/>
      <c r="E17" s="170" t="s">
        <v>214</v>
      </c>
      <c r="F17" s="170"/>
      <c r="G17" s="170"/>
      <c r="H17" s="2" t="s">
        <v>215</v>
      </c>
      <c r="N17" s="142"/>
      <c r="O17" s="142"/>
      <c r="P17" s="142"/>
      <c r="Q17" s="142"/>
      <c r="R17" s="142"/>
      <c r="S17" s="74"/>
    </row>
    <row r="18" s="1" customFormat="true" ht="12.75" hidden="false" customHeight="true" outlineLevel="0" collapsed="false">
      <c r="A18" s="171"/>
      <c r="H18" s="2"/>
    </row>
    <row r="19" s="74" customFormat="true" ht="24.75" hidden="false" customHeight="true" outlineLevel="0" collapsed="false">
      <c r="A19" s="168" t="s">
        <v>216</v>
      </c>
      <c r="B19" s="168"/>
      <c r="C19" s="168"/>
      <c r="D19" s="168"/>
      <c r="E19" s="168"/>
      <c r="F19" s="168"/>
      <c r="G19" s="168"/>
      <c r="H19" s="2"/>
      <c r="I19" s="142"/>
      <c r="J19" s="142"/>
      <c r="K19" s="142"/>
      <c r="L19" s="142"/>
      <c r="M19" s="142"/>
      <c r="N19" s="142"/>
      <c r="O19" s="142"/>
      <c r="P19" s="142"/>
      <c r="Q19" s="142"/>
      <c r="R19" s="142"/>
    </row>
    <row r="20" s="1" customFormat="true" ht="24" hidden="false" customHeight="true" outlineLevel="0" collapsed="false">
      <c r="A20" s="169" t="s">
        <v>217</v>
      </c>
      <c r="B20" s="117" t="s">
        <v>218</v>
      </c>
      <c r="C20" s="117"/>
      <c r="D20" s="117"/>
      <c r="E20" s="117"/>
      <c r="F20" s="117"/>
      <c r="G20" s="154" t="n">
        <f aca="false">Encargos!C57</f>
        <v>0.764</v>
      </c>
      <c r="H20" s="2"/>
    </row>
    <row r="21" s="1" customFormat="true" ht="12.75" hidden="false" customHeight="true" outlineLevel="0" collapsed="false">
      <c r="A21" s="171"/>
      <c r="G21" s="3"/>
      <c r="H21" s="2"/>
    </row>
    <row r="22" s="1" customFormat="true" ht="24.75" hidden="false" customHeight="true" outlineLevel="0" collapsed="false">
      <c r="A22" s="119" t="n">
        <v>1</v>
      </c>
      <c r="B22" s="117" t="s">
        <v>219</v>
      </c>
      <c r="C22" s="117"/>
      <c r="D22" s="117"/>
      <c r="E22" s="117"/>
      <c r="F22" s="117"/>
      <c r="G22" s="172" t="n">
        <f aca="false">G23*G24</f>
        <v>0.06</v>
      </c>
      <c r="H22" s="2"/>
    </row>
    <row r="23" s="1" customFormat="true" ht="24.75" hidden="false" customHeight="true" outlineLevel="0" collapsed="false">
      <c r="A23" s="119" t="n">
        <v>2</v>
      </c>
      <c r="B23" s="117" t="s">
        <v>220</v>
      </c>
      <c r="C23" s="117"/>
      <c r="D23" s="117"/>
      <c r="E23" s="117"/>
      <c r="F23" s="117"/>
      <c r="G23" s="158" t="n">
        <v>0.03</v>
      </c>
      <c r="H23" s="2" t="s">
        <v>221</v>
      </c>
    </row>
    <row r="24" s="1" customFormat="true" ht="24.75" hidden="false" customHeight="true" outlineLevel="0" collapsed="false">
      <c r="A24" s="119" t="n">
        <v>3</v>
      </c>
      <c r="B24" s="117" t="s">
        <v>222</v>
      </c>
      <c r="C24" s="117"/>
      <c r="D24" s="117"/>
      <c r="E24" s="117"/>
      <c r="F24" s="117"/>
      <c r="G24" s="173" t="n">
        <v>2</v>
      </c>
      <c r="H24" s="2" t="s">
        <v>223</v>
      </c>
    </row>
    <row r="25" s="1" customFormat="true" ht="12.75" hidden="false" customHeight="true" outlineLevel="0" collapsed="false">
      <c r="A25" s="171"/>
      <c r="B25" s="142"/>
      <c r="C25" s="142"/>
      <c r="D25" s="142"/>
      <c r="E25" s="142"/>
      <c r="F25" s="142"/>
      <c r="H25" s="2"/>
    </row>
    <row r="26" s="1" customFormat="true" ht="24.75" hidden="false" customHeight="true" outlineLevel="0" collapsed="false">
      <c r="A26" s="168" t="s">
        <v>224</v>
      </c>
      <c r="B26" s="168"/>
      <c r="C26" s="168"/>
      <c r="D26" s="168"/>
      <c r="E26" s="168"/>
      <c r="F26" s="168"/>
      <c r="G26" s="168"/>
      <c r="H26" s="2"/>
    </row>
    <row r="27" s="1" customFormat="true" ht="24.75" hidden="false" customHeight="true" outlineLevel="0" collapsed="false">
      <c r="A27" s="119" t="n">
        <v>1</v>
      </c>
      <c r="B27" s="117" t="s">
        <v>225</v>
      </c>
      <c r="C27" s="117"/>
      <c r="D27" s="117"/>
      <c r="E27" s="117"/>
      <c r="F27" s="117"/>
      <c r="G27" s="153" t="n">
        <v>1518</v>
      </c>
      <c r="H27" s="2" t="s">
        <v>226</v>
      </c>
    </row>
    <row r="28" s="1" customFormat="true" ht="12.75" hidden="false" customHeight="true" outlineLevel="0" collapsed="false">
      <c r="A28" s="174"/>
      <c r="B28" s="175"/>
      <c r="C28" s="175"/>
      <c r="D28" s="175"/>
      <c r="E28" s="175"/>
      <c r="F28" s="175"/>
      <c r="G28" s="176"/>
      <c r="H28" s="2"/>
    </row>
    <row r="29" s="74" customFormat="true" ht="24.75" hidden="false" customHeight="true" outlineLevel="0" collapsed="false">
      <c r="A29" s="168" t="s">
        <v>227</v>
      </c>
      <c r="B29" s="168"/>
      <c r="C29" s="168"/>
      <c r="D29" s="168"/>
      <c r="E29" s="168"/>
      <c r="F29" s="168"/>
      <c r="G29" s="168"/>
      <c r="H29" s="2"/>
      <c r="I29" s="1"/>
      <c r="J29" s="1"/>
      <c r="K29" s="142"/>
      <c r="L29" s="142"/>
      <c r="M29" s="142"/>
      <c r="N29" s="142"/>
      <c r="O29" s="142"/>
      <c r="P29" s="142"/>
      <c r="Q29" s="142"/>
      <c r="R29" s="142"/>
    </row>
    <row r="30" s="1" customFormat="true" ht="26.25" hidden="false" customHeight="true" outlineLevel="0" collapsed="false">
      <c r="A30" s="169" t="n">
        <v>1</v>
      </c>
      <c r="B30" s="117" t="s">
        <v>228</v>
      </c>
      <c r="C30" s="117"/>
      <c r="D30" s="117"/>
      <c r="E30" s="117"/>
      <c r="F30" s="117"/>
      <c r="G30" s="173" t="n">
        <v>5.27</v>
      </c>
      <c r="H30" s="2" t="s">
        <v>229</v>
      </c>
    </row>
    <row r="31" s="1" customFormat="true" ht="26.25" hidden="false" customHeight="true" outlineLevel="0" collapsed="false">
      <c r="A31" s="177" t="n">
        <v>2</v>
      </c>
      <c r="B31" s="117" t="s">
        <v>230</v>
      </c>
      <c r="C31" s="117"/>
      <c r="D31" s="117"/>
      <c r="E31" s="117"/>
      <c r="F31" s="117"/>
      <c r="G31" s="173" t="n">
        <v>0</v>
      </c>
      <c r="H31" s="2" t="s">
        <v>229</v>
      </c>
    </row>
    <row r="32" s="1" customFormat="true" ht="26.25" hidden="false" customHeight="true" outlineLevel="0" collapsed="false">
      <c r="A32" s="169" t="n">
        <v>3</v>
      </c>
      <c r="B32" s="178" t="s">
        <v>231</v>
      </c>
      <c r="C32" s="178"/>
      <c r="D32" s="117" t="s">
        <v>232</v>
      </c>
      <c r="E32" s="117"/>
      <c r="F32" s="117"/>
      <c r="G32" s="173" t="n">
        <v>5</v>
      </c>
      <c r="H32" s="2" t="s">
        <v>233</v>
      </c>
      <c r="I32" s="142"/>
      <c r="O32" s="2"/>
    </row>
    <row r="33" s="1" customFormat="true" ht="26.25" hidden="false" customHeight="true" outlineLevel="0" collapsed="false">
      <c r="A33" s="169"/>
      <c r="B33" s="178"/>
      <c r="C33" s="178"/>
      <c r="D33" s="117" t="s">
        <v>234</v>
      </c>
      <c r="E33" s="117"/>
      <c r="F33" s="117"/>
      <c r="G33" s="173" t="n">
        <v>2</v>
      </c>
      <c r="H33" s="2" t="s">
        <v>235</v>
      </c>
      <c r="I33" s="142"/>
      <c r="O33" s="2"/>
    </row>
    <row r="34" s="1" customFormat="true" ht="26.25" hidden="false" customHeight="true" outlineLevel="0" collapsed="false">
      <c r="A34" s="169"/>
      <c r="B34" s="178"/>
      <c r="C34" s="178"/>
      <c r="D34" s="117" t="s">
        <v>236</v>
      </c>
      <c r="E34" s="117"/>
      <c r="F34" s="117"/>
      <c r="G34" s="179" t="n">
        <v>22</v>
      </c>
      <c r="H34" s="2" t="s">
        <v>237</v>
      </c>
      <c r="I34" s="142"/>
      <c r="O34" s="2"/>
    </row>
    <row r="35" customFormat="false" ht="26.25" hidden="false" customHeight="true" outlineLevel="0" collapsed="false">
      <c r="A35" s="169"/>
      <c r="B35" s="178"/>
      <c r="C35" s="178"/>
      <c r="D35" s="180" t="s">
        <v>238</v>
      </c>
      <c r="E35" s="180"/>
      <c r="F35" s="180"/>
      <c r="G35" s="181" t="n">
        <v>0.06</v>
      </c>
      <c r="H35" s="2" t="s">
        <v>239</v>
      </c>
      <c r="O35" s="2"/>
    </row>
    <row r="36" s="1" customFormat="true" ht="26.25" hidden="false" customHeight="true" outlineLevel="0" collapsed="false">
      <c r="A36" s="169" t="n">
        <v>4</v>
      </c>
      <c r="B36" s="178" t="s">
        <v>240</v>
      </c>
      <c r="C36" s="178"/>
      <c r="D36" s="117" t="s">
        <v>241</v>
      </c>
      <c r="E36" s="117"/>
      <c r="F36" s="117"/>
      <c r="G36" s="173" t="n">
        <v>29</v>
      </c>
      <c r="H36" s="2" t="s">
        <v>242</v>
      </c>
      <c r="I36" s="142"/>
    </row>
    <row r="37" customFormat="false" ht="26.25" hidden="false" customHeight="true" outlineLevel="0" collapsed="false">
      <c r="A37" s="169"/>
      <c r="B37" s="178"/>
      <c r="C37" s="178"/>
      <c r="D37" s="117" t="s">
        <v>236</v>
      </c>
      <c r="E37" s="117"/>
      <c r="F37" s="117"/>
      <c r="G37" s="179" t="n">
        <v>22</v>
      </c>
      <c r="H37" s="2" t="s">
        <v>237</v>
      </c>
      <c r="I37" s="4"/>
      <c r="J37" s="4"/>
      <c r="K37" s="142"/>
      <c r="O37" s="2"/>
    </row>
    <row r="38" s="1" customFormat="true" ht="26.25" hidden="false" customHeight="true" outlineLevel="0" collapsed="false">
      <c r="A38" s="169"/>
      <c r="B38" s="178"/>
      <c r="C38" s="178"/>
      <c r="D38" s="180" t="s">
        <v>238</v>
      </c>
      <c r="E38" s="180"/>
      <c r="F38" s="180"/>
      <c r="G38" s="158" t="n">
        <v>0.2</v>
      </c>
      <c r="H38" s="2" t="s">
        <v>239</v>
      </c>
      <c r="O38" s="2"/>
    </row>
    <row r="39" s="1" customFormat="true" ht="26.25" hidden="false" customHeight="true" outlineLevel="0" collapsed="false">
      <c r="A39" s="169" t="n">
        <v>5</v>
      </c>
      <c r="B39" s="182" t="s">
        <v>243</v>
      </c>
      <c r="C39" s="182"/>
      <c r="D39" s="182"/>
      <c r="E39" s="182"/>
      <c r="F39" s="182"/>
      <c r="G39" s="173" t="n">
        <v>0</v>
      </c>
      <c r="H39" s="2" t="s">
        <v>244</v>
      </c>
      <c r="O39" s="2"/>
    </row>
    <row r="40" s="1" customFormat="true" ht="26.25" hidden="false" customHeight="true" outlineLevel="0" collapsed="false">
      <c r="A40" s="169" t="n">
        <v>6</v>
      </c>
      <c r="B40" s="182" t="s">
        <v>243</v>
      </c>
      <c r="C40" s="182"/>
      <c r="D40" s="182"/>
      <c r="E40" s="182"/>
      <c r="F40" s="182"/>
      <c r="G40" s="173" t="n">
        <v>0</v>
      </c>
      <c r="H40" s="2" t="s">
        <v>244</v>
      </c>
    </row>
    <row r="41" s="1" customFormat="true" ht="12.75" hidden="false" customHeight="true" outlineLevel="0" collapsed="false">
      <c r="H41" s="2"/>
    </row>
    <row r="42" s="74" customFormat="true" ht="24.75" hidden="false" customHeight="true" outlineLevel="0" collapsed="false">
      <c r="A42" s="168" t="s">
        <v>245</v>
      </c>
      <c r="B42" s="168"/>
      <c r="C42" s="168"/>
      <c r="D42" s="168"/>
      <c r="E42" s="168"/>
      <c r="F42" s="168"/>
      <c r="G42" s="168"/>
      <c r="H42" s="2"/>
      <c r="I42" s="142"/>
      <c r="J42" s="142"/>
      <c r="K42" s="142"/>
      <c r="L42" s="142"/>
      <c r="M42" s="142"/>
      <c r="N42" s="142"/>
      <c r="O42" s="142"/>
      <c r="P42" s="142"/>
      <c r="Q42" s="142"/>
      <c r="R42" s="142"/>
    </row>
    <row r="43" s="1" customFormat="true" ht="24.75" hidden="false" customHeight="true" outlineLevel="0" collapsed="false">
      <c r="A43" s="169" t="n">
        <v>1</v>
      </c>
      <c r="B43" s="117" t="s">
        <v>246</v>
      </c>
      <c r="C43" s="117"/>
      <c r="D43" s="117"/>
      <c r="E43" s="117"/>
      <c r="F43" s="117"/>
      <c r="G43" s="183" t="n">
        <v>0.03</v>
      </c>
      <c r="H43" s="2" t="s">
        <v>247</v>
      </c>
    </row>
    <row r="44" s="1" customFormat="true" ht="24.75" hidden="false" customHeight="true" outlineLevel="0" collapsed="false">
      <c r="A44" s="169" t="n">
        <v>2</v>
      </c>
      <c r="B44" s="117" t="s">
        <v>248</v>
      </c>
      <c r="C44" s="117"/>
      <c r="D44" s="117"/>
      <c r="E44" s="117"/>
      <c r="F44" s="117"/>
      <c r="G44" s="184" t="n">
        <v>0.0679</v>
      </c>
      <c r="H44" s="2" t="s">
        <v>247</v>
      </c>
    </row>
    <row r="45" s="1" customFormat="true" ht="12.75" hidden="false" customHeight="true" outlineLevel="0" collapsed="false">
      <c r="H45" s="2"/>
    </row>
    <row r="46" s="74" customFormat="true" ht="24.75" hidden="false" customHeight="true" outlineLevel="0" collapsed="false">
      <c r="A46" s="168" t="s">
        <v>249</v>
      </c>
      <c r="B46" s="168"/>
      <c r="C46" s="168"/>
      <c r="D46" s="168"/>
      <c r="E46" s="168"/>
      <c r="F46" s="168"/>
      <c r="G46" s="168"/>
      <c r="H46" s="2"/>
      <c r="I46" s="142"/>
      <c r="J46" s="142"/>
      <c r="K46" s="142"/>
      <c r="L46" s="142"/>
      <c r="M46" s="142"/>
      <c r="N46" s="142"/>
      <c r="O46" s="142"/>
      <c r="P46" s="142"/>
      <c r="Q46" s="142"/>
      <c r="R46" s="142"/>
    </row>
    <row r="47" s="74" customFormat="true" ht="24.75" hidden="false" customHeight="true" outlineLevel="0" collapsed="false">
      <c r="A47" s="146" t="s">
        <v>250</v>
      </c>
      <c r="B47" s="185" t="str">
        <f aca="false">IF(F50="LUCRO REAL","INFORMAR ALÍQUOTAS MÉDIAS DE RECOLHIMENTO DOS ÚLTIMOS 12 (DOZE) MESES.",IF(F50="LUCRO PRESUMIDO","ALÍQUOTAS FIXAS - PIS: 0,65%; COFINS: 3,00%.",IF(F50="SIMPLES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7" s="185"/>
      <c r="D47" s="185"/>
      <c r="E47" s="185"/>
      <c r="F47" s="185"/>
      <c r="G47" s="185"/>
      <c r="H47" s="2"/>
      <c r="I47" s="142"/>
      <c r="J47" s="142"/>
      <c r="K47" s="142"/>
      <c r="L47" s="142"/>
      <c r="M47" s="142"/>
      <c r="N47" s="142"/>
      <c r="O47" s="142"/>
      <c r="P47" s="142"/>
      <c r="Q47" s="142"/>
      <c r="R47" s="142"/>
    </row>
    <row r="48" s="74" customFormat="true" ht="24.75" hidden="false" customHeight="true" outlineLevel="0" collapsed="false">
      <c r="A48" s="146"/>
      <c r="B48" s="146"/>
      <c r="C48" s="185"/>
      <c r="D48" s="185"/>
      <c r="E48" s="185"/>
      <c r="F48" s="185"/>
      <c r="G48" s="185"/>
      <c r="H48" s="2"/>
      <c r="I48" s="142"/>
      <c r="J48" s="142"/>
      <c r="K48" s="142"/>
      <c r="L48" s="142"/>
      <c r="M48" s="142"/>
      <c r="N48" s="142"/>
      <c r="O48" s="142"/>
      <c r="P48" s="142"/>
      <c r="Q48" s="142"/>
      <c r="R48" s="142"/>
    </row>
    <row r="49" s="74" customFormat="true" ht="24.75" hidden="false" customHeight="true" outlineLevel="0" collapsed="false">
      <c r="A49" s="146"/>
      <c r="B49" s="146"/>
      <c r="C49" s="185"/>
      <c r="D49" s="185"/>
      <c r="E49" s="185"/>
      <c r="F49" s="185"/>
      <c r="G49" s="185"/>
      <c r="H49" s="2"/>
      <c r="I49" s="142"/>
      <c r="J49" s="142"/>
      <c r="K49" s="142"/>
      <c r="L49" s="142"/>
      <c r="M49" s="142"/>
      <c r="N49" s="142"/>
      <c r="O49" s="142"/>
      <c r="P49" s="142"/>
      <c r="Q49" s="142"/>
      <c r="R49" s="142"/>
    </row>
    <row r="50" s="1" customFormat="true" ht="24" hidden="false" customHeight="true" outlineLevel="0" collapsed="false">
      <c r="A50" s="169" t="n">
        <v>1</v>
      </c>
      <c r="B50" s="117" t="s">
        <v>251</v>
      </c>
      <c r="C50" s="117"/>
      <c r="D50" s="117"/>
      <c r="E50" s="117"/>
      <c r="F50" s="170" t="s">
        <v>252</v>
      </c>
      <c r="G50" s="170"/>
      <c r="H50" s="2" t="s">
        <v>253</v>
      </c>
      <c r="R50" s="186"/>
    </row>
    <row r="51" s="1" customFormat="true" ht="24" hidden="false" customHeight="true" outlineLevel="0" collapsed="false">
      <c r="A51" s="169" t="n">
        <v>2</v>
      </c>
      <c r="B51" s="117" t="s">
        <v>254</v>
      </c>
      <c r="C51" s="117"/>
      <c r="D51" s="117"/>
      <c r="E51" s="117"/>
      <c r="F51" s="117"/>
      <c r="G51" s="158" t="n">
        <v>0.076</v>
      </c>
      <c r="H51" s="2" t="s">
        <v>255</v>
      </c>
    </row>
    <row r="52" s="1" customFormat="true" ht="24" hidden="false" customHeight="true" outlineLevel="0" collapsed="false">
      <c r="A52" s="169" t="n">
        <v>3</v>
      </c>
      <c r="B52" s="117" t="s">
        <v>256</v>
      </c>
      <c r="C52" s="117"/>
      <c r="D52" s="117"/>
      <c r="E52" s="117"/>
      <c r="F52" s="117"/>
      <c r="G52" s="158" t="n">
        <v>0.0165</v>
      </c>
      <c r="H52" s="2" t="s">
        <v>255</v>
      </c>
    </row>
    <row r="53" s="1" customFormat="true" ht="24" hidden="false" customHeight="true" outlineLevel="0" collapsed="false">
      <c r="A53" s="169" t="n">
        <v>4</v>
      </c>
      <c r="B53" s="117" t="s">
        <v>257</v>
      </c>
      <c r="C53" s="117"/>
      <c r="D53" s="117"/>
      <c r="E53" s="117"/>
      <c r="F53" s="117"/>
      <c r="G53" s="158" t="n">
        <v>0.03</v>
      </c>
      <c r="H53" s="2" t="s">
        <v>258</v>
      </c>
    </row>
    <row r="54" s="1" customFormat="true" ht="24" hidden="false" customHeight="true" outlineLevel="0" collapsed="false">
      <c r="A54" s="169" t="n">
        <v>5</v>
      </c>
      <c r="B54" s="187" t="s">
        <v>259</v>
      </c>
      <c r="C54" s="187"/>
      <c r="D54" s="187"/>
      <c r="E54" s="187"/>
      <c r="F54" s="187"/>
      <c r="G54" s="158" t="n">
        <v>0.05</v>
      </c>
      <c r="H54" s="2" t="s">
        <v>260</v>
      </c>
    </row>
    <row r="55" s="1" customFormat="true" ht="21.75" hidden="false" customHeight="true" outlineLevel="0" collapsed="false">
      <c r="A55" s="169" t="n">
        <v>6</v>
      </c>
      <c r="B55" s="117" t="s">
        <v>261</v>
      </c>
      <c r="C55" s="117"/>
      <c r="D55" s="117"/>
      <c r="E55" s="117"/>
      <c r="F55" s="117"/>
      <c r="G55" s="154" t="n">
        <f aca="false">SUM(G51:G54)</f>
        <v>0.1725</v>
      </c>
      <c r="H55" s="2"/>
    </row>
    <row r="56" customFormat="false" ht="12.75" hidden="false" customHeight="true" outlineLevel="0" collapsed="false"/>
    <row r="57" s="1" customFormat="true" ht="15" hidden="false" customHeight="false" outlineLevel="0" collapsed="false"/>
    <row r="59" customFormat="false" ht="66.75" hidden="true" customHeight="true" outlineLevel="0" collapsed="false">
      <c r="A59" s="146" t="s">
        <v>262</v>
      </c>
      <c r="B59" s="146"/>
      <c r="C59" s="146"/>
      <c r="D59" s="146"/>
      <c r="E59" s="146"/>
      <c r="F59" s="146"/>
      <c r="G59" s="146"/>
      <c r="H59" s="146"/>
      <c r="I59" s="168" t="s">
        <v>263</v>
      </c>
      <c r="J59" s="146" t="s">
        <v>264</v>
      </c>
      <c r="K59" s="168" t="s">
        <v>265</v>
      </c>
      <c r="L59" s="168" t="s">
        <v>263</v>
      </c>
      <c r="M59" s="168" t="s">
        <v>266</v>
      </c>
      <c r="N59" s="146" t="s">
        <v>267</v>
      </c>
      <c r="O59" s="146"/>
      <c r="P59" s="146" t="s">
        <v>268</v>
      </c>
      <c r="Q59" s="146"/>
      <c r="R59" s="146" t="s">
        <v>269</v>
      </c>
    </row>
    <row r="60" customFormat="false" ht="15" hidden="true" customHeight="true" outlineLevel="0" collapsed="false">
      <c r="A60" s="169" t="s">
        <v>270</v>
      </c>
      <c r="B60" s="169"/>
      <c r="C60" s="169" t="s">
        <v>271</v>
      </c>
      <c r="D60" s="188" t="n">
        <f aca="false">IPCA!G23</f>
        <v>0</v>
      </c>
      <c r="E60" s="117" t="s">
        <v>272</v>
      </c>
      <c r="F60" s="117"/>
      <c r="G60" s="117"/>
      <c r="H60" s="117"/>
      <c r="I60" s="189" t="s">
        <v>273</v>
      </c>
      <c r="J60" s="189" t="s">
        <v>273</v>
      </c>
      <c r="K60" s="189" t="s">
        <v>273</v>
      </c>
      <c r="L60" s="189" t="s">
        <v>273</v>
      </c>
      <c r="M60" s="189" t="s">
        <v>273</v>
      </c>
      <c r="N60" s="190" t="n">
        <f aca="false">ROUND((100%+D60),2)</f>
        <v>1</v>
      </c>
      <c r="O60" s="190"/>
      <c r="P60" s="191"/>
      <c r="Q60" s="191"/>
      <c r="R60" s="192"/>
    </row>
    <row r="61" customFormat="false" ht="15" hidden="true" customHeight="true" outlineLevel="0" collapsed="false">
      <c r="A61" s="169" t="s">
        <v>274</v>
      </c>
      <c r="B61" s="169"/>
      <c r="C61" s="169" t="s">
        <v>271</v>
      </c>
      <c r="D61" s="188" t="n">
        <f aca="false">IPCA!N23</f>
        <v>0</v>
      </c>
      <c r="E61" s="117" t="s">
        <v>272</v>
      </c>
      <c r="F61" s="117"/>
      <c r="G61" s="117"/>
      <c r="H61" s="117"/>
      <c r="I61" s="189" t="s">
        <v>273</v>
      </c>
      <c r="J61" s="189" t="s">
        <v>273</v>
      </c>
      <c r="K61" s="189" t="s">
        <v>273</v>
      </c>
      <c r="L61" s="189" t="s">
        <v>273</v>
      </c>
      <c r="M61" s="189" t="s">
        <v>273</v>
      </c>
      <c r="N61" s="190" t="n">
        <f aca="false">ROUND((100%+D61),2)</f>
        <v>1</v>
      </c>
      <c r="O61" s="190"/>
      <c r="P61" s="191"/>
      <c r="Q61" s="191"/>
      <c r="R61" s="192"/>
    </row>
    <row r="62" customFormat="false" ht="15" hidden="true" customHeight="true" outlineLevel="0" collapsed="false">
      <c r="A62" s="169" t="s">
        <v>275</v>
      </c>
      <c r="B62" s="169"/>
      <c r="C62" s="169" t="s">
        <v>271</v>
      </c>
      <c r="D62" s="188" t="n">
        <f aca="false">IPCA!U23</f>
        <v>0</v>
      </c>
      <c r="E62" s="117" t="s">
        <v>272</v>
      </c>
      <c r="F62" s="117"/>
      <c r="G62" s="117"/>
      <c r="H62" s="117"/>
      <c r="I62" s="189" t="s">
        <v>273</v>
      </c>
      <c r="J62" s="189" t="s">
        <v>273</v>
      </c>
      <c r="K62" s="189" t="s">
        <v>273</v>
      </c>
      <c r="L62" s="189" t="s">
        <v>273</v>
      </c>
      <c r="M62" s="189" t="s">
        <v>273</v>
      </c>
      <c r="N62" s="190" t="n">
        <f aca="false">ROUND((100%+D62),2)</f>
        <v>1</v>
      </c>
      <c r="O62" s="190"/>
      <c r="P62" s="191"/>
      <c r="Q62" s="191"/>
      <c r="R62" s="192"/>
    </row>
    <row r="63" customFormat="false" ht="15" hidden="true" customHeight="true" outlineLevel="0" collapsed="false">
      <c r="A63" s="169" t="s">
        <v>276</v>
      </c>
      <c r="B63" s="169"/>
      <c r="C63" s="169" t="s">
        <v>271</v>
      </c>
      <c r="D63" s="188" t="n">
        <f aca="false">IPCA!AB23</f>
        <v>0</v>
      </c>
      <c r="E63" s="117" t="s">
        <v>272</v>
      </c>
      <c r="F63" s="117"/>
      <c r="G63" s="117"/>
      <c r="H63" s="117"/>
      <c r="I63" s="189" t="s">
        <v>273</v>
      </c>
      <c r="J63" s="189" t="s">
        <v>273</v>
      </c>
      <c r="K63" s="189" t="s">
        <v>273</v>
      </c>
      <c r="L63" s="189" t="s">
        <v>273</v>
      </c>
      <c r="M63" s="189" t="s">
        <v>273</v>
      </c>
      <c r="N63" s="190" t="n">
        <f aca="false">ROUND((100%+D63),2)</f>
        <v>1</v>
      </c>
      <c r="O63" s="190"/>
      <c r="P63" s="191"/>
      <c r="Q63" s="191"/>
      <c r="R63" s="192"/>
    </row>
    <row r="64" customFormat="false" ht="15" hidden="true" customHeight="true" outlineLevel="0" collapsed="false">
      <c r="A64" s="169" t="s">
        <v>277</v>
      </c>
      <c r="B64" s="169"/>
      <c r="C64" s="169" t="s">
        <v>271</v>
      </c>
      <c r="D64" s="188" t="n">
        <f aca="false">IPCA!AI23</f>
        <v>0</v>
      </c>
      <c r="E64" s="117" t="s">
        <v>272</v>
      </c>
      <c r="F64" s="117"/>
      <c r="G64" s="117"/>
      <c r="H64" s="117"/>
      <c r="I64" s="189" t="s">
        <v>273</v>
      </c>
      <c r="J64" s="189" t="s">
        <v>273</v>
      </c>
      <c r="K64" s="189" t="s">
        <v>273</v>
      </c>
      <c r="L64" s="189" t="s">
        <v>273</v>
      </c>
      <c r="M64" s="189" t="s">
        <v>273</v>
      </c>
      <c r="N64" s="190" t="n">
        <f aca="false">ROUND((100%+D64),2)</f>
        <v>1</v>
      </c>
      <c r="O64" s="190"/>
      <c r="P64" s="191"/>
      <c r="Q64" s="191"/>
      <c r="R64" s="192"/>
    </row>
    <row r="65" customFormat="false" ht="15" hidden="true" customHeight="false" outlineLevel="0" collapsed="false">
      <c r="B65" s="193"/>
      <c r="C65" s="193"/>
      <c r="D65" s="193"/>
      <c r="E65" s="193"/>
    </row>
    <row r="66" customFormat="false" ht="30" hidden="true" customHeight="true" outlineLevel="0" collapsed="false">
      <c r="A66" s="146" t="s">
        <v>278</v>
      </c>
      <c r="B66" s="146"/>
      <c r="C66" s="146"/>
      <c r="D66" s="146" t="s">
        <v>279</v>
      </c>
      <c r="E66" s="193"/>
    </row>
    <row r="67" customFormat="false" ht="15.75" hidden="true" customHeight="true" outlineLevel="0" collapsed="false">
      <c r="A67" s="146"/>
      <c r="B67" s="146"/>
      <c r="C67" s="146"/>
      <c r="D67" s="189" t="s">
        <v>280</v>
      </c>
      <c r="E67" s="193"/>
    </row>
    <row r="68" customFormat="false" ht="30" hidden="true" customHeight="true" outlineLevel="0" collapsed="false">
      <c r="A68" s="146" t="s">
        <v>281</v>
      </c>
      <c r="B68" s="146"/>
      <c r="C68" s="146"/>
      <c r="D68" s="146" t="s">
        <v>279</v>
      </c>
      <c r="E68" s="193"/>
    </row>
    <row r="69" customFormat="false" ht="15.75" hidden="true" customHeight="true" outlineLevel="0" collapsed="false">
      <c r="A69" s="146"/>
      <c r="B69" s="146"/>
      <c r="C69" s="146"/>
      <c r="D69" s="189" t="s">
        <v>280</v>
      </c>
      <c r="E69" s="193"/>
    </row>
    <row r="70" customFormat="false" ht="30" hidden="true" customHeight="true" outlineLevel="0" collapsed="false">
      <c r="A70" s="146" t="s">
        <v>282</v>
      </c>
      <c r="B70" s="146"/>
      <c r="C70" s="146"/>
      <c r="D70" s="146" t="s">
        <v>279</v>
      </c>
      <c r="E70" s="193"/>
    </row>
    <row r="71" customFormat="false" ht="15.75" hidden="true" customHeight="true" outlineLevel="0" collapsed="false">
      <c r="A71" s="146"/>
      <c r="B71" s="146"/>
      <c r="C71" s="146"/>
      <c r="D71" s="189" t="s">
        <v>280</v>
      </c>
      <c r="E71" s="193"/>
    </row>
    <row r="72" customFormat="false" ht="42.75" hidden="true" customHeight="true" outlineLevel="0" collapsed="false">
      <c r="A72" s="146" t="s">
        <v>283</v>
      </c>
      <c r="B72" s="146"/>
      <c r="C72" s="146"/>
      <c r="D72" s="146" t="s">
        <v>279</v>
      </c>
      <c r="E72" s="194" t="s">
        <v>284</v>
      </c>
      <c r="F72" s="146" t="s">
        <v>285</v>
      </c>
      <c r="G72" s="146" t="s">
        <v>286</v>
      </c>
      <c r="H72" s="146" t="s">
        <v>287</v>
      </c>
      <c r="I72" s="146" t="s">
        <v>288</v>
      </c>
      <c r="J72" s="146" t="s">
        <v>289</v>
      </c>
      <c r="K72" s="193"/>
    </row>
    <row r="73" customFormat="false" ht="15.75" hidden="true" customHeight="true" outlineLevel="0" collapsed="false">
      <c r="A73" s="146"/>
      <c r="B73" s="146"/>
      <c r="C73" s="146"/>
      <c r="D73" s="189" t="s">
        <v>280</v>
      </c>
      <c r="E73" s="189" t="n">
        <v>1.55</v>
      </c>
      <c r="F73" s="169" t="n">
        <f aca="false">ROUND(IF(Dados!$M$60="SIM",E73*Dados!$N$60,E73),2)</f>
        <v>1.55</v>
      </c>
      <c r="G73" s="169" t="n">
        <f aca="false">ROUND(IF(Dados!$M$61="SIM",F73*Dados!$N$61,F73),2)</f>
        <v>1.55</v>
      </c>
      <c r="H73" s="169" t="n">
        <f aca="false">ROUND(IF(Dados!$M$62="SIM",G73*Dados!$N$62,G73),2)</f>
        <v>1.55</v>
      </c>
      <c r="I73" s="169" t="n">
        <f aca="false">ROUND(IF(Dados!$M$63="SIM",H73*Dados!$N$63,H73),2)</f>
        <v>1.55</v>
      </c>
      <c r="J73" s="169" t="n">
        <f aca="false">ROUND(IF(Dados!$M$64="SIM",I73*Dados!$N$64,I73),2)</f>
        <v>1.55</v>
      </c>
    </row>
    <row r="74" customFormat="false" ht="15" hidden="true" customHeight="false" outlineLevel="0" collapsed="false">
      <c r="E74" s="193"/>
    </row>
    <row r="75" customFormat="false" ht="15.75" hidden="true" customHeight="true" outlineLevel="0" collapsed="false">
      <c r="A75" s="195" t="s">
        <v>290</v>
      </c>
      <c r="B75" s="195"/>
      <c r="C75" s="195"/>
      <c r="D75" s="195"/>
      <c r="E75" s="195"/>
      <c r="F75" s="195"/>
      <c r="G75" s="195"/>
      <c r="H75" s="195"/>
    </row>
    <row r="76" customFormat="false" ht="15" hidden="true" customHeight="false" outlineLevel="0" collapsed="false">
      <c r="A76" s="196" t="s">
        <v>291</v>
      </c>
      <c r="B76" s="196"/>
      <c r="C76" s="196"/>
      <c r="D76" s="196"/>
      <c r="E76" s="196"/>
      <c r="F76" s="197" t="s">
        <v>292</v>
      </c>
      <c r="G76" s="197"/>
      <c r="H76" s="198"/>
    </row>
    <row r="77" customFormat="false" ht="43.5" hidden="true" customHeight="true" outlineLevel="0" collapsed="false">
      <c r="A77" s="199" t="s">
        <v>293</v>
      </c>
      <c r="B77" s="199"/>
      <c r="C77" s="199"/>
      <c r="D77" s="199"/>
      <c r="E77" s="199"/>
      <c r="F77" s="199"/>
      <c r="G77" s="199"/>
      <c r="H77" s="199"/>
    </row>
    <row r="78" customFormat="false" ht="15" hidden="true" customHeight="false" outlineLevel="0" collapsed="false">
      <c r="A78" s="196" t="s">
        <v>294</v>
      </c>
      <c r="B78" s="196"/>
      <c r="C78" s="196"/>
      <c r="D78" s="196"/>
      <c r="E78" s="196"/>
      <c r="F78" s="197" t="s">
        <v>292</v>
      </c>
      <c r="G78" s="197"/>
      <c r="H78" s="198"/>
    </row>
    <row r="79" customFormat="false" ht="43.5" hidden="true" customHeight="true" outlineLevel="0" collapsed="false">
      <c r="A79" s="200" t="s">
        <v>295</v>
      </c>
      <c r="B79" s="200"/>
      <c r="C79" s="200"/>
      <c r="D79" s="200"/>
      <c r="E79" s="200"/>
      <c r="F79" s="200"/>
      <c r="G79" s="200"/>
      <c r="H79" s="200"/>
    </row>
    <row r="80" customFormat="false" ht="15" hidden="true" customHeight="false" outlineLevel="0" collapsed="false">
      <c r="A80" s="196" t="s">
        <v>296</v>
      </c>
      <c r="B80" s="196"/>
      <c r="C80" s="196"/>
      <c r="D80" s="196"/>
      <c r="E80" s="196"/>
      <c r="F80" s="197" t="s">
        <v>292</v>
      </c>
      <c r="G80" s="197"/>
      <c r="H80" s="198"/>
    </row>
    <row r="81" customFormat="false" ht="43.5" hidden="true" customHeight="true" outlineLevel="0" collapsed="false">
      <c r="A81" s="199" t="s">
        <v>297</v>
      </c>
      <c r="B81" s="199"/>
      <c r="C81" s="199"/>
      <c r="D81" s="199"/>
      <c r="E81" s="199"/>
      <c r="F81" s="199"/>
      <c r="G81" s="199"/>
      <c r="H81" s="199"/>
    </row>
    <row r="82" customFormat="false" ht="15" hidden="true" customHeight="false" outlineLevel="0" collapsed="false">
      <c r="A82" s="201" t="s">
        <v>298</v>
      </c>
      <c r="B82" s="201"/>
      <c r="C82" s="201"/>
      <c r="D82" s="201"/>
      <c r="E82" s="201"/>
      <c r="F82" s="197" t="s">
        <v>292</v>
      </c>
      <c r="G82" s="197"/>
      <c r="H82" s="202"/>
    </row>
    <row r="83" customFormat="false" ht="43.5" hidden="true" customHeight="true" outlineLevel="0" collapsed="false">
      <c r="A83" s="199" t="s">
        <v>299</v>
      </c>
      <c r="B83" s="199"/>
      <c r="C83" s="199"/>
      <c r="D83" s="199"/>
      <c r="E83" s="199"/>
      <c r="F83" s="199"/>
      <c r="G83" s="199"/>
      <c r="H83" s="199"/>
    </row>
    <row r="84" customFormat="false" ht="15" hidden="true" customHeight="false" outlineLevel="0" collapsed="false"/>
    <row r="85" customFormat="false" ht="15" hidden="true" customHeight="false" outlineLevel="0" collapsed="false"/>
    <row r="86" customFormat="false" ht="15" hidden="true" customHeight="false" outlineLevel="0" collapsed="false"/>
    <row r="87" customFormat="false" ht="15" hidden="true" customHeight="false" outlineLevel="0" collapsed="false"/>
    <row r="88" customFormat="false" ht="15" hidden="true" customHeight="false" outlineLevel="0" collapsed="false"/>
    <row r="89" customFormat="false" ht="15" hidden="true" customHeight="false" outlineLevel="0" collapsed="false"/>
    <row r="90" customFormat="false" ht="15" hidden="true" customHeight="false" outlineLevel="0" collapsed="false"/>
    <row r="91" customFormat="false" ht="15" hidden="true" customHeight="false" outlineLevel="0" collapsed="false"/>
    <row r="92" customFormat="false" ht="15" hidden="true" customHeight="false" outlineLevel="0" collapsed="false"/>
    <row r="93" customFormat="false" ht="15" hidden="true" customHeight="false" outlineLevel="0" collapsed="false"/>
    <row r="94" customFormat="false" ht="15" hidden="true" customHeight="false" outlineLevel="0" collapsed="false"/>
    <row r="95" customFormat="false" ht="15" hidden="true" customHeight="false" outlineLevel="0" collapsed="false"/>
    <row r="96" customFormat="false" ht="15" hidden="true" customHeight="false" outlineLevel="0" collapsed="false"/>
    <row r="97" customFormat="false" ht="15" hidden="true" customHeight="false" outlineLevel="0" collapsed="false"/>
    <row r="98" customFormat="false" ht="15" hidden="true" customHeight="false" outlineLevel="0" collapsed="false"/>
    <row r="99" customFormat="false" ht="15" hidden="true" customHeight="false" outlineLevel="0" collapsed="false"/>
    <row r="100" customFormat="false" ht="15" hidden="true" customHeight="false" outlineLevel="0" collapsed="false"/>
    <row r="101" customFormat="false" ht="15" hidden="true" customHeight="false" outlineLevel="0" collapsed="false"/>
    <row r="102" customFormat="false" ht="15" hidden="true" customHeight="false" outlineLevel="0" collapsed="false"/>
    <row r="103" customFormat="false" ht="15" hidden="true" customHeight="false" outlineLevel="0" collapsed="false"/>
    <row r="104" customFormat="false" ht="15" hidden="true" customHeight="false" outlineLevel="0" collapsed="false"/>
    <row r="105" customFormat="false" ht="15" hidden="true" customHeight="false" outlineLevel="0" collapsed="false"/>
    <row r="106" customFormat="false" ht="15" hidden="true" customHeight="false" outlineLevel="0" collapsed="false"/>
    <row r="107" customFormat="false" ht="15" hidden="true" customHeight="false" outlineLevel="0" collapsed="false"/>
    <row r="108" customFormat="false" ht="15" hidden="true" customHeight="false" outlineLevel="0" collapsed="false"/>
    <row r="109" customFormat="false" ht="15" hidden="true" customHeight="false" outlineLevel="0" collapsed="false"/>
    <row r="110" customFormat="false" ht="15" hidden="true" customHeight="false" outlineLevel="0" collapsed="false"/>
    <row r="111" customFormat="false" ht="15" hidden="true" customHeight="false" outlineLevel="0" collapsed="false"/>
    <row r="112" customFormat="false" ht="15" hidden="true" customHeight="false" outlineLevel="0" collapsed="false"/>
    <row r="113" customFormat="false" ht="15" hidden="true" customHeight="false" outlineLevel="0" collapsed="false"/>
    <row r="114" customFormat="false" ht="15" hidden="true" customHeight="false" outlineLevel="0" collapsed="false"/>
    <row r="115" customFormat="false" ht="15" hidden="true" customHeight="false" outlineLevel="0" collapsed="false"/>
    <row r="116" customFormat="false" ht="15" hidden="true" customHeight="false" outlineLevel="0" collapsed="false"/>
    <row r="117" customFormat="false" ht="15" hidden="true" customHeight="false" outlineLevel="0" collapsed="false"/>
    <row r="118" customFormat="false" ht="15" hidden="true" customHeight="false" outlineLevel="0" collapsed="false"/>
    <row r="119" customFormat="false" ht="15" hidden="true" customHeight="false" outlineLevel="0" collapsed="false"/>
    <row r="120" customFormat="false" ht="15" hidden="true" customHeight="false" outlineLevel="0" collapsed="false"/>
    <row r="121" customFormat="false" ht="15" hidden="true" customHeight="false" outlineLevel="0" collapsed="false"/>
    <row r="122" customFormat="false" ht="15" hidden="true" customHeight="false" outlineLevel="0" collapsed="false"/>
    <row r="123" customFormat="false" ht="15" hidden="true" customHeight="false" outlineLevel="0" collapsed="false"/>
    <row r="124" customFormat="false" ht="15" hidden="true" customHeight="false" outlineLevel="0" collapsed="false"/>
    <row r="125" customFormat="false" ht="15" hidden="true" customHeight="false" outlineLevel="0" collapsed="false"/>
    <row r="126" customFormat="false" ht="15" hidden="true" customHeight="false" outlineLevel="0" collapsed="false"/>
    <row r="127" customFormat="false" ht="15" hidden="true" customHeight="false" outlineLevel="0" collapsed="false"/>
    <row r="128" customFormat="false" ht="15" hidden="true" customHeight="false" outlineLevel="0" collapsed="false"/>
    <row r="129" customFormat="false" ht="15" hidden="true" customHeight="false" outlineLevel="0" collapsed="false"/>
    <row r="130" customFormat="false" ht="15" hidden="true" customHeight="false" outlineLevel="0" collapsed="false"/>
    <row r="131" customFormat="false" ht="15" hidden="true" customHeight="false" outlineLevel="0" collapsed="false"/>
    <row r="132" customFormat="false" ht="15" hidden="true" customHeight="false" outlineLevel="0" collapsed="false"/>
    <row r="133" customFormat="false" ht="15" hidden="true" customHeight="false" outlineLevel="0" collapsed="false"/>
    <row r="134" customFormat="false" ht="15" hidden="true" customHeight="false" outlineLevel="0" collapsed="false"/>
    <row r="135" customFormat="false" ht="15" hidden="true" customHeight="false" outlineLevel="0" collapsed="false"/>
    <row r="136" customFormat="false" ht="15" hidden="true" customHeight="false" outlineLevel="0" collapsed="false"/>
    <row r="137" customFormat="false" ht="15" hidden="true" customHeight="false" outlineLevel="0" collapsed="false"/>
    <row r="138" customFormat="false" ht="15" hidden="true" customHeight="false" outlineLevel="0" collapsed="false"/>
    <row r="139" customFormat="false" ht="15" hidden="true" customHeight="false" outlineLevel="0" collapsed="false"/>
    <row r="140" customFormat="false" ht="15" hidden="true" customHeight="false" outlineLevel="0" collapsed="false"/>
    <row r="141" customFormat="false" ht="15" hidden="true" customHeight="false" outlineLevel="0" collapsed="false"/>
    <row r="142" customFormat="false" ht="15" hidden="true" customHeight="false" outlineLevel="0" collapsed="false"/>
    <row r="143" customFormat="false" ht="15" hidden="true" customHeight="false" outlineLevel="0" collapsed="false"/>
    <row r="144" customFormat="false" ht="15" hidden="true" customHeight="false" outlineLevel="0" collapsed="false"/>
    <row r="145" customFormat="false" ht="15" hidden="true" customHeight="false" outlineLevel="0" collapsed="false"/>
    <row r="146" customFormat="false" ht="15" hidden="true" customHeight="false" outlineLevel="0" collapsed="false"/>
    <row r="147" customFormat="false" ht="15" hidden="true" customHeight="false" outlineLevel="0" collapsed="false"/>
    <row r="148" customFormat="false" ht="15" hidden="true" customHeight="false" outlineLevel="0" collapsed="false"/>
    <row r="149" customFormat="false" ht="15" hidden="true" customHeight="false" outlineLevel="0" collapsed="false"/>
    <row r="150" customFormat="false" ht="15" hidden="true" customHeight="false" outlineLevel="0" collapsed="false"/>
    <row r="151" customFormat="false" ht="15" hidden="true" customHeight="false" outlineLevel="0" collapsed="false"/>
    <row r="152" customFormat="false" ht="15" hidden="true" customHeight="false" outlineLevel="0" collapsed="false"/>
    <row r="153" customFormat="false" ht="15" hidden="true" customHeight="false" outlineLevel="0" collapsed="false"/>
    <row r="154" customFormat="false" ht="15" hidden="true" customHeight="false" outlineLevel="0" collapsed="false"/>
    <row r="155" customFormat="false" ht="15" hidden="true" customHeight="false" outlineLevel="0" collapsed="false"/>
    <row r="156" customFormat="false" ht="15" hidden="true" customHeight="false" outlineLevel="0" collapsed="false"/>
    <row r="157" customFormat="false" ht="15" hidden="true" customHeight="false" outlineLevel="0" collapsed="false"/>
    <row r="158" customFormat="false" ht="15" hidden="true" customHeight="false" outlineLevel="0" collapsed="false"/>
    <row r="159" customFormat="false" ht="15" hidden="true" customHeight="false" outlineLevel="0" collapsed="false"/>
    <row r="160" customFormat="false" ht="15" hidden="true" customHeight="false" outlineLevel="0" collapsed="false"/>
    <row r="161" customFormat="false" ht="15" hidden="true" customHeight="false" outlineLevel="0" collapsed="false"/>
    <row r="162" customFormat="false" ht="15" hidden="true" customHeight="false" outlineLevel="0" collapsed="false"/>
    <row r="163" customFormat="false" ht="15" hidden="true" customHeight="false" outlineLevel="0" collapsed="false"/>
    <row r="164" customFormat="false" ht="15" hidden="true" customHeight="false" outlineLevel="0" collapsed="false"/>
    <row r="165" customFormat="false" ht="15" hidden="true" customHeight="false" outlineLevel="0" collapsed="false"/>
    <row r="166" customFormat="false" ht="15" hidden="true" customHeight="false" outlineLevel="0" collapsed="false"/>
    <row r="167" customFormat="false" ht="15" hidden="true" customHeight="false" outlineLevel="0" collapsed="false"/>
    <row r="168" customFormat="false" ht="15" hidden="true" customHeight="false" outlineLevel="0" collapsed="false"/>
    <row r="169" customFormat="false" ht="15" hidden="true" customHeight="false" outlineLevel="0" collapsed="false"/>
    <row r="170" customFormat="false" ht="15" hidden="true" customHeight="false" outlineLevel="0" collapsed="false"/>
    <row r="171" customFormat="false" ht="15" hidden="true" customHeight="false" outlineLevel="0" collapsed="false"/>
    <row r="172" customFormat="false" ht="15" hidden="true" customHeight="false" outlineLevel="0" collapsed="false"/>
    <row r="173" customFormat="false" ht="15" hidden="true" customHeight="false" outlineLevel="0" collapsed="false"/>
    <row r="174" customFormat="false" ht="15" hidden="true" customHeight="false" outlineLevel="0" collapsed="false"/>
    <row r="175" customFormat="false" ht="15" hidden="true" customHeight="false" outlineLevel="0" collapsed="false"/>
    <row r="176" customFormat="false" ht="15" hidden="true" customHeight="false" outlineLevel="0" collapsed="false"/>
    <row r="177" customFormat="false" ht="15" hidden="true" customHeight="false" outlineLevel="0" collapsed="false"/>
    <row r="178" customFormat="false" ht="15" hidden="true" customHeight="false" outlineLevel="0" collapsed="false"/>
    <row r="179" customFormat="false" ht="15" hidden="true" customHeight="false" outlineLevel="0" collapsed="false"/>
    <row r="180" customFormat="false" ht="15" hidden="true" customHeight="false" outlineLevel="0" collapsed="false"/>
    <row r="181" customFormat="false" ht="15" hidden="true" customHeight="false" outlineLevel="0" collapsed="false"/>
    <row r="182" customFormat="false" ht="15" hidden="true" customHeight="false" outlineLevel="0" collapsed="false"/>
    <row r="183" customFormat="false" ht="15" hidden="true" customHeight="false" outlineLevel="0" collapsed="false"/>
    <row r="184" customFormat="false" ht="15" hidden="true" customHeight="false" outlineLevel="0" collapsed="false"/>
    <row r="185" customFormat="false" ht="15" hidden="true" customHeight="false" outlineLevel="0" collapsed="false"/>
    <row r="186" customFormat="false" ht="15" hidden="true" customHeight="false" outlineLevel="0" collapsed="false"/>
    <row r="187" customFormat="false" ht="15" hidden="true" customHeight="false" outlineLevel="0" collapsed="false"/>
    <row r="188" customFormat="false" ht="15" hidden="true" customHeight="false" outlineLevel="0" collapsed="false"/>
    <row r="189" customFormat="false" ht="15" hidden="true" customHeight="false" outlineLevel="0" collapsed="false"/>
    <row r="190" customFormat="false" ht="15" hidden="true" customHeight="false" outlineLevel="0" collapsed="false"/>
    <row r="191" customFormat="false" ht="15" hidden="true" customHeight="false" outlineLevel="0" collapsed="false"/>
    <row r="192" customFormat="false" ht="15" hidden="true" customHeight="false" outlineLevel="0" collapsed="false"/>
    <row r="193" customFormat="false" ht="15" hidden="true" customHeight="false" outlineLevel="0" collapsed="false"/>
    <row r="194" customFormat="false" ht="15" hidden="true" customHeight="false" outlineLevel="0" collapsed="false"/>
    <row r="195" customFormat="false" ht="15" hidden="true" customHeight="false" outlineLevel="0" collapsed="false"/>
    <row r="196" customFormat="false" ht="15" hidden="true" customHeight="false" outlineLevel="0" collapsed="false"/>
    <row r="197" customFormat="false" ht="15" hidden="true" customHeight="false" outlineLevel="0" collapsed="false"/>
    <row r="198" customFormat="false" ht="15" hidden="true" customHeight="false" outlineLevel="0" collapsed="false"/>
    <row r="199" customFormat="false" ht="15" hidden="true" customHeight="false" outlineLevel="0" collapsed="false"/>
    <row r="200" customFormat="false" ht="15" hidden="true" customHeight="false" outlineLevel="0" collapsed="false"/>
    <row r="201" customFormat="false" ht="15" hidden="true" customHeight="false" outlineLevel="0" collapsed="false"/>
    <row r="202" customFormat="false" ht="15" hidden="true" customHeight="false" outlineLevel="0" collapsed="false"/>
    <row r="203" customFormat="false" ht="15" hidden="true" customHeight="false" outlineLevel="0" collapsed="false"/>
    <row r="204" customFormat="false" ht="15" hidden="true" customHeight="false" outlineLevel="0" collapsed="false"/>
    <row r="205" customFormat="false" ht="15" hidden="true" customHeight="false" outlineLevel="0" collapsed="false"/>
    <row r="206" customFormat="false" ht="15" hidden="true" customHeight="false" outlineLevel="0" collapsed="false"/>
  </sheetData>
  <sheetProtection sheet="true" password="c4d4" objects="true" scenarios="true"/>
  <mergeCells count="96">
    <mergeCell ref="A5:A6"/>
    <mergeCell ref="B5:B6"/>
    <mergeCell ref="C5:C6"/>
    <mergeCell ref="D5:D6"/>
    <mergeCell ref="E5:E6"/>
    <mergeCell ref="F5:F6"/>
    <mergeCell ref="G5:G6"/>
    <mergeCell ref="H5:H6"/>
    <mergeCell ref="I5:I6"/>
    <mergeCell ref="J5:J6"/>
    <mergeCell ref="K5:K6"/>
    <mergeCell ref="L5:L6"/>
    <mergeCell ref="M5:M6"/>
    <mergeCell ref="S5:S6"/>
    <mergeCell ref="A7:A9"/>
    <mergeCell ref="A12:G12"/>
    <mergeCell ref="B13:D13"/>
    <mergeCell ref="E13:G13"/>
    <mergeCell ref="B14:D14"/>
    <mergeCell ref="E14:G14"/>
    <mergeCell ref="B15:D15"/>
    <mergeCell ref="E15:G15"/>
    <mergeCell ref="B16:D16"/>
    <mergeCell ref="E16:G16"/>
    <mergeCell ref="B17:D17"/>
    <mergeCell ref="E17:G17"/>
    <mergeCell ref="A19:G19"/>
    <mergeCell ref="B20:F20"/>
    <mergeCell ref="B22:F22"/>
    <mergeCell ref="B23:F23"/>
    <mergeCell ref="B24:F24"/>
    <mergeCell ref="A26:G26"/>
    <mergeCell ref="B27:F27"/>
    <mergeCell ref="A29:G29"/>
    <mergeCell ref="B30:F30"/>
    <mergeCell ref="B31:F31"/>
    <mergeCell ref="A32:A35"/>
    <mergeCell ref="B32:C35"/>
    <mergeCell ref="D32:F32"/>
    <mergeCell ref="D33:F33"/>
    <mergeCell ref="D34:F34"/>
    <mergeCell ref="D35:F35"/>
    <mergeCell ref="A36:A38"/>
    <mergeCell ref="B36:C38"/>
    <mergeCell ref="D36:F36"/>
    <mergeCell ref="D37:F37"/>
    <mergeCell ref="D38:F38"/>
    <mergeCell ref="B39:F39"/>
    <mergeCell ref="B40:F40"/>
    <mergeCell ref="A42:G42"/>
    <mergeCell ref="B43:F43"/>
    <mergeCell ref="B44:F44"/>
    <mergeCell ref="A46:G46"/>
    <mergeCell ref="A47:A49"/>
    <mergeCell ref="B47:G49"/>
    <mergeCell ref="B50:E50"/>
    <mergeCell ref="F50:G50"/>
    <mergeCell ref="B51:F51"/>
    <mergeCell ref="B52:F52"/>
    <mergeCell ref="B53:F53"/>
    <mergeCell ref="B54:F54"/>
    <mergeCell ref="B55:F55"/>
    <mergeCell ref="A59:H59"/>
    <mergeCell ref="N59:O59"/>
    <mergeCell ref="A60:B60"/>
    <mergeCell ref="E60:H60"/>
    <mergeCell ref="N60:O60"/>
    <mergeCell ref="A61:B61"/>
    <mergeCell ref="E61:H61"/>
    <mergeCell ref="N61:O61"/>
    <mergeCell ref="A62:B62"/>
    <mergeCell ref="E62:H62"/>
    <mergeCell ref="N62:O62"/>
    <mergeCell ref="A63:B63"/>
    <mergeCell ref="E63:H63"/>
    <mergeCell ref="N63:O63"/>
    <mergeCell ref="A64:B64"/>
    <mergeCell ref="E64:H64"/>
    <mergeCell ref="N64:O64"/>
    <mergeCell ref="A66:C67"/>
    <mergeCell ref="A68:C69"/>
    <mergeCell ref="A70:C71"/>
    <mergeCell ref="A72:C73"/>
    <mergeCell ref="A75:H75"/>
    <mergeCell ref="A76:E76"/>
    <mergeCell ref="F76:G76"/>
    <mergeCell ref="A77:H77"/>
    <mergeCell ref="A78:E78"/>
    <mergeCell ref="F78:G78"/>
    <mergeCell ref="A79:H79"/>
    <mergeCell ref="A80:E80"/>
    <mergeCell ref="F80:G80"/>
    <mergeCell ref="A81:H81"/>
    <mergeCell ref="A82:E82"/>
    <mergeCell ref="F82:G82"/>
    <mergeCell ref="A83:H83"/>
  </mergeCells>
  <dataValidations count="3">
    <dataValidation allowBlank="true" errorStyle="stop" operator="between" showDropDown="false" showErrorMessage="true" showInputMessage="true" sqref="F50" type="list">
      <formula1>"LUCRO REAL,LUCRO PRESUMIDO,SIMPLES NACIONAL,OUTRO"</formula1>
      <formula2>0</formula2>
    </dataValidation>
    <dataValidation allowBlank="true" errorStyle="stop" operator="between" showDropDown="false" showErrorMessage="true" showInputMessage="true" sqref="I60:M64" type="list">
      <formula1>"NÃO,SIM"</formula1>
      <formula2>0</formula2>
    </dataValidation>
    <dataValidation allowBlank="true" errorStyle="stop" operator="between" showDropDown="false" showErrorMessage="true" showInputMessage="true" sqref="D67 D69 D71 D73" type="list">
      <formula1>"INICIAL,1º IPCA,2º IPCA,3º IPCA,4º IPCA,5º IPCA"</formula1>
      <formula2>0</formula2>
    </dataValidation>
  </dataValidation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1"/>
  <sheetViews>
    <sheetView showFormulas="false" showGridLines="false" showRowColHeaders="true" showZeros="true" rightToLeft="false" tabSelected="false" showOutlineSymbols="true" defaultGridColor="true" view="pageBreakPreview" topLeftCell="A1" colorId="64" zoomScale="120" zoomScaleNormal="100" zoomScalePageLayoutView="120" workbookViewId="0">
      <selection pane="topLeft" activeCell="C16" activeCellId="0" sqref="C16"/>
    </sheetView>
  </sheetViews>
  <sheetFormatPr defaultColWidth="8.71484375" defaultRowHeight="15" zeroHeight="false" outlineLevelRow="0" outlineLevelCol="0"/>
  <cols>
    <col collapsed="false" customWidth="true" hidden="false" outlineLevel="0" max="1" min="1" style="203" width="9"/>
    <col collapsed="false" customWidth="true" hidden="false" outlineLevel="0" max="2" min="2" style="203" width="55.57"/>
    <col collapsed="false" customWidth="true" hidden="false" outlineLevel="0" max="3" min="3" style="203" width="13.15"/>
    <col collapsed="false" customWidth="true" hidden="false" outlineLevel="0" max="4" min="4" style="203" width="4.86"/>
    <col collapsed="false" customWidth="true" hidden="false" outlineLevel="0" max="5" min="5" style="203" width="41.71"/>
    <col collapsed="false" customWidth="true" hidden="false" outlineLevel="0" max="8" min="6" style="203" width="11"/>
    <col collapsed="false" customWidth="true" hidden="false" outlineLevel="0" max="257" min="9" style="203" width="9"/>
    <col collapsed="false" customWidth="true" hidden="false" outlineLevel="0" max="258" min="258" style="203" width="55.57"/>
    <col collapsed="false" customWidth="true" hidden="false" outlineLevel="0" max="259" min="259" style="203" width="13.15"/>
    <col collapsed="false" customWidth="true" hidden="false" outlineLevel="0" max="260" min="260" style="203" width="9"/>
    <col collapsed="false" customWidth="true" hidden="false" outlineLevel="0" max="261" min="261" style="203" width="35.14"/>
    <col collapsed="false" customWidth="true" hidden="false" outlineLevel="0" max="264" min="262" style="203" width="11"/>
    <col collapsed="false" customWidth="true" hidden="false" outlineLevel="0" max="513" min="265" style="203" width="9"/>
    <col collapsed="false" customWidth="true" hidden="false" outlineLevel="0" max="514" min="514" style="203" width="55.57"/>
    <col collapsed="false" customWidth="true" hidden="false" outlineLevel="0" max="515" min="515" style="203" width="13.15"/>
    <col collapsed="false" customWidth="true" hidden="false" outlineLevel="0" max="516" min="516" style="203" width="9"/>
    <col collapsed="false" customWidth="true" hidden="false" outlineLevel="0" max="517" min="517" style="203" width="35.14"/>
    <col collapsed="false" customWidth="true" hidden="false" outlineLevel="0" max="520" min="518" style="203" width="11"/>
    <col collapsed="false" customWidth="true" hidden="false" outlineLevel="0" max="769" min="521" style="203" width="9"/>
    <col collapsed="false" customWidth="true" hidden="false" outlineLevel="0" max="770" min="770" style="203" width="55.57"/>
    <col collapsed="false" customWidth="true" hidden="false" outlineLevel="0" max="771" min="771" style="203" width="13.15"/>
    <col collapsed="false" customWidth="true" hidden="false" outlineLevel="0" max="772" min="772" style="203" width="9"/>
    <col collapsed="false" customWidth="true" hidden="false" outlineLevel="0" max="773" min="773" style="203" width="35.14"/>
    <col collapsed="false" customWidth="true" hidden="false" outlineLevel="0" max="776" min="774" style="203" width="11"/>
    <col collapsed="false" customWidth="true" hidden="false" outlineLevel="0" max="1025" min="777" style="203" width="9"/>
  </cols>
  <sheetData>
    <row r="1" customFormat="false" ht="15" hidden="false" customHeight="false" outlineLevel="0" collapsed="false">
      <c r="A1" s="204"/>
      <c r="B1" s="123" t="str">
        <f aca="false">INSTRUÇÕES!B1</f>
        <v>Tribunal Regional Federal da 6ª Região</v>
      </c>
      <c r="C1" s="205"/>
    </row>
    <row r="2" customFormat="false" ht="15" hidden="false" customHeight="false" outlineLevel="0" collapsed="false">
      <c r="A2" s="206"/>
      <c r="B2" s="125" t="str">
        <f aca="false">INSTRUÇÕES!B2</f>
        <v>Seção Judiciária de Minas Gerais</v>
      </c>
      <c r="C2" s="207"/>
    </row>
    <row r="3" customFormat="false" ht="15" hidden="false" customHeight="false" outlineLevel="0" collapsed="false">
      <c r="A3" s="208"/>
      <c r="B3" s="125" t="str">
        <f aca="false">INSTRUÇÕES!B3</f>
        <v>Subseção Judiciária de Lavras</v>
      </c>
      <c r="C3" s="207"/>
    </row>
    <row r="4" customFormat="false" ht="21.75" hidden="false" customHeight="true" outlineLevel="0" collapsed="false">
      <c r="A4" s="209" t="s">
        <v>300</v>
      </c>
      <c r="B4" s="209"/>
      <c r="C4" s="209"/>
    </row>
    <row r="5" customFormat="false" ht="21.75" hidden="false" customHeight="true" outlineLevel="0" collapsed="false">
      <c r="A5" s="209" t="s">
        <v>301</v>
      </c>
      <c r="B5" s="209"/>
      <c r="C5" s="209"/>
    </row>
    <row r="6" customFormat="false" ht="26.25" hidden="false" customHeight="true" outlineLevel="0" collapsed="false">
      <c r="A6" s="210" t="s">
        <v>302</v>
      </c>
      <c r="B6" s="210"/>
      <c r="C6" s="210"/>
    </row>
    <row r="7" customFormat="false" ht="15" hidden="false" customHeight="false" outlineLevel="0" collapsed="false">
      <c r="A7" s="211" t="s">
        <v>303</v>
      </c>
      <c r="B7" s="211"/>
      <c r="C7" s="211"/>
    </row>
    <row r="8" customFormat="false" ht="15.75" hidden="false" customHeight="true" outlineLevel="0" collapsed="false">
      <c r="A8" s="212" t="s">
        <v>59</v>
      </c>
      <c r="B8" s="213" t="s">
        <v>304</v>
      </c>
      <c r="C8" s="214" t="s">
        <v>305</v>
      </c>
    </row>
    <row r="9" customFormat="false" ht="15.75" hidden="false" customHeight="true" outlineLevel="0" collapsed="false">
      <c r="A9" s="215" t="s">
        <v>306</v>
      </c>
      <c r="B9" s="216" t="s">
        <v>307</v>
      </c>
      <c r="C9" s="216"/>
    </row>
    <row r="10" customFormat="false" ht="15.75" hidden="false" customHeight="true" outlineLevel="0" collapsed="false">
      <c r="A10" s="217" t="n">
        <v>1</v>
      </c>
      <c r="B10" s="218" t="s">
        <v>308</v>
      </c>
      <c r="C10" s="219" t="n">
        <v>0.2</v>
      </c>
    </row>
    <row r="11" customFormat="false" ht="15.75" hidden="false" customHeight="true" outlineLevel="0" collapsed="false">
      <c r="A11" s="217" t="n">
        <v>2</v>
      </c>
      <c r="B11" s="218" t="s">
        <v>309</v>
      </c>
      <c r="C11" s="219" t="n">
        <v>0.015</v>
      </c>
    </row>
    <row r="12" customFormat="false" ht="15.75" hidden="false" customHeight="true" outlineLevel="0" collapsed="false">
      <c r="A12" s="217" t="n">
        <v>3</v>
      </c>
      <c r="B12" s="218" t="s">
        <v>310</v>
      </c>
      <c r="C12" s="219" t="n">
        <v>0.01</v>
      </c>
    </row>
    <row r="13" customFormat="false" ht="15.75" hidden="false" customHeight="true" outlineLevel="0" collapsed="false">
      <c r="A13" s="217" t="n">
        <v>4</v>
      </c>
      <c r="B13" s="218" t="s">
        <v>311</v>
      </c>
      <c r="C13" s="219" t="n">
        <v>0.002</v>
      </c>
    </row>
    <row r="14" customFormat="false" ht="15.75" hidden="false" customHeight="true" outlineLevel="0" collapsed="false">
      <c r="A14" s="217" t="n">
        <v>5</v>
      </c>
      <c r="B14" s="218" t="s">
        <v>312</v>
      </c>
      <c r="C14" s="219" t="n">
        <v>0.025</v>
      </c>
    </row>
    <row r="15" customFormat="false" ht="15.75" hidden="false" customHeight="true" outlineLevel="0" collapsed="false">
      <c r="A15" s="217" t="n">
        <v>6</v>
      </c>
      <c r="B15" s="218" t="s">
        <v>313</v>
      </c>
      <c r="C15" s="219" t="n">
        <v>0.08</v>
      </c>
    </row>
    <row r="16" customFormat="false" ht="15.75" hidden="false" customHeight="true" outlineLevel="0" collapsed="false">
      <c r="A16" s="217" t="n">
        <v>7</v>
      </c>
      <c r="B16" s="218" t="s">
        <v>314</v>
      </c>
      <c r="C16" s="220" t="n">
        <f aca="false">Dados!G22</f>
        <v>0.06</v>
      </c>
      <c r="D16" s="221" t="s">
        <v>315</v>
      </c>
    </row>
    <row r="17" customFormat="false" ht="15.75" hidden="false" customHeight="true" outlineLevel="0" collapsed="false">
      <c r="A17" s="217" t="n">
        <v>8</v>
      </c>
      <c r="B17" s="218" t="s">
        <v>316</v>
      </c>
      <c r="C17" s="219" t="n">
        <v>0.006</v>
      </c>
    </row>
    <row r="18" customFormat="false" ht="15.75" hidden="false" customHeight="true" outlineLevel="0" collapsed="false">
      <c r="A18" s="222" t="s">
        <v>317</v>
      </c>
      <c r="B18" s="222"/>
      <c r="C18" s="223" t="n">
        <f aca="false">SUM(C10:C17)</f>
        <v>0.398</v>
      </c>
    </row>
    <row r="19" customFormat="false" ht="15.75" hidden="false" customHeight="true" outlineLevel="0" collapsed="false">
      <c r="A19" s="224" t="s">
        <v>318</v>
      </c>
      <c r="B19" s="224"/>
      <c r="C19" s="224"/>
    </row>
    <row r="20" customFormat="false" ht="15.75" hidden="false" customHeight="true" outlineLevel="0" collapsed="false">
      <c r="A20" s="224" t="s">
        <v>319</v>
      </c>
      <c r="B20" s="224"/>
      <c r="C20" s="224"/>
    </row>
    <row r="21" customFormat="false" ht="15.75" hidden="false" customHeight="true" outlineLevel="0" collapsed="false">
      <c r="A21" s="217" t="n">
        <v>9</v>
      </c>
      <c r="B21" s="225" t="s">
        <v>320</v>
      </c>
      <c r="C21" s="226" t="n">
        <f aca="false">ROUND((100%/11),4)</f>
        <v>0.0909</v>
      </c>
    </row>
    <row r="22" customFormat="false" ht="15.75" hidden="false" customHeight="true" outlineLevel="0" collapsed="false">
      <c r="A22" s="217" t="n">
        <v>10</v>
      </c>
      <c r="B22" s="225" t="s">
        <v>321</v>
      </c>
      <c r="C22" s="226" t="n">
        <f aca="false">ROUND((C21/3),4)</f>
        <v>0.0303</v>
      </c>
    </row>
    <row r="23" customFormat="false" ht="15.75" hidden="false" customHeight="true" outlineLevel="0" collapsed="false">
      <c r="A23" s="227" t="s">
        <v>322</v>
      </c>
      <c r="B23" s="227"/>
      <c r="C23" s="228" t="n">
        <f aca="false">SUM(C21:C22)</f>
        <v>0.1212</v>
      </c>
    </row>
    <row r="24" customFormat="false" ht="15.75" hidden="false" customHeight="true" outlineLevel="0" collapsed="false">
      <c r="A24" s="229" t="s">
        <v>323</v>
      </c>
      <c r="B24" s="229"/>
      <c r="C24" s="220" t="n">
        <f aca="false">(C18*C23)</f>
        <v>0.0482376</v>
      </c>
    </row>
    <row r="25" customFormat="false" ht="15.75" hidden="false" customHeight="true" outlineLevel="0" collapsed="false">
      <c r="A25" s="227" t="s">
        <v>324</v>
      </c>
      <c r="B25" s="227"/>
      <c r="C25" s="228" t="n">
        <f aca="false">SUM(C23:C24)</f>
        <v>0.1694376</v>
      </c>
    </row>
    <row r="26" customFormat="false" ht="15.75" hidden="false" customHeight="true" outlineLevel="0" collapsed="false">
      <c r="A26" s="215" t="s">
        <v>325</v>
      </c>
      <c r="B26" s="216" t="s">
        <v>326</v>
      </c>
      <c r="C26" s="216"/>
    </row>
    <row r="27" customFormat="false" ht="15.75" hidden="false" customHeight="true" outlineLevel="0" collapsed="false">
      <c r="A27" s="217" t="n">
        <v>11</v>
      </c>
      <c r="B27" s="218" t="s">
        <v>327</v>
      </c>
      <c r="C27" s="219" t="n">
        <f aca="false">ROUND((0.0144*0.1*0.4509*6/12),4)</f>
        <v>0.0003</v>
      </c>
    </row>
    <row r="28" customFormat="false" ht="15.75" hidden="false" customHeight="true" outlineLevel="0" collapsed="false">
      <c r="A28" s="229" t="s">
        <v>328</v>
      </c>
      <c r="B28" s="229"/>
      <c r="C28" s="230" t="n">
        <f aca="false">C18*C27</f>
        <v>0.0001194</v>
      </c>
    </row>
    <row r="29" customFormat="false" ht="15.75" hidden="false" customHeight="true" outlineLevel="0" collapsed="false">
      <c r="A29" s="227" t="s">
        <v>329</v>
      </c>
      <c r="B29" s="227"/>
      <c r="C29" s="231" t="n">
        <f aca="false">SUM(C27:C28)</f>
        <v>0.0004194</v>
      </c>
    </row>
    <row r="30" customFormat="false" ht="15.75" hidden="false" customHeight="true" outlineLevel="0" collapsed="false">
      <c r="A30" s="215" t="s">
        <v>330</v>
      </c>
      <c r="B30" s="216" t="s">
        <v>331</v>
      </c>
      <c r="C30" s="216"/>
    </row>
    <row r="31" customFormat="false" ht="15.75" hidden="false" customHeight="true" outlineLevel="0" collapsed="false">
      <c r="A31" s="217" t="n">
        <v>12</v>
      </c>
      <c r="B31" s="218" t="s">
        <v>332</v>
      </c>
      <c r="C31" s="219" t="n">
        <f aca="false">ROUND((100%/12)*5%,4)</f>
        <v>0.0042</v>
      </c>
    </row>
    <row r="32" customFormat="false" ht="15.75" hidden="false" customHeight="true" outlineLevel="0" collapsed="false">
      <c r="A32" s="232" t="s">
        <v>333</v>
      </c>
      <c r="B32" s="232"/>
      <c r="C32" s="220" t="n">
        <f aca="false">C15*C31</f>
        <v>0.000336</v>
      </c>
    </row>
    <row r="33" customFormat="false" ht="15.75" hidden="false" customHeight="true" outlineLevel="0" collapsed="false">
      <c r="A33" s="217" t="n">
        <v>13</v>
      </c>
      <c r="B33" s="218" t="s">
        <v>334</v>
      </c>
      <c r="C33" s="226" t="n">
        <f aca="false">ROUND((C15*0.4*0.9*(1+1/11+1/11+(1/3*1/11))),5)</f>
        <v>0.03491</v>
      </c>
    </row>
    <row r="34" customFormat="false" ht="15.75" hidden="false" customHeight="true" outlineLevel="0" collapsed="false">
      <c r="A34" s="217" t="n">
        <v>14</v>
      </c>
      <c r="B34" s="218" t="s">
        <v>335</v>
      </c>
      <c r="C34" s="219" t="n">
        <f aca="false">(7/30/12)*0.02*100%</f>
        <v>0.000388888888888889</v>
      </c>
    </row>
    <row r="35" customFormat="false" ht="15.75" hidden="false" customHeight="true" outlineLevel="0" collapsed="false">
      <c r="A35" s="232" t="s">
        <v>336</v>
      </c>
      <c r="B35" s="232"/>
      <c r="C35" s="220" t="n">
        <f aca="false">ROUND((C34*C18),4)</f>
        <v>0.0002</v>
      </c>
    </row>
    <row r="36" customFormat="false" ht="15.75" hidden="false" customHeight="true" outlineLevel="0" collapsed="false">
      <c r="A36" s="217" t="n">
        <v>15</v>
      </c>
      <c r="B36" s="218" t="s">
        <v>337</v>
      </c>
      <c r="C36" s="220" t="n">
        <f aca="false">(0.4*C15/100)</f>
        <v>0.00032</v>
      </c>
    </row>
    <row r="37" customFormat="false" ht="15.75" hidden="false" customHeight="true" outlineLevel="0" collapsed="false">
      <c r="A37" s="233" t="s">
        <v>338</v>
      </c>
      <c r="B37" s="233"/>
      <c r="C37" s="228" t="n">
        <f aca="false">SUM(C31:C36)</f>
        <v>0.0403548888888889</v>
      </c>
    </row>
    <row r="38" customFormat="false" ht="15.75" hidden="false" customHeight="true" outlineLevel="0" collapsed="false">
      <c r="A38" s="215" t="s">
        <v>339</v>
      </c>
      <c r="B38" s="216" t="s">
        <v>340</v>
      </c>
      <c r="C38" s="216"/>
    </row>
    <row r="39" customFormat="false" ht="15.75" hidden="false" customHeight="true" outlineLevel="0" collapsed="false">
      <c r="A39" s="217" t="n">
        <v>16</v>
      </c>
      <c r="B39" s="218" t="s">
        <v>341</v>
      </c>
      <c r="C39" s="226" t="n">
        <f aca="false">ROUND((100%/11),4)</f>
        <v>0.0909</v>
      </c>
    </row>
    <row r="40" customFormat="false" ht="15.75" hidden="false" customHeight="true" outlineLevel="0" collapsed="false">
      <c r="A40" s="217" t="n">
        <v>17</v>
      </c>
      <c r="B40" s="218" t="s">
        <v>342</v>
      </c>
      <c r="C40" s="219" t="n">
        <v>0.0166</v>
      </c>
    </row>
    <row r="41" customFormat="false" ht="15.75" hidden="false" customHeight="true" outlineLevel="0" collapsed="false">
      <c r="A41" s="217" t="n">
        <v>18</v>
      </c>
      <c r="B41" s="218" t="s">
        <v>343</v>
      </c>
      <c r="C41" s="219" t="n">
        <f aca="false">ROUND((5/30/12)*0.022,4)</f>
        <v>0.0003</v>
      </c>
    </row>
    <row r="42" customFormat="false" ht="15.75" hidden="false" customHeight="true" outlineLevel="0" collapsed="false">
      <c r="A42" s="217" t="n">
        <v>19</v>
      </c>
      <c r="B42" s="218" t="s">
        <v>344</v>
      </c>
      <c r="C42" s="219" t="n">
        <f aca="false">ROUND((1/30/12),4)</f>
        <v>0.0028</v>
      </c>
    </row>
    <row r="43" customFormat="false" ht="15.75" hidden="false" customHeight="true" outlineLevel="0" collapsed="false">
      <c r="A43" s="217" t="n">
        <v>20</v>
      </c>
      <c r="B43" s="218" t="s">
        <v>345</v>
      </c>
      <c r="C43" s="219" t="n">
        <f aca="false">ROUND((15/30/12*0.0078),4)</f>
        <v>0.0003</v>
      </c>
    </row>
    <row r="44" customFormat="false" ht="15.75" hidden="false" customHeight="true" outlineLevel="0" collapsed="false">
      <c r="A44" s="233" t="s">
        <v>322</v>
      </c>
      <c r="B44" s="233"/>
      <c r="C44" s="228" t="n">
        <f aca="false">SUM(C39:C43)</f>
        <v>0.1109</v>
      </c>
      <c r="E44" s="234" t="s">
        <v>346</v>
      </c>
      <c r="F44" s="234"/>
      <c r="G44" s="234"/>
      <c r="H44" s="234"/>
    </row>
    <row r="45" customFormat="false" ht="15.75" hidden="false" customHeight="true" outlineLevel="0" collapsed="false">
      <c r="A45" s="232" t="s">
        <v>347</v>
      </c>
      <c r="B45" s="232"/>
      <c r="C45" s="220" t="n">
        <f aca="false">C18*C44</f>
        <v>0.0441382</v>
      </c>
      <c r="E45" s="234"/>
      <c r="F45" s="234"/>
      <c r="G45" s="234"/>
      <c r="H45" s="234"/>
    </row>
    <row r="46" customFormat="false" ht="15" hidden="false" customHeight="true" outlineLevel="0" collapsed="false">
      <c r="A46" s="233" t="s">
        <v>348</v>
      </c>
      <c r="B46" s="233"/>
      <c r="C46" s="228" t="n">
        <f aca="false">SUM(C44:C45)</f>
        <v>0.1550382</v>
      </c>
      <c r="E46" s="235" t="s">
        <v>349</v>
      </c>
      <c r="F46" s="236" t="s">
        <v>350</v>
      </c>
      <c r="G46" s="236"/>
      <c r="H46" s="236"/>
    </row>
    <row r="47" customFormat="false" ht="15.75" hidden="false" customHeight="true" outlineLevel="0" collapsed="false">
      <c r="A47" s="237" t="s">
        <v>351</v>
      </c>
      <c r="B47" s="238" t="s">
        <v>352</v>
      </c>
      <c r="C47" s="228" t="s">
        <v>217</v>
      </c>
      <c r="E47" s="235"/>
      <c r="F47" s="236" t="s">
        <v>353</v>
      </c>
      <c r="G47" s="236"/>
      <c r="H47" s="236"/>
    </row>
    <row r="48" customFormat="false" ht="15.75" hidden="false" customHeight="true" outlineLevel="0" collapsed="false">
      <c r="A48" s="217" t="n">
        <v>21</v>
      </c>
      <c r="B48" s="218" t="s">
        <v>354</v>
      </c>
      <c r="C48" s="219" t="n">
        <f aca="false">1*1%/12</f>
        <v>0.000833333333333333</v>
      </c>
      <c r="E48" s="239" t="s">
        <v>355</v>
      </c>
      <c r="F48" s="240" t="s">
        <v>356</v>
      </c>
      <c r="G48" s="240" t="s">
        <v>357</v>
      </c>
      <c r="H48" s="241" t="s">
        <v>358</v>
      </c>
    </row>
    <row r="49" customFormat="false" ht="15.75" hidden="false" customHeight="true" outlineLevel="0" collapsed="false">
      <c r="A49" s="233" t="s">
        <v>359</v>
      </c>
      <c r="B49" s="233"/>
      <c r="C49" s="228" t="n">
        <f aca="false">SUM(C47:C48)</f>
        <v>0.000833333333333333</v>
      </c>
      <c r="E49" s="239" t="s">
        <v>360</v>
      </c>
      <c r="F49" s="242" t="n">
        <v>0.343</v>
      </c>
      <c r="G49" s="242" t="n">
        <v>0.398</v>
      </c>
      <c r="H49" s="243" t="n">
        <f aca="false">$C$18</f>
        <v>0.398</v>
      </c>
    </row>
    <row r="50" customFormat="false" ht="15.75" hidden="false" customHeight="true" outlineLevel="0" collapsed="false">
      <c r="A50" s="244" t="s">
        <v>361</v>
      </c>
      <c r="B50" s="244"/>
      <c r="C50" s="244"/>
      <c r="E50" s="239" t="s">
        <v>362</v>
      </c>
      <c r="F50" s="242" t="n">
        <v>0.005</v>
      </c>
      <c r="G50" s="242" t="n">
        <v>0.06</v>
      </c>
      <c r="H50" s="243" t="n">
        <f aca="false">$C$16</f>
        <v>0.06</v>
      </c>
    </row>
    <row r="51" customFormat="false" ht="15.75" hidden="false" customHeight="true" outlineLevel="0" collapsed="false">
      <c r="A51" s="232" t="s">
        <v>307</v>
      </c>
      <c r="B51" s="232"/>
      <c r="C51" s="220" t="n">
        <f aca="false">ROUND(C18,4)</f>
        <v>0.398</v>
      </c>
      <c r="E51" s="245" t="s">
        <v>363</v>
      </c>
      <c r="F51" s="246" t="n">
        <f aca="false">$C$21</f>
        <v>0.0909</v>
      </c>
      <c r="G51" s="246" t="n">
        <f aca="false">$F$51</f>
        <v>0.0909</v>
      </c>
      <c r="H51" s="220" t="n">
        <f aca="false">$F$51</f>
        <v>0.0909</v>
      </c>
    </row>
    <row r="52" customFormat="false" ht="15.75" hidden="false" customHeight="true" outlineLevel="0" collapsed="false">
      <c r="A52" s="232" t="s">
        <v>364</v>
      </c>
      <c r="B52" s="232"/>
      <c r="C52" s="220" t="n">
        <f aca="false">ROUND(C25,4)</f>
        <v>0.1694</v>
      </c>
      <c r="E52" s="245" t="s">
        <v>365</v>
      </c>
      <c r="F52" s="246" t="n">
        <f aca="false">$C$39</f>
        <v>0.0909</v>
      </c>
      <c r="G52" s="246" t="n">
        <f aca="false">$F$52</f>
        <v>0.0909</v>
      </c>
      <c r="H52" s="220" t="n">
        <f aca="false">$F$52</f>
        <v>0.0909</v>
      </c>
    </row>
    <row r="53" customFormat="false" ht="15.75" hidden="false" customHeight="true" outlineLevel="0" collapsed="false">
      <c r="A53" s="232" t="s">
        <v>326</v>
      </c>
      <c r="B53" s="232"/>
      <c r="C53" s="220" t="n">
        <f aca="false">ROUND(C29,4)</f>
        <v>0.0004</v>
      </c>
      <c r="E53" s="245" t="s">
        <v>366</v>
      </c>
      <c r="F53" s="246" t="n">
        <f aca="false">$C$22</f>
        <v>0.0303</v>
      </c>
      <c r="G53" s="246" t="n">
        <f aca="false">$F$53</f>
        <v>0.0303</v>
      </c>
      <c r="H53" s="220" t="n">
        <f aca="false">$F$53</f>
        <v>0.0303</v>
      </c>
    </row>
    <row r="54" customFormat="false" ht="15.75" hidden="false" customHeight="true" outlineLevel="0" collapsed="false">
      <c r="A54" s="232" t="s">
        <v>367</v>
      </c>
      <c r="B54" s="232"/>
      <c r="C54" s="220" t="n">
        <f aca="false">ROUND(C37,4)</f>
        <v>0.0404</v>
      </c>
      <c r="E54" s="247" t="s">
        <v>322</v>
      </c>
      <c r="F54" s="248" t="n">
        <f aca="false">SUM(F51:F53)</f>
        <v>0.2121</v>
      </c>
      <c r="G54" s="248" t="n">
        <f aca="false">SUM(G51:G53)</f>
        <v>0.2121</v>
      </c>
      <c r="H54" s="249" t="n">
        <f aca="false">ROUND((SUM(H51:H53)),4)</f>
        <v>0.2121</v>
      </c>
    </row>
    <row r="55" customFormat="false" ht="15.75" hidden="false" customHeight="true" outlineLevel="0" collapsed="false">
      <c r="A55" s="232" t="s">
        <v>368</v>
      </c>
      <c r="B55" s="232"/>
      <c r="C55" s="220" t="n">
        <f aca="false">ROUND(C46,4)</f>
        <v>0.155</v>
      </c>
      <c r="E55" s="245" t="s">
        <v>369</v>
      </c>
      <c r="F55" s="246" t="n">
        <f aca="false">F54*F49</f>
        <v>0.0727503</v>
      </c>
      <c r="G55" s="246" t="n">
        <f aca="false">G54*G49</f>
        <v>0.0844158</v>
      </c>
      <c r="H55" s="220" t="n">
        <f aca="false">ROUND((H54*H49),4)</f>
        <v>0.0844</v>
      </c>
    </row>
    <row r="56" customFormat="false" ht="15.75" hidden="false" customHeight="true" outlineLevel="0" collapsed="false">
      <c r="A56" s="232" t="s">
        <v>354</v>
      </c>
      <c r="B56" s="232"/>
      <c r="C56" s="220" t="n">
        <f aca="false">ROUND(C49,4)</f>
        <v>0.0008</v>
      </c>
      <c r="E56" s="245" t="s">
        <v>370</v>
      </c>
      <c r="F56" s="246" t="n">
        <v>0.03491</v>
      </c>
      <c r="G56" s="246" t="n">
        <v>0.03491</v>
      </c>
      <c r="H56" s="250" t="n">
        <f aca="false">C33</f>
        <v>0.03491</v>
      </c>
    </row>
    <row r="57" customFormat="false" ht="15.75" hidden="false" customHeight="true" outlineLevel="0" collapsed="false">
      <c r="A57" s="251" t="s">
        <v>371</v>
      </c>
      <c r="B57" s="251"/>
      <c r="C57" s="223" t="n">
        <f aca="false">SUM(C51:C56)</f>
        <v>0.764</v>
      </c>
      <c r="E57" s="252" t="s">
        <v>372</v>
      </c>
      <c r="F57" s="253" t="n">
        <f aca="false">SUM(F54:F56)</f>
        <v>0.3197603</v>
      </c>
      <c r="G57" s="253" t="n">
        <f aca="false">SUM(G54:G56)</f>
        <v>0.3314258</v>
      </c>
      <c r="H57" s="254" t="n">
        <f aca="false">ROUND((SUM(H54:H56)),4)</f>
        <v>0.3314</v>
      </c>
    </row>
    <row r="58" customFormat="false" ht="19.4" hidden="false" customHeight="false" outlineLevel="0" collapsed="false">
      <c r="A58" s="255" t="s">
        <v>50</v>
      </c>
      <c r="B58" s="256"/>
      <c r="C58" s="257"/>
      <c r="E58" s="245" t="s">
        <v>373</v>
      </c>
      <c r="F58" s="258" t="s">
        <v>217</v>
      </c>
      <c r="G58" s="258" t="s">
        <v>217</v>
      </c>
      <c r="H58" s="259" t="s">
        <v>217</v>
      </c>
    </row>
    <row r="59" customFormat="false" ht="54.75" hidden="false" customHeight="true" outlineLevel="0" collapsed="false">
      <c r="A59" s="260" t="s">
        <v>374</v>
      </c>
      <c r="B59" s="260"/>
      <c r="C59" s="260"/>
      <c r="E59" s="261" t="s">
        <v>375</v>
      </c>
      <c r="F59" s="262" t="n">
        <f aca="false">F57</f>
        <v>0.3197603</v>
      </c>
      <c r="G59" s="262" t="n">
        <f aca="false">G57</f>
        <v>0.3314258</v>
      </c>
      <c r="H59" s="263" t="n">
        <f aca="false">ROUND((H57),4)</f>
        <v>0.3314</v>
      </c>
    </row>
    <row r="61" customFormat="false" ht="12.75" hidden="false" customHeight="true" outlineLevel="0" collapsed="false"/>
  </sheetData>
  <sheetProtection algorithmName="SHA-512" hashValue="Cxv/Z5/bPH2GcbCdhUdcu2p13xxm7X5jj5e2OaiyvH0OKbA3svRnGCIqDsf2VdccYC94+HyF1UTy2OYDCfZneA==" saltValue="9mfUpMHPcCWx0rlnpPwhHg==" spinCount="100000" sheet="true" objects="true" scenarios="true"/>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rintOptions headings="false" gridLines="false" gridLinesSet="true" horizontalCentered="true" verticalCentered="true"/>
  <pageMargins left="0.511805555555556" right="0.511805555555556" top="0.7875" bottom="0.7875" header="0.511811023622047" footer="0.511811023622047"/>
  <pageSetup paperSize="9" scale="5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67"/>
  <sheetViews>
    <sheetView showFormulas="false" showGridLines="false" showRowColHeaders="true" showZeros="true" rightToLeft="false" tabSelected="false" showOutlineSymbols="true" defaultGridColor="true" view="pageBreakPreview" topLeftCell="A1" colorId="64" zoomScale="120" zoomScaleNormal="100" zoomScalePageLayoutView="120" workbookViewId="0">
      <selection pane="topLeft" activeCell="G67" activeCellId="0" sqref="G67"/>
    </sheetView>
  </sheetViews>
  <sheetFormatPr defaultColWidth="8.71484375" defaultRowHeight="15" zeroHeight="false" outlineLevelRow="0" outlineLevelCol="0"/>
  <cols>
    <col collapsed="false" customWidth="true" hidden="false" outlineLevel="0" max="1" min="1" style="79" width="5"/>
    <col collapsed="false" customWidth="true" hidden="false" outlineLevel="0" max="2" min="2" style="85" width="59.14"/>
    <col collapsed="false" customWidth="true" hidden="false" outlineLevel="0" max="3" min="3" style="85" width="10.42"/>
    <col collapsed="false" customWidth="true" hidden="false" outlineLevel="0" max="7" min="4" style="85" width="18.42"/>
    <col collapsed="false" customWidth="true" hidden="false" outlineLevel="0" max="8" min="8" style="203" width="23.71"/>
    <col collapsed="false" customWidth="true" hidden="false" outlineLevel="0" max="9" min="9" style="203" width="4.29"/>
    <col collapsed="false" customWidth="true" hidden="false" outlineLevel="0" max="10" min="10" style="203" width="11.43"/>
    <col collapsed="false" customWidth="true" hidden="false" outlineLevel="0" max="11" min="11" style="85" width="12.42"/>
    <col collapsed="false" customWidth="true" hidden="true" outlineLevel="0" max="12" min="12" style="203" width="8.57"/>
    <col collapsed="false" customWidth="true" hidden="false" outlineLevel="0" max="13" min="13" style="203" width="9"/>
    <col collapsed="false" customWidth="true" hidden="true" outlineLevel="0" max="14" min="14" style="203" width="26.16"/>
    <col collapsed="false" customWidth="true" hidden="true" outlineLevel="0" max="19" min="15" style="203" width="11.57"/>
    <col collapsed="false" customWidth="true" hidden="false" outlineLevel="0" max="256" min="20" style="203" width="9"/>
    <col collapsed="false" customWidth="true" hidden="false" outlineLevel="0" max="257" min="257" style="203" width="8.29"/>
    <col collapsed="false" customWidth="true" hidden="false" outlineLevel="0" max="258" min="258" style="203" width="44.57"/>
    <col collapsed="false" customWidth="true" hidden="false" outlineLevel="0" max="259" min="259" style="203" width="7.42"/>
    <col collapsed="false" customWidth="true" hidden="false" outlineLevel="0" max="260" min="260" style="203" width="13"/>
    <col collapsed="false" customWidth="true" hidden="false" outlineLevel="0" max="261" min="261" style="203" width="11.71"/>
    <col collapsed="false" customWidth="true" hidden="false" outlineLevel="0" max="262" min="262" style="203" width="10.57"/>
    <col collapsed="false" customWidth="true" hidden="false" outlineLevel="0" max="263" min="263" style="203" width="14.42"/>
    <col collapsed="false" customWidth="true" hidden="false" outlineLevel="0" max="264" min="264" style="203" width="35.43"/>
    <col collapsed="false" customWidth="true" hidden="false" outlineLevel="0" max="265" min="265" style="203" width="14"/>
    <col collapsed="false" customWidth="true" hidden="false" outlineLevel="0" max="266" min="266" style="203" width="11.71"/>
    <col collapsed="false" customWidth="true" hidden="false" outlineLevel="0" max="267" min="267" style="203" width="13.57"/>
    <col collapsed="false" customWidth="true" hidden="false" outlineLevel="0" max="512" min="268" style="203" width="9"/>
    <col collapsed="false" customWidth="true" hidden="false" outlineLevel="0" max="513" min="513" style="203" width="8.29"/>
    <col collapsed="false" customWidth="true" hidden="false" outlineLevel="0" max="514" min="514" style="203" width="44.57"/>
    <col collapsed="false" customWidth="true" hidden="false" outlineLevel="0" max="515" min="515" style="203" width="7.42"/>
    <col collapsed="false" customWidth="true" hidden="false" outlineLevel="0" max="516" min="516" style="203" width="13"/>
    <col collapsed="false" customWidth="true" hidden="false" outlineLevel="0" max="517" min="517" style="203" width="11.71"/>
    <col collapsed="false" customWidth="true" hidden="false" outlineLevel="0" max="518" min="518" style="203" width="10.57"/>
    <col collapsed="false" customWidth="true" hidden="false" outlineLevel="0" max="519" min="519" style="203" width="14.42"/>
    <col collapsed="false" customWidth="true" hidden="false" outlineLevel="0" max="520" min="520" style="203" width="35.43"/>
    <col collapsed="false" customWidth="true" hidden="false" outlineLevel="0" max="521" min="521" style="203" width="14"/>
    <col collapsed="false" customWidth="true" hidden="false" outlineLevel="0" max="522" min="522" style="203" width="11.71"/>
    <col collapsed="false" customWidth="true" hidden="false" outlineLevel="0" max="523" min="523" style="203" width="13.57"/>
    <col collapsed="false" customWidth="true" hidden="false" outlineLevel="0" max="768" min="524" style="203" width="9"/>
    <col collapsed="false" customWidth="true" hidden="false" outlineLevel="0" max="769" min="769" style="203" width="8.29"/>
    <col collapsed="false" customWidth="true" hidden="false" outlineLevel="0" max="770" min="770" style="203" width="44.57"/>
    <col collapsed="false" customWidth="true" hidden="false" outlineLevel="0" max="771" min="771" style="203" width="7.42"/>
    <col collapsed="false" customWidth="true" hidden="false" outlineLevel="0" max="772" min="772" style="203" width="13"/>
    <col collapsed="false" customWidth="true" hidden="false" outlineLevel="0" max="773" min="773" style="203" width="11.71"/>
    <col collapsed="false" customWidth="true" hidden="false" outlineLevel="0" max="774" min="774" style="203" width="10.57"/>
    <col collapsed="false" customWidth="true" hidden="false" outlineLevel="0" max="775" min="775" style="203" width="14.42"/>
    <col collapsed="false" customWidth="true" hidden="false" outlineLevel="0" max="776" min="776" style="203" width="35.43"/>
    <col collapsed="false" customWidth="true" hidden="false" outlineLevel="0" max="777" min="777" style="203" width="14"/>
    <col collapsed="false" customWidth="true" hidden="false" outlineLevel="0" max="778" min="778" style="203" width="11.71"/>
    <col collapsed="false" customWidth="true" hidden="false" outlineLevel="0" max="779" min="779" style="203" width="13.57"/>
    <col collapsed="false" customWidth="true" hidden="false" outlineLevel="0" max="1025" min="780" style="203" width="9"/>
  </cols>
  <sheetData>
    <row r="1" s="85" customFormat="true" ht="15" hidden="false" customHeight="true" outlineLevel="0" collapsed="false">
      <c r="A1" s="264"/>
      <c r="B1" s="123" t="str">
        <f aca="false">INSTRUÇÕES!B1</f>
        <v>Tribunal Regional Federal da 6ª Região</v>
      </c>
      <c r="C1" s="265"/>
      <c r="D1" s="265"/>
      <c r="E1" s="265"/>
      <c r="F1" s="265"/>
      <c r="G1" s="265"/>
      <c r="H1" s="266"/>
    </row>
    <row r="2" s="85" customFormat="true" ht="17.25" hidden="false" customHeight="true" outlineLevel="0" collapsed="false">
      <c r="A2" s="267"/>
      <c r="B2" s="125" t="str">
        <f aca="false">INSTRUÇÕES!B2</f>
        <v>Seção Judiciária de Minas Gerais</v>
      </c>
      <c r="H2" s="268"/>
    </row>
    <row r="3" s="85" customFormat="true" ht="16.5" hidden="false" customHeight="true" outlineLevel="0" collapsed="false">
      <c r="A3" s="267"/>
      <c r="B3" s="125" t="str">
        <f aca="false">INSTRUÇÕES!B3</f>
        <v>Subseção Judiciária de Lavras</v>
      </c>
      <c r="H3" s="268"/>
      <c r="N3" s="1"/>
      <c r="O3" s="1"/>
      <c r="P3" s="1"/>
      <c r="Q3" s="1"/>
      <c r="R3" s="1"/>
      <c r="S3" s="1"/>
      <c r="T3" s="1"/>
    </row>
    <row r="4" s="85" customFormat="true" ht="27.75" hidden="false" customHeight="true" outlineLevel="0" collapsed="false">
      <c r="A4" s="269" t="s">
        <v>376</v>
      </c>
      <c r="B4" s="269"/>
      <c r="C4" s="269"/>
      <c r="D4" s="269"/>
      <c r="E4" s="269"/>
      <c r="F4" s="269"/>
      <c r="G4" s="269"/>
      <c r="H4" s="269"/>
      <c r="I4" s="270"/>
      <c r="J4" s="270"/>
      <c r="U4" s="1"/>
      <c r="V4" s="1"/>
    </row>
    <row r="5" s="1" customFormat="true" ht="24" hidden="false" customHeight="true" outlineLevel="0" collapsed="false">
      <c r="A5" s="271" t="s">
        <v>377</v>
      </c>
      <c r="B5" s="271"/>
      <c r="C5" s="271"/>
      <c r="D5" s="271"/>
      <c r="E5" s="271"/>
      <c r="F5" s="271"/>
      <c r="G5" s="271"/>
      <c r="H5" s="271"/>
      <c r="K5" s="272"/>
      <c r="N5" s="78" t="s">
        <v>378</v>
      </c>
      <c r="O5" s="78"/>
      <c r="P5" s="78"/>
      <c r="Q5" s="78"/>
      <c r="R5" s="78"/>
      <c r="S5" s="78"/>
      <c r="T5" s="85"/>
      <c r="U5" s="85"/>
      <c r="V5" s="85"/>
    </row>
    <row r="6" s="85" customFormat="true" ht="15" hidden="false" customHeight="true" outlineLevel="0" collapsed="false">
      <c r="A6" s="273" t="s">
        <v>59</v>
      </c>
      <c r="B6" s="274" t="s">
        <v>379</v>
      </c>
      <c r="C6" s="274"/>
      <c r="D6" s="274"/>
      <c r="E6" s="275"/>
      <c r="F6" s="275"/>
      <c r="G6" s="275"/>
      <c r="H6" s="276" t="s">
        <v>380</v>
      </c>
      <c r="I6" s="84"/>
      <c r="J6" s="84"/>
      <c r="N6" s="78"/>
      <c r="O6" s="78"/>
      <c r="P6" s="78"/>
      <c r="Q6" s="78"/>
      <c r="R6" s="78"/>
      <c r="S6" s="78"/>
    </row>
    <row r="7" s="85" customFormat="true" ht="13.5" hidden="false" customHeight="true" outlineLevel="0" collapsed="false">
      <c r="A7" s="273"/>
      <c r="B7" s="274"/>
      <c r="C7" s="274"/>
      <c r="D7" s="274"/>
      <c r="E7" s="275"/>
      <c r="F7" s="275"/>
      <c r="G7" s="275"/>
      <c r="H7" s="276"/>
      <c r="I7" s="84"/>
      <c r="J7" s="277" t="s">
        <v>381</v>
      </c>
      <c r="K7" s="277"/>
      <c r="L7" s="277"/>
      <c r="N7" s="78"/>
      <c r="O7" s="78"/>
      <c r="P7" s="78"/>
      <c r="Q7" s="78"/>
      <c r="R7" s="78"/>
      <c r="S7" s="78"/>
    </row>
    <row r="8" s="85" customFormat="true" ht="30.55" hidden="false" customHeight="false" outlineLevel="0" collapsed="false">
      <c r="A8" s="273"/>
      <c r="B8" s="274" t="s">
        <v>64</v>
      </c>
      <c r="C8" s="278" t="s">
        <v>65</v>
      </c>
      <c r="D8" s="278" t="s">
        <v>66</v>
      </c>
      <c r="E8" s="279" t="s">
        <v>382</v>
      </c>
      <c r="F8" s="280" t="s">
        <v>71</v>
      </c>
      <c r="G8" s="278" t="s">
        <v>383</v>
      </c>
      <c r="H8" s="276"/>
      <c r="I8" s="84"/>
      <c r="J8" s="279" t="s">
        <v>69</v>
      </c>
      <c r="K8" s="280" t="s">
        <v>68</v>
      </c>
      <c r="L8" s="279" t="s">
        <v>384</v>
      </c>
      <c r="N8" s="281" t="s">
        <v>385</v>
      </c>
      <c r="O8" s="32" t="s">
        <v>285</v>
      </c>
      <c r="P8" s="32" t="s">
        <v>286</v>
      </c>
      <c r="Q8" s="32" t="s">
        <v>287</v>
      </c>
      <c r="R8" s="32" t="s">
        <v>288</v>
      </c>
      <c r="S8" s="34" t="s">
        <v>289</v>
      </c>
    </row>
    <row r="9" s="85" customFormat="true" ht="20.85" hidden="false" customHeight="false" outlineLevel="0" collapsed="false">
      <c r="A9" s="282" t="n">
        <v>1</v>
      </c>
      <c r="B9" s="283" t="s">
        <v>386</v>
      </c>
      <c r="C9" s="284" t="s">
        <v>387</v>
      </c>
      <c r="D9" s="284" t="s">
        <v>388</v>
      </c>
      <c r="E9" s="285" t="n">
        <v>1</v>
      </c>
      <c r="F9" s="286" t="s">
        <v>389</v>
      </c>
      <c r="G9" s="287" t="n">
        <v>15.23</v>
      </c>
      <c r="H9" s="288"/>
      <c r="I9" s="84"/>
      <c r="J9" s="50" t="n">
        <f aca="false">'Ocorrências Mensais - FAT'!G26</f>
        <v>1</v>
      </c>
      <c r="K9" s="289" t="n">
        <f aca="false">G9*J9</f>
        <v>15.23</v>
      </c>
      <c r="L9" s="279"/>
      <c r="N9" s="281"/>
      <c r="O9" s="32"/>
      <c r="P9" s="32"/>
      <c r="Q9" s="32"/>
      <c r="R9" s="32"/>
      <c r="S9" s="34"/>
    </row>
    <row r="10" s="85" customFormat="true" ht="59.7" hidden="false" customHeight="false" outlineLevel="0" collapsed="false">
      <c r="A10" s="101" t="n">
        <v>2</v>
      </c>
      <c r="B10" s="290" t="s">
        <v>390</v>
      </c>
      <c r="C10" s="291" t="s">
        <v>387</v>
      </c>
      <c r="D10" s="291" t="s">
        <v>391</v>
      </c>
      <c r="E10" s="39" t="n">
        <v>1</v>
      </c>
      <c r="F10" s="292" t="s">
        <v>389</v>
      </c>
      <c r="G10" s="287" t="n">
        <v>57.39</v>
      </c>
      <c r="H10" s="288"/>
      <c r="I10" s="84"/>
      <c r="J10" s="291" t="n">
        <f aca="false">'Ocorrências Mensais - FAT'!G27</f>
        <v>1</v>
      </c>
      <c r="K10" s="289" t="n">
        <f aca="false">G10*J10</f>
        <v>57.39</v>
      </c>
      <c r="L10" s="50" t="n">
        <f aca="false">IF(F10="MENSAL",1,IF(F10="BIMESTRAL",2,IF(F10="TRIMESTRAL",3,IF(F10="QUADRIMESTRAL",4,IF(F10="SEMESTRAL",6,IF(F10="ANUAL",12,IF(F10="BIENAL",24,"")))))))</f>
        <v>1</v>
      </c>
      <c r="N10" s="293" t="n">
        <v>6</v>
      </c>
      <c r="O10" s="50" t="n">
        <f aca="false">ROUND(IF(Dados!$J$56="SIM",N10*Dados!$N$56,N10),2)</f>
        <v>6</v>
      </c>
      <c r="P10" s="50" t="n">
        <f aca="false">ROUND(IF(Dados!$J$57="SIM",O10*Dados!$N$57,O10),2)</f>
        <v>6</v>
      </c>
      <c r="Q10" s="50" t="n">
        <f aca="false">ROUND(IF(Dados!$J$58="SIM",P10*Dados!$N$58,P10),2)</f>
        <v>6</v>
      </c>
      <c r="R10" s="50" t="n">
        <f aca="false">ROUND(IF(Dados!$J$59="SIM",Q10*Dados!$N$59,Q10),2)</f>
        <v>6</v>
      </c>
      <c r="S10" s="100" t="n">
        <f aca="false">ROUND(IF(Dados!$J$60="SIM",R10*Dados!$N$60,R10),2)</f>
        <v>6</v>
      </c>
    </row>
    <row r="11" s="85" customFormat="true" ht="30.55" hidden="false" customHeight="false" outlineLevel="0" collapsed="false">
      <c r="A11" s="101" t="n">
        <v>3</v>
      </c>
      <c r="B11" s="294" t="s">
        <v>392</v>
      </c>
      <c r="C11" s="291" t="s">
        <v>393</v>
      </c>
      <c r="D11" s="291" t="s">
        <v>394</v>
      </c>
      <c r="E11" s="39" t="n">
        <v>1</v>
      </c>
      <c r="F11" s="292" t="s">
        <v>395</v>
      </c>
      <c r="G11" s="287" t="n">
        <v>26.38</v>
      </c>
      <c r="H11" s="288"/>
      <c r="I11" s="84"/>
      <c r="J11" s="291" t="n">
        <f aca="false">'Ocorrências Mensais - FAT'!G28</f>
        <v>0.333333333333333</v>
      </c>
      <c r="K11" s="289" t="n">
        <f aca="false">G11*J11</f>
        <v>8.79333333333333</v>
      </c>
      <c r="L11" s="50" t="n">
        <f aca="false">IF(F11="MENSAL",1,IF(F11="BIMESTRAL",2,IF(F11="TRIMESTRAL",3,IF(F11="QUADRIMESTRAL",4,IF(F11="SEMESTRAL",6,IF(F11="ANUAL",12,IF(F11="BIENAL",24,"")))))))</f>
        <v>3</v>
      </c>
      <c r="N11" s="293" t="n">
        <v>3.8</v>
      </c>
      <c r="O11" s="50" t="n">
        <f aca="false">ROUND(IF(Dados!$J$56="SIM",N11*Dados!$N$56,N11),2)</f>
        <v>3.8</v>
      </c>
      <c r="P11" s="50" t="n">
        <f aca="false">ROUND(IF(Dados!$J$57="SIM",O11*Dados!$N$57,O11),2)</f>
        <v>3.8</v>
      </c>
      <c r="Q11" s="50" t="n">
        <f aca="false">ROUND(IF(Dados!$J$58="SIM",P11*Dados!$N$58,P11),2)</f>
        <v>3.8</v>
      </c>
      <c r="R11" s="50" t="n">
        <f aca="false">ROUND(IF(Dados!$J$59="SIM",Q11*Dados!$N$59,Q11),2)</f>
        <v>3.8</v>
      </c>
      <c r="S11" s="100" t="n">
        <f aca="false">ROUND(IF(Dados!$J$60="SIM",R11*Dados!$N$60,R11),2)</f>
        <v>3.8</v>
      </c>
    </row>
    <row r="12" s="85" customFormat="true" ht="20.85" hidden="false" customHeight="false" outlineLevel="0" collapsed="false">
      <c r="A12" s="101" t="n">
        <v>4</v>
      </c>
      <c r="B12" s="294" t="s">
        <v>396</v>
      </c>
      <c r="C12" s="291" t="s">
        <v>393</v>
      </c>
      <c r="D12" s="291" t="s">
        <v>397</v>
      </c>
      <c r="E12" s="39" t="n">
        <v>1</v>
      </c>
      <c r="F12" s="292" t="s">
        <v>395</v>
      </c>
      <c r="G12" s="287" t="n">
        <v>13.89</v>
      </c>
      <c r="H12" s="288"/>
      <c r="I12" s="84"/>
      <c r="J12" s="291" t="n">
        <f aca="false">'Ocorrências Mensais - FAT'!G29</f>
        <v>0.333333333333333</v>
      </c>
      <c r="K12" s="289" t="n">
        <f aca="false">G12*J12</f>
        <v>4.63</v>
      </c>
      <c r="L12" s="50"/>
      <c r="N12" s="293"/>
      <c r="O12" s="50"/>
      <c r="P12" s="50"/>
      <c r="Q12" s="50"/>
      <c r="R12" s="50"/>
      <c r="S12" s="100"/>
    </row>
    <row r="13" s="85" customFormat="true" ht="79.1" hidden="false" customHeight="false" outlineLevel="0" collapsed="false">
      <c r="A13" s="101" t="n">
        <v>5</v>
      </c>
      <c r="B13" s="290" t="s">
        <v>398</v>
      </c>
      <c r="C13" s="291" t="s">
        <v>393</v>
      </c>
      <c r="D13" s="291" t="s">
        <v>399</v>
      </c>
      <c r="E13" s="39" t="n">
        <v>1</v>
      </c>
      <c r="F13" s="292" t="s">
        <v>389</v>
      </c>
      <c r="G13" s="287" t="n">
        <v>5.46</v>
      </c>
      <c r="H13" s="288"/>
      <c r="I13" s="84"/>
      <c r="J13" s="291" t="n">
        <f aca="false">'Ocorrências Mensais - FAT'!G30</f>
        <v>1</v>
      </c>
      <c r="K13" s="289" t="n">
        <f aca="false">G13*J13</f>
        <v>5.46</v>
      </c>
      <c r="L13" s="50" t="n">
        <f aca="false">IF(F13="MENSAL",1,IF(F13="BIMESTRAL",2,IF(F13="TRIMESTRAL",3,IF(F13="QUADRIMESTRAL",4,IF(F13="SEMESTRAL",6,IF(F13="ANUAL",12,IF(F13="BIENAL",24,"")))))))</f>
        <v>1</v>
      </c>
      <c r="N13" s="293" t="n">
        <v>4.14</v>
      </c>
      <c r="O13" s="50" t="n">
        <f aca="false">ROUND(IF(Dados!$J$56="SIM",N13*Dados!$N$56,N13),2)</f>
        <v>4.14</v>
      </c>
      <c r="P13" s="50" t="n">
        <f aca="false">ROUND(IF(Dados!$J$57="SIM",O13*Dados!$N$57,O13),2)</f>
        <v>4.14</v>
      </c>
      <c r="Q13" s="50" t="n">
        <f aca="false">ROUND(IF(Dados!$J$58="SIM",P13*Dados!$N$58,P13),2)</f>
        <v>4.14</v>
      </c>
      <c r="R13" s="50" t="n">
        <f aca="false">ROUND(IF(Dados!$J$59="SIM",Q13*Dados!$N$59,Q13),2)</f>
        <v>4.14</v>
      </c>
      <c r="S13" s="100" t="n">
        <f aca="false">ROUND(IF(Dados!$J$60="SIM",R13*Dados!$N$60,R13),2)</f>
        <v>4.14</v>
      </c>
    </row>
    <row r="14" s="85" customFormat="true" ht="20.85" hidden="false" customHeight="false" outlineLevel="0" collapsed="false">
      <c r="A14" s="101" t="n">
        <v>6</v>
      </c>
      <c r="B14" s="295" t="s">
        <v>400</v>
      </c>
      <c r="C14" s="291" t="s">
        <v>387</v>
      </c>
      <c r="D14" s="291"/>
      <c r="E14" s="39" t="n">
        <v>1</v>
      </c>
      <c r="F14" s="292" t="s">
        <v>401</v>
      </c>
      <c r="G14" s="287" t="n">
        <v>12.43</v>
      </c>
      <c r="H14" s="288"/>
      <c r="I14" s="84"/>
      <c r="J14" s="291" t="n">
        <f aca="false">'Ocorrências Mensais - FAT'!G31</f>
        <v>0.5</v>
      </c>
      <c r="K14" s="289" t="n">
        <f aca="false">G14*J14</f>
        <v>6.215</v>
      </c>
      <c r="L14" s="50" t="n">
        <f aca="false">IF(F14="MENSAL",1,IF(F14="BIMESTRAL",2,IF(F14="TRIMESTRAL",3,IF(F14="QUADRIMESTRAL",4,IF(F14="SEMESTRAL",6,IF(F14="ANUAL",12,IF(F14="BIENAL",24,"")))))))</f>
        <v>2</v>
      </c>
      <c r="N14" s="293"/>
      <c r="O14" s="50"/>
      <c r="P14" s="50"/>
      <c r="Q14" s="50"/>
      <c r="R14" s="50"/>
      <c r="S14" s="100"/>
    </row>
    <row r="15" s="85" customFormat="true" ht="30.55" hidden="false" customHeight="false" outlineLevel="0" collapsed="false">
      <c r="A15" s="101" t="n">
        <v>7</v>
      </c>
      <c r="B15" s="294" t="s">
        <v>402</v>
      </c>
      <c r="C15" s="291" t="s">
        <v>393</v>
      </c>
      <c r="D15" s="291" t="s">
        <v>403</v>
      </c>
      <c r="E15" s="39" t="n">
        <v>1</v>
      </c>
      <c r="F15" s="292" t="s">
        <v>404</v>
      </c>
      <c r="G15" s="287" t="n">
        <v>10.41</v>
      </c>
      <c r="H15" s="288"/>
      <c r="I15" s="84"/>
      <c r="J15" s="291" t="n">
        <f aca="false">'Ocorrências Mensais - FAT'!G32</f>
        <v>0.166666666666667</v>
      </c>
      <c r="K15" s="289" t="n">
        <f aca="false">G15*J15</f>
        <v>1.735</v>
      </c>
      <c r="L15" s="50" t="n">
        <f aca="false">IF(F15="MENSAL",1,IF(F15="BIMESTRAL",2,IF(F15="TRIMESTRAL",3,IF(F15="QUADRIMESTRAL",4,IF(F15="SEMESTRAL",6,IF(F15="ANUAL",12,IF(F15="BIENAL",24,"")))))))</f>
        <v>6</v>
      </c>
      <c r="N15" s="293" t="n">
        <v>1.4</v>
      </c>
      <c r="O15" s="50" t="n">
        <f aca="false">ROUND(IF(Dados!$J$56="SIM",N15*Dados!$N$56,N15),2)</f>
        <v>1.4</v>
      </c>
      <c r="P15" s="50" t="n">
        <f aca="false">ROUND(IF(Dados!$J$57="SIM",O15*Dados!$N$57,O15),2)</f>
        <v>1.4</v>
      </c>
      <c r="Q15" s="50" t="n">
        <f aca="false">ROUND(IF(Dados!$J$58="SIM",P15*Dados!$N$58,P15),2)</f>
        <v>1.4</v>
      </c>
      <c r="R15" s="50" t="n">
        <f aca="false">ROUND(IF(Dados!$J$59="SIM",Q15*Dados!$N$59,Q15),2)</f>
        <v>1.4</v>
      </c>
      <c r="S15" s="100" t="n">
        <f aca="false">ROUND(IF(Dados!$J$60="SIM",R15*Dados!$N$60,R15),2)</f>
        <v>1.4</v>
      </c>
    </row>
    <row r="16" s="85" customFormat="true" ht="20.85" hidden="false" customHeight="false" outlineLevel="0" collapsed="false">
      <c r="A16" s="101" t="n">
        <v>8</v>
      </c>
      <c r="B16" s="290" t="s">
        <v>405</v>
      </c>
      <c r="C16" s="291" t="s">
        <v>393</v>
      </c>
      <c r="D16" s="291" t="s">
        <v>406</v>
      </c>
      <c r="E16" s="39" t="n">
        <v>1</v>
      </c>
      <c r="F16" s="292" t="s">
        <v>404</v>
      </c>
      <c r="G16" s="287" t="n">
        <v>11.08</v>
      </c>
      <c r="H16" s="288"/>
      <c r="I16" s="84"/>
      <c r="J16" s="291" t="n">
        <f aca="false">'Ocorrências Mensais - FAT'!G33</f>
        <v>0.166666666666667</v>
      </c>
      <c r="K16" s="289" t="n">
        <f aca="false">G16*J16</f>
        <v>1.84666666666667</v>
      </c>
      <c r="L16" s="50" t="n">
        <f aca="false">IF(F16="MENSAL",1,IF(F16="BIMESTRAL",2,IF(F16="TRIMESTRAL",3,IF(F16="QUADRIMESTRAL",4,IF(F16="SEMESTRAL",6,IF(F16="ANUAL",12,IF(F16="BIENAL",24,"")))))))</f>
        <v>6</v>
      </c>
      <c r="N16" s="293" t="n">
        <v>3.2</v>
      </c>
      <c r="O16" s="50" t="n">
        <f aca="false">ROUND(IF(Dados!$J$56="SIM",N16*Dados!$N$56,N16),2)</f>
        <v>3.2</v>
      </c>
      <c r="P16" s="50" t="n">
        <f aca="false">ROUND(IF(Dados!$J$57="SIM",O16*Dados!$N$57,O16),2)</f>
        <v>3.2</v>
      </c>
      <c r="Q16" s="50" t="n">
        <f aca="false">ROUND(IF(Dados!$J$58="SIM",P16*Dados!$N$58,P16),2)</f>
        <v>3.2</v>
      </c>
      <c r="R16" s="50" t="n">
        <f aca="false">ROUND(IF(Dados!$J$59="SIM",Q16*Dados!$N$59,Q16),2)</f>
        <v>3.2</v>
      </c>
      <c r="S16" s="100" t="n">
        <f aca="false">ROUND(IF(Dados!$J$60="SIM",R16*Dados!$N$60,R16),2)</f>
        <v>3.2</v>
      </c>
    </row>
    <row r="17" s="85" customFormat="true" ht="15" hidden="false" customHeight="false" outlineLevel="0" collapsed="false">
      <c r="A17" s="102" t="n">
        <v>9</v>
      </c>
      <c r="B17" s="294" t="s">
        <v>407</v>
      </c>
      <c r="C17" s="291" t="s">
        <v>387</v>
      </c>
      <c r="D17" s="291" t="s">
        <v>408</v>
      </c>
      <c r="E17" s="39" t="n">
        <v>1</v>
      </c>
      <c r="F17" s="292" t="s">
        <v>389</v>
      </c>
      <c r="G17" s="287" t="n">
        <v>44.79</v>
      </c>
      <c r="H17" s="288"/>
      <c r="I17" s="84"/>
      <c r="J17" s="291" t="n">
        <f aca="false">'Ocorrências Mensais - FAT'!G34</f>
        <v>1</v>
      </c>
      <c r="K17" s="289" t="n">
        <f aca="false">G17*J17</f>
        <v>44.79</v>
      </c>
      <c r="L17" s="50" t="n">
        <f aca="false">IF(F17="MENSAL",1,IF(F17="BIMESTRAL",2,IF(F17="TRIMESTRAL",3,IF(F17="QUADRIMESTRAL",4,IF(F17="SEMESTRAL",6,IF(F17="ANUAL",12,IF(F17="BIENAL",24,"")))))))</f>
        <v>1</v>
      </c>
      <c r="N17" s="293" t="n">
        <v>4</v>
      </c>
      <c r="O17" s="50" t="n">
        <f aca="false">ROUND(IF(Dados!$J$56="SIM",N17*Dados!$N$56,N17),2)</f>
        <v>4</v>
      </c>
      <c r="P17" s="50" t="n">
        <f aca="false">ROUND(IF(Dados!$J$57="SIM",O17*Dados!$N$57,O17),2)</f>
        <v>4</v>
      </c>
      <c r="Q17" s="50" t="n">
        <f aca="false">ROUND(IF(Dados!$J$58="SIM",P17*Dados!$N$58,P17),2)</f>
        <v>4</v>
      </c>
      <c r="R17" s="50" t="n">
        <f aca="false">ROUND(IF(Dados!$J$59="SIM",Q17*Dados!$N$59,Q17),2)</f>
        <v>4</v>
      </c>
      <c r="S17" s="100" t="n">
        <f aca="false">ROUND(IF(Dados!$J$60="SIM",R17*Dados!$N$60,R17),2)</f>
        <v>4</v>
      </c>
    </row>
    <row r="18" s="85" customFormat="true" ht="40.25" hidden="false" customHeight="false" outlineLevel="0" collapsed="false">
      <c r="A18" s="102" t="n">
        <v>10</v>
      </c>
      <c r="B18" s="294" t="s">
        <v>409</v>
      </c>
      <c r="C18" s="291" t="s">
        <v>393</v>
      </c>
      <c r="D18" s="291" t="s">
        <v>410</v>
      </c>
      <c r="E18" s="39" t="n">
        <v>5</v>
      </c>
      <c r="F18" s="292" t="s">
        <v>389</v>
      </c>
      <c r="G18" s="287" t="n">
        <v>2.99</v>
      </c>
      <c r="H18" s="288"/>
      <c r="I18" s="84"/>
      <c r="J18" s="291" t="n">
        <f aca="false">'Ocorrências Mensais - FAT'!G35</f>
        <v>5</v>
      </c>
      <c r="K18" s="289" t="n">
        <f aca="false">G18*J18</f>
        <v>14.95</v>
      </c>
      <c r="L18" s="50" t="n">
        <f aca="false">IF(F18="MENSAL",1,IF(F18="BIMESTRAL",2,IF(F18="TRIMESTRAL",3,IF(F18="QUADRIMESTRAL",4,IF(F18="SEMESTRAL",6,IF(F18="ANUAL",12,IF(F18="BIENAL",24,"")))))))</f>
        <v>1</v>
      </c>
      <c r="N18" s="293"/>
      <c r="O18" s="50"/>
      <c r="P18" s="50"/>
      <c r="Q18" s="50"/>
      <c r="R18" s="50"/>
      <c r="S18" s="100"/>
    </row>
    <row r="19" s="85" customFormat="true" ht="20.85" hidden="false" customHeight="false" outlineLevel="0" collapsed="false">
      <c r="A19" s="101" t="n">
        <v>11</v>
      </c>
      <c r="B19" s="290" t="s">
        <v>411</v>
      </c>
      <c r="C19" s="291" t="s">
        <v>393</v>
      </c>
      <c r="D19" s="291" t="s">
        <v>412</v>
      </c>
      <c r="E19" s="39" t="n">
        <v>1</v>
      </c>
      <c r="F19" s="292" t="s">
        <v>395</v>
      </c>
      <c r="G19" s="287" t="n">
        <v>5.57</v>
      </c>
      <c r="H19" s="288"/>
      <c r="I19" s="84"/>
      <c r="J19" s="291" t="n">
        <f aca="false">'Ocorrências Mensais - FAT'!G36</f>
        <v>0.333333333333333</v>
      </c>
      <c r="K19" s="289" t="n">
        <f aca="false">G19*J19</f>
        <v>1.85666666666667</v>
      </c>
      <c r="L19" s="50" t="n">
        <f aca="false">IF(F19="MENSAL",1,IF(F19="BIMESTRAL",2,IF(F19="TRIMESTRAL",3,IF(F19="QUADRIMESTRAL",4,IF(F19="SEMESTRAL",6,IF(F19="ANUAL",12,IF(F19="BIENAL",24,"")))))))</f>
        <v>3</v>
      </c>
      <c r="N19" s="293" t="n">
        <v>1.2</v>
      </c>
      <c r="O19" s="50" t="n">
        <f aca="false">ROUND(IF(Dados!$J$56="SIM",N19*Dados!$N$56,N19),2)</f>
        <v>1.2</v>
      </c>
      <c r="P19" s="50" t="n">
        <f aca="false">ROUND(IF(Dados!$J$57="SIM",O19*Dados!$N$57,O19),2)</f>
        <v>1.2</v>
      </c>
      <c r="Q19" s="50" t="n">
        <f aca="false">ROUND(IF(Dados!$J$58="SIM",P19*Dados!$N$58,P19),2)</f>
        <v>1.2</v>
      </c>
      <c r="R19" s="50" t="n">
        <f aca="false">ROUND(IF(Dados!$J$59="SIM",Q19*Dados!$N$59,Q19),2)</f>
        <v>1.2</v>
      </c>
      <c r="S19" s="100" t="n">
        <f aca="false">ROUND(IF(Dados!$J$60="SIM",R19*Dados!$N$60,R19),2)</f>
        <v>1.2</v>
      </c>
    </row>
    <row r="20" s="85" customFormat="true" ht="20.85" hidden="false" customHeight="false" outlineLevel="0" collapsed="false">
      <c r="A20" s="101" t="n">
        <v>12</v>
      </c>
      <c r="B20" s="290" t="s">
        <v>413</v>
      </c>
      <c r="C20" s="291" t="s">
        <v>393</v>
      </c>
      <c r="D20" s="291" t="s">
        <v>414</v>
      </c>
      <c r="E20" s="39" t="n">
        <v>1</v>
      </c>
      <c r="F20" s="292" t="s">
        <v>395</v>
      </c>
      <c r="G20" s="287" t="n">
        <v>16.11</v>
      </c>
      <c r="H20" s="288"/>
      <c r="I20" s="84"/>
      <c r="J20" s="291" t="n">
        <f aca="false">'Ocorrências Mensais - FAT'!G37</f>
        <v>0.333333333333333</v>
      </c>
      <c r="K20" s="289" t="n">
        <f aca="false">G20*J20</f>
        <v>5.37</v>
      </c>
      <c r="L20" s="50" t="n">
        <f aca="false">IF(F20="MENSAL",1,IF(F20="BIMESTRAL",2,IF(F20="TRIMESTRAL",3,IF(F20="QUADRIMESTRAL",4,IF(F20="SEMESTRAL",6,IF(F20="ANUAL",12,IF(F20="BIENAL",24,"")))))))</f>
        <v>3</v>
      </c>
      <c r="N20" s="293" t="n">
        <v>1.3</v>
      </c>
      <c r="O20" s="50" t="n">
        <f aca="false">ROUND(IF(Dados!$J$56="SIM",N20*Dados!$N$56,N20),2)</f>
        <v>1.3</v>
      </c>
      <c r="P20" s="50" t="n">
        <f aca="false">ROUND(IF(Dados!$J$57="SIM",O20*Dados!$N$57,O20),2)</f>
        <v>1.3</v>
      </c>
      <c r="Q20" s="50" t="n">
        <f aca="false">ROUND(IF(Dados!$J$58="SIM",P20*Dados!$N$58,P20),2)</f>
        <v>1.3</v>
      </c>
      <c r="R20" s="50" t="n">
        <f aca="false">ROUND(IF(Dados!$J$59="SIM",Q20*Dados!$N$59,Q20),2)</f>
        <v>1.3</v>
      </c>
      <c r="S20" s="100" t="n">
        <f aca="false">ROUND(IF(Dados!$J$60="SIM",R20*Dados!$N$60,R20),2)</f>
        <v>1.3</v>
      </c>
    </row>
    <row r="21" s="85" customFormat="true" ht="40.25" hidden="false" customHeight="false" outlineLevel="0" collapsed="false">
      <c r="A21" s="102" t="n">
        <v>13</v>
      </c>
      <c r="B21" s="290" t="s">
        <v>415</v>
      </c>
      <c r="C21" s="291" t="s">
        <v>416</v>
      </c>
      <c r="D21" s="291" t="s">
        <v>417</v>
      </c>
      <c r="E21" s="39" t="n">
        <v>2</v>
      </c>
      <c r="F21" s="292" t="s">
        <v>389</v>
      </c>
      <c r="G21" s="287" t="n">
        <v>6.4</v>
      </c>
      <c r="H21" s="288"/>
      <c r="I21" s="84"/>
      <c r="J21" s="291" t="n">
        <f aca="false">'Ocorrências Mensais - FAT'!G38</f>
        <v>2</v>
      </c>
      <c r="K21" s="289" t="n">
        <f aca="false">G21*J21</f>
        <v>12.8</v>
      </c>
      <c r="L21" s="50" t="n">
        <f aca="false">IF(F21="MENSAL",1,IF(F21="BIMESTRAL",2,IF(F21="TRIMESTRAL",3,IF(F21="QUADRIMESTRAL",4,IF(F21="SEMESTRAL",6,IF(F21="ANUAL",12,IF(F21="BIENAL",24,"")))))))</f>
        <v>1</v>
      </c>
      <c r="N21" s="293" t="n">
        <v>1.48</v>
      </c>
      <c r="O21" s="50" t="n">
        <f aca="false">ROUND(IF(Dados!$J$56="SIM",N21*Dados!$N$56,N21),2)</f>
        <v>1.48</v>
      </c>
      <c r="P21" s="50" t="n">
        <f aca="false">ROUND(IF(Dados!$J$57="SIM",O21*Dados!$N$57,O21),2)</f>
        <v>1.48</v>
      </c>
      <c r="Q21" s="50" t="n">
        <f aca="false">ROUND(IF(Dados!$J$58="SIM",P21*Dados!$N$58,P21),2)</f>
        <v>1.48</v>
      </c>
      <c r="R21" s="50" t="n">
        <f aca="false">ROUND(IF(Dados!$J$59="SIM",Q21*Dados!$N$59,Q21),2)</f>
        <v>1.48</v>
      </c>
      <c r="S21" s="100" t="n">
        <f aca="false">ROUND(IF(Dados!$J$60="SIM",R21*Dados!$N$60,R21),2)</f>
        <v>1.48</v>
      </c>
    </row>
    <row r="22" s="85" customFormat="true" ht="30.55" hidden="false" customHeight="false" outlineLevel="0" collapsed="false">
      <c r="A22" s="101" t="n">
        <v>14</v>
      </c>
      <c r="B22" s="294" t="s">
        <v>418</v>
      </c>
      <c r="C22" s="291" t="s">
        <v>416</v>
      </c>
      <c r="D22" s="291" t="s">
        <v>419</v>
      </c>
      <c r="E22" s="39" t="n">
        <v>1</v>
      </c>
      <c r="F22" s="292" t="s">
        <v>389</v>
      </c>
      <c r="G22" s="287" t="n">
        <v>2.94</v>
      </c>
      <c r="H22" s="288"/>
      <c r="I22" s="84"/>
      <c r="J22" s="291" t="n">
        <f aca="false">'Ocorrências Mensais - FAT'!G39</f>
        <v>1</v>
      </c>
      <c r="K22" s="289" t="n">
        <f aca="false">G22*J22</f>
        <v>2.94</v>
      </c>
      <c r="L22" s="50" t="n">
        <f aca="false">IF(F22="MENSAL",1,IF(F22="BIMESTRAL",2,IF(F22="TRIMESTRAL",3,IF(F22="QUADRIMESTRAL",4,IF(F22="SEMESTRAL",6,IF(F22="ANUAL",12,IF(F22="BIENAL",24,"")))))))</f>
        <v>1</v>
      </c>
      <c r="N22" s="293" t="n">
        <v>1</v>
      </c>
      <c r="O22" s="50" t="n">
        <f aca="false">ROUND(IF(Dados!$J$56="SIM",N22*Dados!$N$56,N22),2)</f>
        <v>1</v>
      </c>
      <c r="P22" s="50" t="n">
        <f aca="false">ROUND(IF(Dados!$J$57="SIM",O22*Dados!$N$57,O22),2)</f>
        <v>1</v>
      </c>
      <c r="Q22" s="50" t="n">
        <f aca="false">ROUND(IF(Dados!$J$58="SIM",P22*Dados!$N$58,P22),2)</f>
        <v>1</v>
      </c>
      <c r="R22" s="50" t="n">
        <f aca="false">ROUND(IF(Dados!$J$59="SIM",Q22*Dados!$N$59,Q22),2)</f>
        <v>1</v>
      </c>
      <c r="S22" s="100" t="n">
        <f aca="false">ROUND(IF(Dados!$J$60="SIM",R22*Dados!$N$60,R22),2)</f>
        <v>1</v>
      </c>
    </row>
    <row r="23" s="85" customFormat="true" ht="30.55" hidden="false" customHeight="false" outlineLevel="0" collapsed="false">
      <c r="A23" s="101" t="n">
        <v>15</v>
      </c>
      <c r="B23" s="290" t="s">
        <v>420</v>
      </c>
      <c r="C23" s="291" t="s">
        <v>393</v>
      </c>
      <c r="D23" s="291" t="s">
        <v>421</v>
      </c>
      <c r="E23" s="39" t="n">
        <v>1</v>
      </c>
      <c r="F23" s="292" t="s">
        <v>422</v>
      </c>
      <c r="G23" s="287" t="n">
        <v>85.97</v>
      </c>
      <c r="H23" s="288"/>
      <c r="I23" s="84"/>
      <c r="J23" s="291" t="n">
        <f aca="false">'Ocorrências Mensais - FAT'!G40</f>
        <v>0.0833333333333333</v>
      </c>
      <c r="K23" s="289" t="n">
        <f aca="false">G23*J23</f>
        <v>7.16416666666667</v>
      </c>
      <c r="L23" s="50" t="n">
        <f aca="false">IF(F23="MENSAL",1,IF(F23="BIMESTRAL",2,IF(F23="TRIMESTRAL",3,IF(F23="QUADRIMESTRAL",4,IF(F23="SEMESTRAL",6,IF(F23="ANUAL",12,IF(F23="BIENAL",24,"")))))))</f>
        <v>12</v>
      </c>
      <c r="N23" s="293" t="n">
        <v>1.4</v>
      </c>
      <c r="O23" s="50" t="n">
        <f aca="false">ROUND(IF(Dados!$J$56="SIM",N23*Dados!$N$56,N23),2)</f>
        <v>1.4</v>
      </c>
      <c r="P23" s="50" t="n">
        <f aca="false">ROUND(IF(Dados!$J$57="SIM",O23*Dados!$N$57,O23),2)</f>
        <v>1.4</v>
      </c>
      <c r="Q23" s="50" t="n">
        <f aca="false">ROUND(IF(Dados!$J$58="SIM",P23*Dados!$N$58,P23),2)</f>
        <v>1.4</v>
      </c>
      <c r="R23" s="50" t="n">
        <f aca="false">ROUND(IF(Dados!$J$59="SIM",Q23*Dados!$N$59,Q23),2)</f>
        <v>1.4</v>
      </c>
      <c r="S23" s="100" t="n">
        <f aca="false">ROUND(IF(Dados!$J$60="SIM",R23*Dados!$N$60,R23),2)</f>
        <v>1.4</v>
      </c>
    </row>
    <row r="24" s="85" customFormat="true" ht="79.1" hidden="false" customHeight="false" outlineLevel="0" collapsed="false">
      <c r="A24" s="101" t="n">
        <v>16</v>
      </c>
      <c r="B24" s="290" t="s">
        <v>423</v>
      </c>
      <c r="C24" s="291" t="s">
        <v>393</v>
      </c>
      <c r="D24" s="291" t="s">
        <v>424</v>
      </c>
      <c r="E24" s="39" t="n">
        <v>3</v>
      </c>
      <c r="F24" s="292" t="s">
        <v>389</v>
      </c>
      <c r="G24" s="287" t="n">
        <v>4.28</v>
      </c>
      <c r="H24" s="288"/>
      <c r="I24" s="84"/>
      <c r="J24" s="291" t="n">
        <f aca="false">'Ocorrências Mensais - FAT'!G41</f>
        <v>3</v>
      </c>
      <c r="K24" s="289" t="n">
        <f aca="false">G24*J24</f>
        <v>12.84</v>
      </c>
      <c r="L24" s="50" t="n">
        <f aca="false">IF(F24="MENSAL",1,IF(F24="BIMESTRAL",2,IF(F24="TRIMESTRAL",3,IF(F24="QUADRIMESTRAL",4,IF(F24="SEMESTRAL",6,IF(F24="ANUAL",12,IF(F24="BIENAL",24,"")))))))</f>
        <v>1</v>
      </c>
      <c r="N24" s="293" t="n">
        <v>9.1</v>
      </c>
      <c r="O24" s="50" t="n">
        <f aca="false">ROUND(IF(Dados!$J$56="SIM",N24*Dados!$N$56,N24),2)</f>
        <v>9.1</v>
      </c>
      <c r="P24" s="50" t="n">
        <f aca="false">ROUND(IF(Dados!$J$57="SIM",O24*Dados!$N$57,O24),2)</f>
        <v>9.1</v>
      </c>
      <c r="Q24" s="50" t="n">
        <f aca="false">ROUND(IF(Dados!$J$58="SIM",P24*Dados!$N$58,P24),2)</f>
        <v>9.1</v>
      </c>
      <c r="R24" s="50" t="n">
        <f aca="false">ROUND(IF(Dados!$J$59="SIM",Q24*Dados!$N$59,Q24),2)</f>
        <v>9.1</v>
      </c>
      <c r="S24" s="100" t="n">
        <f aca="false">ROUND(IF(Dados!$J$60="SIM",R24*Dados!$N$60,R24),2)</f>
        <v>9.1</v>
      </c>
    </row>
    <row r="25" s="85" customFormat="true" ht="20.85" hidden="false" customHeight="false" outlineLevel="0" collapsed="false">
      <c r="A25" s="101" t="n">
        <v>17</v>
      </c>
      <c r="B25" s="290" t="s">
        <v>425</v>
      </c>
      <c r="C25" s="291" t="s">
        <v>393</v>
      </c>
      <c r="D25" s="291" t="s">
        <v>426</v>
      </c>
      <c r="E25" s="39" t="n">
        <v>1</v>
      </c>
      <c r="F25" s="292" t="s">
        <v>395</v>
      </c>
      <c r="G25" s="287" t="n">
        <v>13.82</v>
      </c>
      <c r="H25" s="288"/>
      <c r="I25" s="84"/>
      <c r="J25" s="291" t="n">
        <f aca="false">'Ocorrências Mensais - FAT'!G42</f>
        <v>0.333333333333333</v>
      </c>
      <c r="K25" s="289" t="n">
        <f aca="false">G25*J25</f>
        <v>4.60666666666667</v>
      </c>
      <c r="L25" s="50" t="n">
        <f aca="false">IF(F25="MENSAL",1,IF(F25="BIMESTRAL",2,IF(F25="TRIMESTRAL",3,IF(F25="QUADRIMESTRAL",4,IF(F25="SEMESTRAL",6,IF(F25="ANUAL",12,IF(F25="BIENAL",24,"")))))))</f>
        <v>3</v>
      </c>
      <c r="N25" s="293" t="n">
        <v>1</v>
      </c>
      <c r="O25" s="50" t="n">
        <f aca="false">ROUND(IF(Dados!$J$56="SIM",N25*Dados!$N$56,N25),2)</f>
        <v>1</v>
      </c>
      <c r="P25" s="50" t="n">
        <f aca="false">ROUND(IF(Dados!$J$57="SIM",O25*Dados!$N$57,O25),2)</f>
        <v>1</v>
      </c>
      <c r="Q25" s="50" t="n">
        <f aca="false">ROUND(IF(Dados!$J$58="SIM",P25*Dados!$N$58,P25),2)</f>
        <v>1</v>
      </c>
      <c r="R25" s="50" t="n">
        <f aca="false">ROUND(IF(Dados!$J$59="SIM",Q25*Dados!$N$59,Q25),2)</f>
        <v>1</v>
      </c>
      <c r="S25" s="100" t="n">
        <f aca="false">ROUND(IF(Dados!$J$60="SIM",R25*Dados!$N$60,R25),2)</f>
        <v>1</v>
      </c>
    </row>
    <row r="26" s="85" customFormat="true" ht="40.25" hidden="false" customHeight="false" outlineLevel="0" collapsed="false">
      <c r="A26" s="101" t="n">
        <v>18</v>
      </c>
      <c r="B26" s="290" t="s">
        <v>427</v>
      </c>
      <c r="C26" s="291" t="s">
        <v>393</v>
      </c>
      <c r="D26" s="291" t="s">
        <v>428</v>
      </c>
      <c r="E26" s="39" t="n">
        <v>1</v>
      </c>
      <c r="F26" s="292" t="s">
        <v>422</v>
      </c>
      <c r="G26" s="287" t="n">
        <v>165.65</v>
      </c>
      <c r="H26" s="288"/>
      <c r="I26" s="84"/>
      <c r="J26" s="291" t="n">
        <f aca="false">'Ocorrências Mensais - FAT'!G43</f>
        <v>0.0833333333333333</v>
      </c>
      <c r="K26" s="289" t="n">
        <f aca="false">G26*J26</f>
        <v>13.8041666666667</v>
      </c>
      <c r="L26" s="50" t="n">
        <f aca="false">IF(F26="MENSAL",1,IF(F26="BIMESTRAL",2,IF(F26="TRIMESTRAL",3,IF(F26="QUADRIMESTRAL",4,IF(F26="SEMESTRAL",6,IF(F26="ANUAL",12,IF(F26="BIENAL",24,"")))))))</f>
        <v>12</v>
      </c>
      <c r="N26" s="293" t="n">
        <v>1.59</v>
      </c>
      <c r="O26" s="50" t="n">
        <f aca="false">ROUND(IF(Dados!$J$56="SIM",N26*Dados!$N$56,N26),2)</f>
        <v>1.59</v>
      </c>
      <c r="P26" s="50" t="n">
        <f aca="false">ROUND(IF(Dados!$J$57="SIM",O26*Dados!$N$57,O26),2)</f>
        <v>1.59</v>
      </c>
      <c r="Q26" s="50" t="n">
        <f aca="false">ROUND(IF(Dados!$J$58="SIM",P26*Dados!$N$58,P26),2)</f>
        <v>1.59</v>
      </c>
      <c r="R26" s="50" t="n">
        <f aca="false">ROUND(IF(Dados!$J$59="SIM",Q26*Dados!$N$59,Q26),2)</f>
        <v>1.59</v>
      </c>
      <c r="S26" s="100" t="n">
        <f aca="false">ROUND(IF(Dados!$J$60="SIM",R26*Dados!$N$60,R26),2)</f>
        <v>1.59</v>
      </c>
    </row>
    <row r="27" s="85" customFormat="true" ht="15" hidden="false" customHeight="false" outlineLevel="0" collapsed="false">
      <c r="A27" s="101" t="n">
        <v>19</v>
      </c>
      <c r="B27" s="290" t="s">
        <v>429</v>
      </c>
      <c r="C27" s="291" t="s">
        <v>393</v>
      </c>
      <c r="D27" s="291" t="s">
        <v>430</v>
      </c>
      <c r="E27" s="39" t="n">
        <v>1</v>
      </c>
      <c r="F27" s="292" t="s">
        <v>389</v>
      </c>
      <c r="G27" s="287" t="n">
        <v>9.9</v>
      </c>
      <c r="H27" s="288"/>
      <c r="I27" s="84"/>
      <c r="J27" s="291" t="n">
        <f aca="false">'Ocorrências Mensais - FAT'!G44</f>
        <v>1</v>
      </c>
      <c r="K27" s="289" t="n">
        <f aca="false">G27*J27</f>
        <v>9.9</v>
      </c>
      <c r="L27" s="50" t="n">
        <f aca="false">IF(F27="MENSAL",1,IF(F27="BIMESTRAL",2,IF(F27="TRIMESTRAL",3,IF(F27="QUADRIMESTRAL",4,IF(F27="SEMESTRAL",6,IF(F27="ANUAL",12,IF(F27="BIENAL",24,"")))))))</f>
        <v>1</v>
      </c>
      <c r="N27" s="293" t="n">
        <v>10.9</v>
      </c>
      <c r="O27" s="50" t="n">
        <f aca="false">ROUND(IF(Dados!$J$56="SIM",N27*Dados!$N$56,N27),2)</f>
        <v>10.9</v>
      </c>
      <c r="P27" s="50" t="n">
        <f aca="false">ROUND(IF(Dados!$J$57="SIM",O27*Dados!$N$57,O27),2)</f>
        <v>10.9</v>
      </c>
      <c r="Q27" s="50" t="n">
        <f aca="false">ROUND(IF(Dados!$J$58="SIM",P27*Dados!$N$58,P27),2)</f>
        <v>10.9</v>
      </c>
      <c r="R27" s="50" t="n">
        <f aca="false">ROUND(IF(Dados!$J$59="SIM",Q27*Dados!$N$59,Q27),2)</f>
        <v>10.9</v>
      </c>
      <c r="S27" s="100" t="n">
        <f aca="false">ROUND(IF(Dados!$J$60="SIM",R27*Dados!$N$60,R27),2)</f>
        <v>10.9</v>
      </c>
    </row>
    <row r="28" s="85" customFormat="true" ht="40.25" hidden="false" customHeight="false" outlineLevel="0" collapsed="false">
      <c r="A28" s="101" t="n">
        <v>20</v>
      </c>
      <c r="B28" s="290" t="s">
        <v>431</v>
      </c>
      <c r="C28" s="291" t="s">
        <v>393</v>
      </c>
      <c r="D28" s="291" t="s">
        <v>430</v>
      </c>
      <c r="E28" s="39" t="n">
        <v>1</v>
      </c>
      <c r="F28" s="292" t="s">
        <v>389</v>
      </c>
      <c r="G28" s="287" t="n">
        <v>7.5</v>
      </c>
      <c r="H28" s="288"/>
      <c r="I28" s="84"/>
      <c r="J28" s="291" t="n">
        <f aca="false">'Ocorrências Mensais - FAT'!G45</f>
        <v>1</v>
      </c>
      <c r="K28" s="289" t="n">
        <f aca="false">G28*J28</f>
        <v>7.5</v>
      </c>
      <c r="L28" s="50" t="n">
        <f aca="false">IF(F28="MENSAL",1,IF(F28="BIMESTRAL",2,IF(F28="TRIMESTRAL",3,IF(F28="QUADRIMESTRAL",4,IF(F28="SEMESTRAL",6,IF(F28="ANUAL",12,IF(F28="BIENAL",24,"")))))))</f>
        <v>1</v>
      </c>
      <c r="N28" s="293" t="n">
        <v>3</v>
      </c>
      <c r="O28" s="50" t="n">
        <f aca="false">ROUND(IF(Dados!$J$56="SIM",N28*Dados!$N$56,N28),2)</f>
        <v>3</v>
      </c>
      <c r="P28" s="50" t="n">
        <f aca="false">ROUND(IF(Dados!$J$57="SIM",O28*Dados!$N$57,O28),2)</f>
        <v>3</v>
      </c>
      <c r="Q28" s="50" t="n">
        <f aca="false">ROUND(IF(Dados!$J$58="SIM",P28*Dados!$N$58,P28),2)</f>
        <v>3</v>
      </c>
      <c r="R28" s="50" t="n">
        <f aca="false">ROUND(IF(Dados!$J$59="SIM",Q28*Dados!$N$59,Q28),2)</f>
        <v>3</v>
      </c>
      <c r="S28" s="100" t="n">
        <f aca="false">ROUND(IF(Dados!$J$60="SIM",R28*Dados!$N$60,R28),2)</f>
        <v>3</v>
      </c>
    </row>
    <row r="29" s="85" customFormat="true" ht="40.25" hidden="false" customHeight="false" outlineLevel="0" collapsed="false">
      <c r="A29" s="101" t="n">
        <v>21</v>
      </c>
      <c r="B29" s="290" t="s">
        <v>432</v>
      </c>
      <c r="C29" s="291" t="s">
        <v>433</v>
      </c>
      <c r="D29" s="291" t="s">
        <v>434</v>
      </c>
      <c r="E29" s="39" t="n">
        <v>1</v>
      </c>
      <c r="F29" s="292" t="s">
        <v>389</v>
      </c>
      <c r="G29" s="287" t="n">
        <v>13.38</v>
      </c>
      <c r="H29" s="288"/>
      <c r="I29" s="84"/>
      <c r="J29" s="291" t="n">
        <f aca="false">'Ocorrências Mensais - FAT'!G46</f>
        <v>1</v>
      </c>
      <c r="K29" s="289" t="n">
        <f aca="false">G29*J29</f>
        <v>13.38</v>
      </c>
      <c r="L29" s="50" t="n">
        <f aca="false">IF(F29="MENSAL",1,IF(F29="BIMESTRAL",2,IF(F29="TRIMESTRAL",3,IF(F29="QUADRIMESTRAL",4,IF(F29="SEMESTRAL",6,IF(F29="ANUAL",12,IF(F29="BIENAL",24,"")))))))</f>
        <v>1</v>
      </c>
      <c r="N29" s="293" t="n">
        <v>1</v>
      </c>
      <c r="O29" s="50" t="n">
        <f aca="false">ROUND(IF(Dados!$J$56="SIM",N29*Dados!$N$56,N29),2)</f>
        <v>1</v>
      </c>
      <c r="P29" s="50" t="n">
        <f aca="false">ROUND(IF(Dados!$J$57="SIM",O29*Dados!$N$57,O29),2)</f>
        <v>1</v>
      </c>
      <c r="Q29" s="50" t="n">
        <f aca="false">ROUND(IF(Dados!$J$58="SIM",P29*Dados!$N$58,P29),2)</f>
        <v>1</v>
      </c>
      <c r="R29" s="50" t="n">
        <f aca="false">ROUND(IF(Dados!$J$59="SIM",Q29*Dados!$N$59,Q29),2)</f>
        <v>1</v>
      </c>
      <c r="S29" s="100" t="n">
        <f aca="false">ROUND(IF(Dados!$J$60="SIM",R29*Dados!$N$60,R29),2)</f>
        <v>1</v>
      </c>
    </row>
    <row r="30" s="85" customFormat="true" ht="20.85" hidden="false" customHeight="false" outlineLevel="0" collapsed="false">
      <c r="A30" s="101" t="n">
        <v>22</v>
      </c>
      <c r="B30" s="290" t="s">
        <v>435</v>
      </c>
      <c r="C30" s="291" t="s">
        <v>393</v>
      </c>
      <c r="D30" s="291" t="s">
        <v>434</v>
      </c>
      <c r="E30" s="39" t="n">
        <v>1</v>
      </c>
      <c r="F30" s="292" t="s">
        <v>395</v>
      </c>
      <c r="G30" s="287" t="n">
        <v>13.09</v>
      </c>
      <c r="H30" s="288"/>
      <c r="I30" s="84"/>
      <c r="J30" s="291" t="n">
        <f aca="false">'Ocorrências Mensais - FAT'!G47</f>
        <v>0.333333333333333</v>
      </c>
      <c r="K30" s="289" t="n">
        <f aca="false">G30*J30</f>
        <v>4.36333333333333</v>
      </c>
      <c r="L30" s="50" t="n">
        <f aca="false">IF(F30="MENSAL",1,IF(F30="BIMESTRAL",2,IF(F30="TRIMESTRAL",3,IF(F30="QUADRIMESTRAL",4,IF(F30="SEMESTRAL",6,IF(F30="ANUAL",12,IF(F30="BIENAL",24,"")))))))</f>
        <v>3</v>
      </c>
      <c r="N30" s="293" t="n">
        <v>2</v>
      </c>
      <c r="O30" s="50" t="n">
        <f aca="false">ROUND(IF(Dados!$J$56="SIM",N30*Dados!$N$56,N30),2)</f>
        <v>2</v>
      </c>
      <c r="P30" s="50" t="n">
        <f aca="false">ROUND(IF(Dados!$J$57="SIM",O30*Dados!$N$57,O30),2)</f>
        <v>2</v>
      </c>
      <c r="Q30" s="50" t="n">
        <f aca="false">ROUND(IF(Dados!$J$58="SIM",P30*Dados!$N$58,P30),2)</f>
        <v>2</v>
      </c>
      <c r="R30" s="50" t="n">
        <f aca="false">ROUND(IF(Dados!$J$59="SIM",Q30*Dados!$N$59,Q30),2)</f>
        <v>2</v>
      </c>
      <c r="S30" s="100" t="n">
        <f aca="false">ROUND(IF(Dados!$J$60="SIM",R30*Dados!$N$60,R30),2)</f>
        <v>2</v>
      </c>
    </row>
    <row r="31" s="85" customFormat="true" ht="40.25" hidden="false" customHeight="false" outlineLevel="0" collapsed="false">
      <c r="A31" s="101" t="n">
        <v>23</v>
      </c>
      <c r="B31" s="294" t="s">
        <v>436</v>
      </c>
      <c r="C31" s="291" t="s">
        <v>437</v>
      </c>
      <c r="D31" s="291" t="s">
        <v>438</v>
      </c>
      <c r="E31" s="39" t="n">
        <v>7</v>
      </c>
      <c r="F31" s="292" t="s">
        <v>389</v>
      </c>
      <c r="G31" s="287" t="n">
        <v>16.11</v>
      </c>
      <c r="H31" s="288"/>
      <c r="I31" s="84"/>
      <c r="J31" s="291" t="n">
        <f aca="false">'Ocorrências Mensais - FAT'!G48</f>
        <v>7</v>
      </c>
      <c r="K31" s="289" t="n">
        <f aca="false">G31*J31</f>
        <v>112.77</v>
      </c>
      <c r="L31" s="50" t="n">
        <f aca="false">IF(F31="MENSAL",1,IF(F31="BIMESTRAL",2,IF(F31="TRIMESTRAL",3,IF(F31="QUADRIMESTRAL",4,IF(F31="SEMESTRAL",6,IF(F31="ANUAL",12,IF(F31="BIENAL",24,"")))))))</f>
        <v>1</v>
      </c>
      <c r="N31" s="293" t="n">
        <v>20</v>
      </c>
      <c r="O31" s="50" t="n">
        <f aca="false">ROUND(IF(Dados!$J$56="SIM",N31*Dados!$N$56,N31),2)</f>
        <v>20</v>
      </c>
      <c r="P31" s="50" t="n">
        <f aca="false">ROUND(IF(Dados!$J$57="SIM",O31*Dados!$N$57,O31),2)</f>
        <v>20</v>
      </c>
      <c r="Q31" s="50" t="n">
        <f aca="false">ROUND(IF(Dados!$J$58="SIM",P31*Dados!$N$58,P31),2)</f>
        <v>20</v>
      </c>
      <c r="R31" s="50" t="n">
        <f aca="false">ROUND(IF(Dados!$J$59="SIM",Q31*Dados!$N$59,Q31),2)</f>
        <v>20</v>
      </c>
      <c r="S31" s="100" t="n">
        <f aca="false">ROUND(IF(Dados!$J$60="SIM",R31*Dados!$N$60,R31),2)</f>
        <v>20</v>
      </c>
    </row>
    <row r="32" s="85" customFormat="true" ht="30.55" hidden="false" customHeight="false" outlineLevel="0" collapsed="false">
      <c r="A32" s="101" t="n">
        <v>24</v>
      </c>
      <c r="B32" s="290" t="s">
        <v>439</v>
      </c>
      <c r="C32" s="291" t="s">
        <v>440</v>
      </c>
      <c r="D32" s="291" t="s">
        <v>441</v>
      </c>
      <c r="E32" s="39" t="n">
        <v>12</v>
      </c>
      <c r="F32" s="292" t="s">
        <v>389</v>
      </c>
      <c r="G32" s="287" t="n">
        <v>22.89</v>
      </c>
      <c r="H32" s="288"/>
      <c r="I32" s="84"/>
      <c r="J32" s="291" t="n">
        <f aca="false">'Ocorrências Mensais - FAT'!G49</f>
        <v>12</v>
      </c>
      <c r="K32" s="289" t="n">
        <f aca="false">G32*J32</f>
        <v>274.68</v>
      </c>
      <c r="L32" s="50" t="n">
        <f aca="false">IF(F32="MENSAL",1,IF(F32="BIMESTRAL",2,IF(F32="TRIMESTRAL",3,IF(F32="QUADRIMESTRAL",4,IF(F32="SEMESTRAL",6,IF(F32="ANUAL",12,IF(F32="BIENAL",24,"")))))))</f>
        <v>1</v>
      </c>
      <c r="N32" s="293" t="n">
        <v>6.3</v>
      </c>
      <c r="O32" s="50" t="n">
        <f aca="false">ROUND(IF(Dados!$J$56="SIM",N32*Dados!$N$56,N32),2)</f>
        <v>6.3</v>
      </c>
      <c r="P32" s="50" t="n">
        <f aca="false">ROUND(IF(Dados!$J$57="SIM",O32*Dados!$N$57,O32),2)</f>
        <v>6.3</v>
      </c>
      <c r="Q32" s="50" t="n">
        <f aca="false">ROUND(IF(Dados!$J$58="SIM",P32*Dados!$N$58,P32),2)</f>
        <v>6.3</v>
      </c>
      <c r="R32" s="50" t="n">
        <f aca="false">ROUND(IF(Dados!$J$59="SIM",Q32*Dados!$N$59,Q32),2)</f>
        <v>6.3</v>
      </c>
      <c r="S32" s="100" t="n">
        <f aca="false">ROUND(IF(Dados!$J$60="SIM",R32*Dados!$N$60,R32),2)</f>
        <v>6.3</v>
      </c>
    </row>
    <row r="33" s="85" customFormat="true" ht="20.85" hidden="false" customHeight="false" outlineLevel="0" collapsed="false">
      <c r="A33" s="101" t="n">
        <v>25</v>
      </c>
      <c r="B33" s="290" t="s">
        <v>442</v>
      </c>
      <c r="C33" s="291" t="s">
        <v>393</v>
      </c>
      <c r="D33" s="291" t="s">
        <v>443</v>
      </c>
      <c r="E33" s="39" t="n">
        <v>10</v>
      </c>
      <c r="F33" s="292" t="s">
        <v>389</v>
      </c>
      <c r="G33" s="287" t="n">
        <v>2.41</v>
      </c>
      <c r="H33" s="288"/>
      <c r="I33" s="84"/>
      <c r="J33" s="291" t="n">
        <f aca="false">'Ocorrências Mensais - FAT'!G50</f>
        <v>10</v>
      </c>
      <c r="K33" s="289" t="n">
        <f aca="false">G33*J33</f>
        <v>24.1</v>
      </c>
      <c r="L33" s="50" t="n">
        <f aca="false">IF(F33="MENSAL",1,IF(F33="BIMESTRAL",2,IF(F33="TRIMESTRAL",3,IF(F33="QUADRIMESTRAL",4,IF(F33="SEMESTRAL",6,IF(F33="ANUAL",12,IF(F33="BIENAL",24,"")))))))</f>
        <v>1</v>
      </c>
      <c r="N33" s="293" t="n">
        <v>8.99</v>
      </c>
      <c r="O33" s="50" t="n">
        <f aca="false">ROUND(IF(Dados!$J$56="SIM",N33*Dados!$N$56,N33),2)</f>
        <v>8.99</v>
      </c>
      <c r="P33" s="50" t="n">
        <f aca="false">ROUND(IF(Dados!$J$57="SIM",O33*Dados!$N$57,O33),2)</f>
        <v>8.99</v>
      </c>
      <c r="Q33" s="50" t="n">
        <f aca="false">ROUND(IF(Dados!$J$58="SIM",P33*Dados!$N$58,P33),2)</f>
        <v>8.99</v>
      </c>
      <c r="R33" s="50" t="n">
        <f aca="false">ROUND(IF(Dados!$J$59="SIM",Q33*Dados!$N$59,Q33),2)</f>
        <v>8.99</v>
      </c>
      <c r="S33" s="100" t="n">
        <f aca="false">ROUND(IF(Dados!$J$60="SIM",R33*Dados!$N$60,R33),2)</f>
        <v>8.99</v>
      </c>
    </row>
    <row r="34" s="85" customFormat="true" ht="30.55" hidden="false" customHeight="false" outlineLevel="0" collapsed="false">
      <c r="A34" s="101" t="n">
        <v>26</v>
      </c>
      <c r="B34" s="294" t="s">
        <v>444</v>
      </c>
      <c r="C34" s="291" t="s">
        <v>393</v>
      </c>
      <c r="D34" s="291" t="s">
        <v>445</v>
      </c>
      <c r="E34" s="39" t="n">
        <v>1</v>
      </c>
      <c r="F34" s="292" t="s">
        <v>401</v>
      </c>
      <c r="G34" s="287" t="n">
        <v>22.67</v>
      </c>
      <c r="H34" s="288"/>
      <c r="I34" s="84"/>
      <c r="J34" s="291" t="n">
        <f aca="false">'Ocorrências Mensais - FAT'!G51</f>
        <v>0.5</v>
      </c>
      <c r="K34" s="289" t="n">
        <f aca="false">G34*J34</f>
        <v>11.335</v>
      </c>
      <c r="L34" s="50" t="n">
        <f aca="false">IF(F34="MENSAL",1,IF(F34="BIMESTRAL",2,IF(F34="TRIMESTRAL",3,IF(F34="QUADRIMESTRAL",4,IF(F34="SEMESTRAL",6,IF(F34="ANUAL",12,IF(F34="BIENAL",24,"")))))))</f>
        <v>2</v>
      </c>
      <c r="N34" s="293" t="n">
        <v>5</v>
      </c>
      <c r="O34" s="50" t="n">
        <f aca="false">ROUND(IF(Dados!$J$56="SIM",N34*Dados!$N$56,N34),2)</f>
        <v>5</v>
      </c>
      <c r="P34" s="50" t="n">
        <f aca="false">ROUND(IF(Dados!$J$57="SIM",O34*Dados!$N$57,O34),2)</f>
        <v>5</v>
      </c>
      <c r="Q34" s="50" t="n">
        <f aca="false">ROUND(IF(Dados!$J$58="SIM",P34*Dados!$N$58,P34),2)</f>
        <v>5</v>
      </c>
      <c r="R34" s="50" t="n">
        <f aca="false">ROUND(IF(Dados!$J$59="SIM",Q34*Dados!$N$59,Q34),2)</f>
        <v>5</v>
      </c>
      <c r="S34" s="100" t="n">
        <f aca="false">ROUND(IF(Dados!$J$60="SIM",R34*Dados!$N$60,R34),2)</f>
        <v>5</v>
      </c>
    </row>
    <row r="35" s="85" customFormat="true" ht="15" hidden="false" customHeight="false" outlineLevel="0" collapsed="false">
      <c r="A35" s="101" t="n">
        <v>27</v>
      </c>
      <c r="B35" s="290" t="s">
        <v>446</v>
      </c>
      <c r="C35" s="291" t="s">
        <v>416</v>
      </c>
      <c r="D35" s="291" t="s">
        <v>447</v>
      </c>
      <c r="E35" s="39" t="n">
        <v>4</v>
      </c>
      <c r="F35" s="292" t="s">
        <v>389</v>
      </c>
      <c r="G35" s="287" t="n">
        <v>12</v>
      </c>
      <c r="H35" s="288"/>
      <c r="I35" s="84"/>
      <c r="J35" s="291" t="n">
        <f aca="false">'Ocorrências Mensais - FAT'!G52</f>
        <v>4</v>
      </c>
      <c r="K35" s="289" t="n">
        <f aca="false">G35*J35</f>
        <v>48</v>
      </c>
      <c r="L35" s="50" t="n">
        <f aca="false">IF(F35="MENSAL",1,IF(F35="BIMESTRAL",2,IF(F35="TRIMESTRAL",3,IF(F35="QUADRIMESTRAL",4,IF(F35="SEMESTRAL",6,IF(F35="ANUAL",12,IF(F35="BIENAL",24,"")))))))</f>
        <v>1</v>
      </c>
      <c r="N35" s="293" t="n">
        <v>1.5</v>
      </c>
      <c r="O35" s="50" t="n">
        <f aca="false">ROUND(IF(Dados!$J$56="SIM",N35*Dados!$N$56,N35),2)</f>
        <v>1.5</v>
      </c>
      <c r="P35" s="50" t="n">
        <f aca="false">ROUND(IF(Dados!$J$57="SIM",O35*Dados!$N$57,O35),2)</f>
        <v>1.5</v>
      </c>
      <c r="Q35" s="50" t="n">
        <f aca="false">ROUND(IF(Dados!$J$58="SIM",P35*Dados!$N$58,P35),2)</f>
        <v>1.5</v>
      </c>
      <c r="R35" s="50" t="n">
        <f aca="false">ROUND(IF(Dados!$J$59="SIM",Q35*Dados!$N$59,Q35),2)</f>
        <v>1.5</v>
      </c>
      <c r="S35" s="100" t="n">
        <f aca="false">ROUND(IF(Dados!$J$60="SIM",R35*Dados!$N$60,R35),2)</f>
        <v>1.5</v>
      </c>
    </row>
    <row r="36" s="85" customFormat="true" ht="20.85" hidden="false" customHeight="false" outlineLevel="0" collapsed="false">
      <c r="A36" s="101" t="n">
        <v>28</v>
      </c>
      <c r="B36" s="290" t="s">
        <v>448</v>
      </c>
      <c r="C36" s="291" t="s">
        <v>449</v>
      </c>
      <c r="D36" s="291" t="s">
        <v>450</v>
      </c>
      <c r="E36" s="39" t="n">
        <v>1</v>
      </c>
      <c r="F36" s="292" t="s">
        <v>389</v>
      </c>
      <c r="G36" s="287" t="n">
        <v>15.6</v>
      </c>
      <c r="H36" s="288"/>
      <c r="I36" s="84"/>
      <c r="J36" s="291" t="n">
        <f aca="false">'Ocorrências Mensais - FAT'!G53</f>
        <v>1</v>
      </c>
      <c r="K36" s="289" t="n">
        <f aca="false">G36*J36</f>
        <v>15.6</v>
      </c>
      <c r="L36" s="50" t="n">
        <f aca="false">IF(F36="MENSAL",1,IF(F36="BIMESTRAL",2,IF(F36="TRIMESTRAL",3,IF(F36="QUADRIMESTRAL",4,IF(F36="SEMESTRAL",6,IF(F36="ANUAL",12,IF(F36="BIENAL",24,"")))))))</f>
        <v>1</v>
      </c>
      <c r="N36" s="293" t="n">
        <v>3.2</v>
      </c>
      <c r="O36" s="50" t="n">
        <f aca="false">ROUND(IF(Dados!$J$56="SIM",N36*Dados!$N$56,N36),2)</f>
        <v>3.2</v>
      </c>
      <c r="P36" s="50" t="n">
        <f aca="false">ROUND(IF(Dados!$J$57="SIM",O36*Dados!$N$57,O36),2)</f>
        <v>3.2</v>
      </c>
      <c r="Q36" s="50" t="n">
        <f aca="false">ROUND(IF(Dados!$J$58="SIM",P36*Dados!$N$58,P36),2)</f>
        <v>3.2</v>
      </c>
      <c r="R36" s="50" t="n">
        <f aca="false">ROUND(IF(Dados!$J$59="SIM",Q36*Dados!$N$59,Q36),2)</f>
        <v>3.2</v>
      </c>
      <c r="S36" s="100" t="n">
        <f aca="false">ROUND(IF(Dados!$J$60="SIM",R36*Dados!$N$60,R36),2)</f>
        <v>3.2</v>
      </c>
    </row>
    <row r="37" s="85" customFormat="true" ht="15" hidden="false" customHeight="false" outlineLevel="0" collapsed="false">
      <c r="A37" s="101" t="n">
        <v>29</v>
      </c>
      <c r="B37" s="290" t="s">
        <v>451</v>
      </c>
      <c r="C37" s="291" t="s">
        <v>452</v>
      </c>
      <c r="D37" s="291" t="s">
        <v>419</v>
      </c>
      <c r="E37" s="39" t="n">
        <v>2</v>
      </c>
      <c r="F37" s="292" t="s">
        <v>389</v>
      </c>
      <c r="G37" s="287" t="n">
        <v>6.24</v>
      </c>
      <c r="H37" s="288"/>
      <c r="I37" s="84"/>
      <c r="J37" s="291" t="n">
        <f aca="false">'Ocorrências Mensais - FAT'!G54</f>
        <v>2</v>
      </c>
      <c r="K37" s="289" t="n">
        <f aca="false">G37*J37</f>
        <v>12.48</v>
      </c>
      <c r="L37" s="50" t="n">
        <f aca="false">IF(F37="MENSAL",1,IF(F37="BIMESTRAL",2,IF(F37="TRIMESTRAL",3,IF(F37="QUADRIMESTRAL",4,IF(F37="SEMESTRAL",6,IF(F37="ANUAL",12,IF(F37="BIENAL",24,"")))))))</f>
        <v>1</v>
      </c>
      <c r="N37" s="293" t="n">
        <v>3.99</v>
      </c>
      <c r="O37" s="50" t="n">
        <f aca="false">ROUND(IF(Dados!$J$56="SIM",N37*Dados!$N$56,N37),2)</f>
        <v>3.99</v>
      </c>
      <c r="P37" s="50" t="n">
        <f aca="false">ROUND(IF(Dados!$J$57="SIM",O37*Dados!$N$57,O37),2)</f>
        <v>3.99</v>
      </c>
      <c r="Q37" s="50" t="n">
        <f aca="false">ROUND(IF(Dados!$J$58="SIM",P37*Dados!$N$58,P37),2)</f>
        <v>3.99</v>
      </c>
      <c r="R37" s="50" t="n">
        <f aca="false">ROUND(IF(Dados!$J$59="SIM",Q37*Dados!$N$59,Q37),2)</f>
        <v>3.99</v>
      </c>
      <c r="S37" s="100" t="n">
        <f aca="false">ROUND(IF(Dados!$J$60="SIM",R37*Dados!$N$60,R37),2)</f>
        <v>3.99</v>
      </c>
    </row>
    <row r="38" s="85" customFormat="true" ht="20.85" hidden="false" customHeight="false" outlineLevel="0" collapsed="false">
      <c r="A38" s="101" t="n">
        <v>30</v>
      </c>
      <c r="B38" s="294" t="s">
        <v>453</v>
      </c>
      <c r="C38" s="291" t="s">
        <v>387</v>
      </c>
      <c r="D38" s="291" t="s">
        <v>454</v>
      </c>
      <c r="E38" s="39" t="n">
        <v>2</v>
      </c>
      <c r="F38" s="292" t="s">
        <v>389</v>
      </c>
      <c r="G38" s="287" t="n">
        <v>23.76</v>
      </c>
      <c r="H38" s="288"/>
      <c r="I38" s="84"/>
      <c r="J38" s="291" t="n">
        <f aca="false">'Ocorrências Mensais - FAT'!G55</f>
        <v>2</v>
      </c>
      <c r="K38" s="289" t="n">
        <f aca="false">G38*J38</f>
        <v>47.52</v>
      </c>
      <c r="L38" s="50" t="n">
        <f aca="false">IF(F38="MENSAL",1,IF(F38="BIMESTRAL",2,IF(F38="TRIMESTRAL",3,IF(F38="QUADRIMESTRAL",4,IF(F38="SEMESTRAL",6,IF(F38="ANUAL",12,IF(F38="BIENAL",24,"")))))))</f>
        <v>1</v>
      </c>
      <c r="N38" s="293" t="n">
        <v>1.4</v>
      </c>
      <c r="O38" s="50" t="n">
        <f aca="false">ROUND(IF(Dados!$J$56="SIM",N38*Dados!$N$56,N38),2)</f>
        <v>1.4</v>
      </c>
      <c r="P38" s="50" t="n">
        <f aca="false">ROUND(IF(Dados!$J$57="SIM",O38*Dados!$N$57,O38),2)</f>
        <v>1.4</v>
      </c>
      <c r="Q38" s="50" t="n">
        <f aca="false">ROUND(IF(Dados!$J$58="SIM",P38*Dados!$N$58,P38),2)</f>
        <v>1.4</v>
      </c>
      <c r="R38" s="50" t="n">
        <f aca="false">ROUND(IF(Dados!$J$59="SIM",Q38*Dados!$N$59,Q38),2)</f>
        <v>1.4</v>
      </c>
      <c r="S38" s="100" t="n">
        <f aca="false">ROUND(IF(Dados!$J$60="SIM",R38*Dados!$N$60,R38),2)</f>
        <v>1.4</v>
      </c>
    </row>
    <row r="39" s="85" customFormat="true" ht="20.85" hidden="false" customHeight="false" outlineLevel="0" collapsed="false">
      <c r="A39" s="101" t="n">
        <v>31</v>
      </c>
      <c r="B39" s="290" t="s">
        <v>455</v>
      </c>
      <c r="C39" s="291" t="s">
        <v>393</v>
      </c>
      <c r="D39" s="291" t="s">
        <v>456</v>
      </c>
      <c r="E39" s="39" t="n">
        <v>1</v>
      </c>
      <c r="F39" s="292" t="s">
        <v>389</v>
      </c>
      <c r="G39" s="287" t="n">
        <v>8.23</v>
      </c>
      <c r="H39" s="288"/>
      <c r="I39" s="84"/>
      <c r="J39" s="291" t="n">
        <f aca="false">'Ocorrências Mensais - FAT'!G56</f>
        <v>1</v>
      </c>
      <c r="K39" s="289" t="n">
        <f aca="false">G39*J39</f>
        <v>8.23</v>
      </c>
      <c r="L39" s="50" t="n">
        <f aca="false">IF(F39="MENSAL",1,IF(F39="BIMESTRAL",2,IF(F39="TRIMESTRAL",3,IF(F39="QUADRIMESTRAL",4,IF(F39="SEMESTRAL",6,IF(F39="ANUAL",12,IF(F39="BIENAL",24,"")))))))</f>
        <v>1</v>
      </c>
      <c r="N39" s="293" t="n">
        <v>2.04</v>
      </c>
      <c r="O39" s="50" t="n">
        <f aca="false">ROUND(IF(Dados!$J$56="SIM",N39*Dados!$N$56,N39),2)</f>
        <v>2.04</v>
      </c>
      <c r="P39" s="50" t="n">
        <f aca="false">ROUND(IF(Dados!$J$57="SIM",O39*Dados!$N$57,O39),2)</f>
        <v>2.04</v>
      </c>
      <c r="Q39" s="50" t="n">
        <f aca="false">ROUND(IF(Dados!$J$58="SIM",P39*Dados!$N$58,P39),2)</f>
        <v>2.04</v>
      </c>
      <c r="R39" s="50" t="n">
        <f aca="false">ROUND(IF(Dados!$J$59="SIM",Q39*Dados!$N$59,Q39),2)</f>
        <v>2.04</v>
      </c>
      <c r="S39" s="100" t="n">
        <f aca="false">ROUND(IF(Dados!$J$60="SIM",R39*Dados!$N$60,R39),2)</f>
        <v>2.04</v>
      </c>
    </row>
    <row r="40" s="85" customFormat="true" ht="30.55" hidden="false" customHeight="false" outlineLevel="0" collapsed="false">
      <c r="A40" s="101" t="n">
        <v>32</v>
      </c>
      <c r="B40" s="290" t="s">
        <v>457</v>
      </c>
      <c r="C40" s="291" t="s">
        <v>440</v>
      </c>
      <c r="D40" s="291" t="s">
        <v>458</v>
      </c>
      <c r="E40" s="39" t="n">
        <v>2</v>
      </c>
      <c r="F40" s="292" t="s">
        <v>389</v>
      </c>
      <c r="G40" s="287" t="n">
        <v>60.16</v>
      </c>
      <c r="H40" s="288"/>
      <c r="I40" s="84"/>
      <c r="J40" s="291" t="n">
        <f aca="false">'Ocorrências Mensais - FAT'!G57</f>
        <v>2</v>
      </c>
      <c r="K40" s="289" t="n">
        <f aca="false">G40*J40</f>
        <v>120.32</v>
      </c>
      <c r="L40" s="50" t="n">
        <f aca="false">IF(F40="MENSAL",1,IF(F40="BIMESTRAL",2,IF(F40="TRIMESTRAL",3,IF(F40="QUADRIMESTRAL",4,IF(F40="SEMESTRAL",6,IF(F40="ANUAL",12,IF(F40="BIENAL",24,"")))))))</f>
        <v>1</v>
      </c>
      <c r="N40" s="293" t="n">
        <v>6.55</v>
      </c>
      <c r="O40" s="50" t="n">
        <f aca="false">ROUND(IF(Dados!$J$56="SIM",N40*Dados!$N$56,N40),2)</f>
        <v>6.55</v>
      </c>
      <c r="P40" s="50" t="n">
        <f aca="false">ROUND(IF(Dados!$J$57="SIM",O40*Dados!$N$57,O40),2)</f>
        <v>6.55</v>
      </c>
      <c r="Q40" s="50" t="n">
        <f aca="false">ROUND(IF(Dados!$J$58="SIM",P40*Dados!$N$58,P40),2)</f>
        <v>6.55</v>
      </c>
      <c r="R40" s="50" t="n">
        <f aca="false">ROUND(IF(Dados!$J$59="SIM",Q40*Dados!$N$59,Q40),2)</f>
        <v>6.55</v>
      </c>
      <c r="S40" s="100" t="n">
        <f aca="false">ROUND(IF(Dados!$J$60="SIM",R40*Dados!$N$60,R40),2)</f>
        <v>6.55</v>
      </c>
    </row>
    <row r="41" s="85" customFormat="true" ht="30.55" hidden="false" customHeight="false" outlineLevel="0" collapsed="false">
      <c r="A41" s="101" t="n">
        <v>33</v>
      </c>
      <c r="B41" s="290" t="s">
        <v>459</v>
      </c>
      <c r="C41" s="291" t="s">
        <v>440</v>
      </c>
      <c r="D41" s="291" t="s">
        <v>460</v>
      </c>
      <c r="E41" s="39" t="n">
        <v>1</v>
      </c>
      <c r="F41" s="292" t="s">
        <v>389</v>
      </c>
      <c r="G41" s="287" t="n">
        <v>16.49</v>
      </c>
      <c r="H41" s="288"/>
      <c r="I41" s="84"/>
      <c r="J41" s="291" t="n">
        <f aca="false">'Ocorrências Mensais - FAT'!G58</f>
        <v>1</v>
      </c>
      <c r="K41" s="289" t="n">
        <f aca="false">G41*J41</f>
        <v>16.49</v>
      </c>
      <c r="L41" s="50"/>
      <c r="N41" s="293"/>
      <c r="O41" s="50"/>
      <c r="P41" s="50"/>
      <c r="Q41" s="50"/>
      <c r="R41" s="50"/>
      <c r="S41" s="100"/>
    </row>
    <row r="42" s="85" customFormat="true" ht="20.85" hidden="false" customHeight="false" outlineLevel="0" collapsed="false">
      <c r="A42" s="101" t="n">
        <v>34</v>
      </c>
      <c r="B42" s="290" t="s">
        <v>461</v>
      </c>
      <c r="C42" s="291" t="s">
        <v>393</v>
      </c>
      <c r="D42" s="291" t="s">
        <v>403</v>
      </c>
      <c r="E42" s="39" t="n">
        <v>2</v>
      </c>
      <c r="F42" s="292" t="s">
        <v>389</v>
      </c>
      <c r="G42" s="287" t="n">
        <v>16.46</v>
      </c>
      <c r="H42" s="288"/>
      <c r="I42" s="84"/>
      <c r="J42" s="291" t="n">
        <f aca="false">'Ocorrências Mensais - FAT'!G59</f>
        <v>2</v>
      </c>
      <c r="K42" s="289" t="n">
        <f aca="false">G42*J42</f>
        <v>32.92</v>
      </c>
      <c r="L42" s="50"/>
      <c r="N42" s="293"/>
      <c r="O42" s="50"/>
      <c r="P42" s="50"/>
      <c r="Q42" s="50"/>
      <c r="R42" s="50"/>
      <c r="S42" s="100"/>
    </row>
    <row r="43" s="85" customFormat="true" ht="30.55" hidden="false" customHeight="false" outlineLevel="0" collapsed="false">
      <c r="A43" s="101" t="n">
        <v>35</v>
      </c>
      <c r="B43" s="290" t="s">
        <v>462</v>
      </c>
      <c r="C43" s="291" t="s">
        <v>393</v>
      </c>
      <c r="D43" s="291" t="s">
        <v>463</v>
      </c>
      <c r="E43" s="39" t="n">
        <v>1</v>
      </c>
      <c r="F43" s="292" t="s">
        <v>395</v>
      </c>
      <c r="G43" s="287" t="n">
        <v>18.1</v>
      </c>
      <c r="H43" s="288"/>
      <c r="I43" s="84"/>
      <c r="J43" s="291" t="n">
        <f aca="false">'Ocorrências Mensais - FAT'!G60</f>
        <v>0.333333333333333</v>
      </c>
      <c r="K43" s="289" t="n">
        <f aca="false">G43*J43</f>
        <v>6.03333333333333</v>
      </c>
      <c r="L43" s="50" t="n">
        <f aca="false">IF(F43="MENSAL",1,IF(F43="BIMESTRAL",2,IF(F43="TRIMESTRAL",3,IF(F43="QUADRIMESTRAL",4,IF(F43="SEMESTRAL",6,IF(F43="ANUAL",12,IF(F43="BIENAL",24,"")))))))</f>
        <v>3</v>
      </c>
      <c r="N43" s="293" t="n">
        <v>2.8</v>
      </c>
      <c r="O43" s="50" t="n">
        <f aca="false">ROUND(IF(Dados!$J$56="SIM",N43*Dados!$N$56,N43),2)</f>
        <v>2.8</v>
      </c>
      <c r="P43" s="50" t="n">
        <f aca="false">ROUND(IF(Dados!$J$57="SIM",O43*Dados!$N$57,O43),2)</f>
        <v>2.8</v>
      </c>
      <c r="Q43" s="50" t="n">
        <f aca="false">ROUND(IF(Dados!$J$58="SIM",P43*Dados!$N$58,P43),2)</f>
        <v>2.8</v>
      </c>
      <c r="R43" s="50" t="n">
        <f aca="false">ROUND(IF(Dados!$J$59="SIM",Q43*Dados!$N$59,Q43),2)</f>
        <v>2.8</v>
      </c>
      <c r="S43" s="100" t="n">
        <f aca="false">ROUND(IF(Dados!$J$60="SIM",R43*Dados!$N$60,R43),2)</f>
        <v>2.8</v>
      </c>
    </row>
    <row r="44" customFormat="false" ht="15" hidden="false" customHeight="false" outlineLevel="0" collapsed="false">
      <c r="A44" s="296"/>
      <c r="B44" s="296"/>
      <c r="C44" s="296"/>
      <c r="D44" s="296"/>
      <c r="E44" s="296"/>
      <c r="F44" s="296"/>
      <c r="G44" s="296"/>
      <c r="H44" s="297"/>
      <c r="I44" s="74"/>
      <c r="J44" s="298" t="s">
        <v>199</v>
      </c>
      <c r="K44" s="299" t="n">
        <f aca="false">SUM(K9:K43)</f>
        <v>988.043333333333</v>
      </c>
      <c r="N44" s="300"/>
      <c r="O44" s="79"/>
      <c r="P44" s="79"/>
      <c r="Q44" s="79"/>
      <c r="R44" s="79"/>
      <c r="S44" s="79"/>
    </row>
    <row r="45" customFormat="false" ht="15" hidden="false" customHeight="false" outlineLevel="0" collapsed="false">
      <c r="A45" s="301"/>
      <c r="H45" s="302"/>
      <c r="N45" s="300"/>
      <c r="O45" s="79"/>
      <c r="P45" s="79"/>
      <c r="Q45" s="79"/>
      <c r="R45" s="79"/>
      <c r="S45" s="79"/>
    </row>
    <row r="46" customFormat="false" ht="18.75" hidden="false" customHeight="true" outlineLevel="0" collapsed="false">
      <c r="A46" s="269" t="s">
        <v>464</v>
      </c>
      <c r="B46" s="269"/>
      <c r="C46" s="269"/>
      <c r="D46" s="269"/>
      <c r="E46" s="269"/>
      <c r="F46" s="269"/>
      <c r="G46" s="269"/>
      <c r="H46" s="269"/>
      <c r="I46" s="85"/>
      <c r="J46" s="85"/>
      <c r="L46" s="85"/>
      <c r="N46" s="78" t="s">
        <v>378</v>
      </c>
      <c r="O46" s="78"/>
      <c r="P46" s="78"/>
      <c r="Q46" s="78"/>
      <c r="R46" s="78"/>
      <c r="S46" s="78"/>
    </row>
    <row r="47" customFormat="false" ht="15" hidden="false" customHeight="true" outlineLevel="0" collapsed="false">
      <c r="A47" s="303"/>
      <c r="B47" s="84"/>
      <c r="C47" s="84"/>
      <c r="D47" s="84"/>
      <c r="E47" s="84"/>
      <c r="F47" s="84"/>
      <c r="G47" s="84"/>
      <c r="H47" s="304"/>
      <c r="I47" s="85"/>
      <c r="J47" s="85"/>
      <c r="L47" s="85"/>
      <c r="N47" s="78"/>
      <c r="O47" s="78"/>
      <c r="P47" s="78"/>
      <c r="Q47" s="78"/>
      <c r="R47" s="78"/>
      <c r="S47" s="78"/>
    </row>
    <row r="48" customFormat="false" ht="15" hidden="false" customHeight="true" outlineLevel="0" collapsed="false">
      <c r="A48" s="273" t="s">
        <v>59</v>
      </c>
      <c r="B48" s="274" t="s">
        <v>379</v>
      </c>
      <c r="C48" s="274"/>
      <c r="D48" s="274"/>
      <c r="E48" s="275"/>
      <c r="F48" s="275"/>
      <c r="G48" s="275"/>
      <c r="H48" s="276" t="s">
        <v>380</v>
      </c>
      <c r="I48" s="85"/>
      <c r="J48" s="277" t="s">
        <v>381</v>
      </c>
      <c r="K48" s="277"/>
      <c r="L48" s="277"/>
      <c r="N48" s="78"/>
      <c r="O48" s="78"/>
      <c r="P48" s="78"/>
      <c r="Q48" s="78"/>
      <c r="R48" s="78"/>
      <c r="S48" s="78"/>
    </row>
    <row r="49" customFormat="false" ht="30.55" hidden="false" customHeight="false" outlineLevel="0" collapsed="false">
      <c r="A49" s="273"/>
      <c r="B49" s="274" t="s">
        <v>64</v>
      </c>
      <c r="C49" s="278" t="s">
        <v>65</v>
      </c>
      <c r="D49" s="278" t="s">
        <v>465</v>
      </c>
      <c r="E49" s="279" t="s">
        <v>382</v>
      </c>
      <c r="F49" s="280" t="s">
        <v>71</v>
      </c>
      <c r="G49" s="278" t="s">
        <v>383</v>
      </c>
      <c r="H49" s="276"/>
      <c r="I49" s="85"/>
      <c r="J49" s="305" t="s">
        <v>69</v>
      </c>
      <c r="K49" s="305" t="s">
        <v>68</v>
      </c>
      <c r="L49" s="279" t="s">
        <v>384</v>
      </c>
      <c r="N49" s="281" t="s">
        <v>385</v>
      </c>
      <c r="O49" s="32" t="s">
        <v>285</v>
      </c>
      <c r="P49" s="32" t="s">
        <v>286</v>
      </c>
      <c r="Q49" s="32" t="s">
        <v>287</v>
      </c>
      <c r="R49" s="32" t="s">
        <v>288</v>
      </c>
      <c r="S49" s="34" t="s">
        <v>289</v>
      </c>
    </row>
    <row r="50" customFormat="false" ht="20.85" hidden="false" customHeight="false" outlineLevel="0" collapsed="false">
      <c r="A50" s="39" t="n">
        <v>1</v>
      </c>
      <c r="B50" s="290" t="s">
        <v>466</v>
      </c>
      <c r="C50" s="291" t="s">
        <v>393</v>
      </c>
      <c r="D50" s="291" t="s">
        <v>397</v>
      </c>
      <c r="E50" s="39" t="n">
        <v>1</v>
      </c>
      <c r="F50" s="291" t="s">
        <v>404</v>
      </c>
      <c r="G50" s="287" t="n">
        <v>13.89</v>
      </c>
      <c r="H50" s="306"/>
      <c r="I50" s="85"/>
      <c r="J50" s="291" t="n">
        <f aca="false">'Ocorrências Mensais - FAT'!G69</f>
        <v>0.166666666666667</v>
      </c>
      <c r="K50" s="289" t="n">
        <f aca="false">G50*J50</f>
        <v>2.315</v>
      </c>
      <c r="L50" s="50" t="n">
        <f aca="false">IF(F50="MENSAL",1,IF(F50="BIMESTRAL",2,IF(F50="TRIMESTRAL",3,IF(F50="QUADRIMESTRAL",4,IF(F50="SEMESTRAL",6,IF(F50="ANUAL",12,IF(F50="BIENAL",24,"")))))))</f>
        <v>6</v>
      </c>
      <c r="N50" s="307" t="n">
        <v>3.1</v>
      </c>
      <c r="O50" s="50" t="n">
        <f aca="false">ROUND(IF(Dados!$J$56="SIM",N50*Dados!$N$56,N50),2)</f>
        <v>3.1</v>
      </c>
      <c r="P50" s="50" t="n">
        <f aca="false">ROUND(IF(Dados!$J$57="SIM",O50*Dados!$N$57,O50),2)</f>
        <v>3.1</v>
      </c>
      <c r="Q50" s="50" t="n">
        <f aca="false">ROUND(IF(Dados!$J$58="SIM",P50*Dados!$N$58,P50),2)</f>
        <v>3.1</v>
      </c>
      <c r="R50" s="50" t="n">
        <f aca="false">ROUND(IF(Dados!$J$59="SIM",Q50*Dados!$N$59,Q50),2)</f>
        <v>3.1</v>
      </c>
      <c r="S50" s="100" t="n">
        <f aca="false">ROUND(IF(Dados!$J$60="SIM",R50*Dados!$N$60,R50),2)</f>
        <v>3.1</v>
      </c>
    </row>
    <row r="51" customFormat="false" ht="40.25" hidden="false" customHeight="false" outlineLevel="0" collapsed="false">
      <c r="A51" s="39" t="n">
        <v>2</v>
      </c>
      <c r="B51" s="290" t="s">
        <v>467</v>
      </c>
      <c r="C51" s="291" t="s">
        <v>393</v>
      </c>
      <c r="D51" s="291" t="s">
        <v>468</v>
      </c>
      <c r="E51" s="39" t="n">
        <v>1</v>
      </c>
      <c r="F51" s="291" t="s">
        <v>389</v>
      </c>
      <c r="G51" s="287" t="n">
        <v>9.99</v>
      </c>
      <c r="H51" s="306"/>
      <c r="I51" s="85"/>
      <c r="J51" s="291" t="n">
        <f aca="false">'Ocorrências Mensais - FAT'!G70</f>
        <v>1</v>
      </c>
      <c r="K51" s="289" t="n">
        <f aca="false">G51*J51</f>
        <v>9.99</v>
      </c>
      <c r="L51" s="50" t="n">
        <f aca="false">IF(F51="MENSAL",1,IF(F51="BIMESTRAL",2,IF(F51="TRIMESTRAL",3,IF(F51="QUADRIMESTRAL",4,IF(F51="SEMESTRAL",6,IF(F51="ANUAL",12,IF(F51="BIENAL",24,"")))))))</f>
        <v>1</v>
      </c>
      <c r="N51" s="307" t="n">
        <v>4.04</v>
      </c>
      <c r="O51" s="50" t="n">
        <f aca="false">ROUND(IF(Dados!$J$56="SIM",N51*Dados!$N$56,N51),2)</f>
        <v>4.04</v>
      </c>
      <c r="P51" s="50" t="n">
        <f aca="false">ROUND(IF(Dados!$J$57="SIM",O51*Dados!$N$57,O51),2)</f>
        <v>4.04</v>
      </c>
      <c r="Q51" s="50" t="n">
        <f aca="false">ROUND(IF(Dados!$J$58="SIM",P51*Dados!$N$58,P51),2)</f>
        <v>4.04</v>
      </c>
      <c r="R51" s="50" t="n">
        <f aca="false">ROUND(IF(Dados!$J$59="SIM",Q51*Dados!$N$59,Q51),2)</f>
        <v>4.04</v>
      </c>
      <c r="S51" s="100" t="n">
        <f aca="false">ROUND(IF(Dados!$J$60="SIM",R51*Dados!$N$60,R51),2)</f>
        <v>4.04</v>
      </c>
    </row>
    <row r="52" customFormat="false" ht="20.85" hidden="false" customHeight="false" outlineLevel="0" collapsed="false">
      <c r="A52" s="39" t="n">
        <v>3</v>
      </c>
      <c r="B52" s="294" t="s">
        <v>469</v>
      </c>
      <c r="C52" s="291" t="s">
        <v>393</v>
      </c>
      <c r="D52" s="291" t="s">
        <v>403</v>
      </c>
      <c r="E52" s="39" t="n">
        <v>1</v>
      </c>
      <c r="F52" s="291" t="s">
        <v>404</v>
      </c>
      <c r="G52" s="287" t="n">
        <v>10.41</v>
      </c>
      <c r="H52" s="306"/>
      <c r="I52" s="85"/>
      <c r="J52" s="291" t="n">
        <f aca="false">'Ocorrências Mensais - FAT'!G71</f>
        <v>0.166666666666667</v>
      </c>
      <c r="K52" s="289" t="n">
        <f aca="false">G52*J52</f>
        <v>1.735</v>
      </c>
      <c r="L52" s="50" t="n">
        <f aca="false">IF(F52="MENSAL",1,IF(F52="BIMESTRAL",2,IF(F52="TRIMESTRAL",3,IF(F52="QUADRIMESTRAL",4,IF(F52="SEMESTRAL",6,IF(F52="ANUAL",12,IF(F52="BIENAL",24,"")))))))</f>
        <v>6</v>
      </c>
      <c r="N52" s="307" t="n">
        <v>1.5</v>
      </c>
      <c r="O52" s="50" t="n">
        <f aca="false">ROUND(IF(Dados!$J$56="SIM",N52*Dados!$N$56,N52),2)</f>
        <v>1.5</v>
      </c>
      <c r="P52" s="50" t="n">
        <f aca="false">ROUND(IF(Dados!$J$57="SIM",O52*Dados!$N$57,O52),2)</f>
        <v>1.5</v>
      </c>
      <c r="Q52" s="50" t="n">
        <f aca="false">ROUND(IF(Dados!$J$58="SIM",P52*Dados!$N$58,P52),2)</f>
        <v>1.5</v>
      </c>
      <c r="R52" s="50" t="n">
        <f aca="false">ROUND(IF(Dados!$J$59="SIM",Q52*Dados!$N$59,Q52),2)</f>
        <v>1.5</v>
      </c>
      <c r="S52" s="100" t="n">
        <f aca="false">ROUND(IF(Dados!$J$60="SIM",R52*Dados!$N$60,R52),2)</f>
        <v>1.5</v>
      </c>
    </row>
    <row r="53" customFormat="false" ht="40.25" hidden="false" customHeight="false" outlineLevel="0" collapsed="false">
      <c r="A53" s="39" t="n">
        <v>4</v>
      </c>
      <c r="B53" s="294" t="s">
        <v>409</v>
      </c>
      <c r="C53" s="291" t="s">
        <v>393</v>
      </c>
      <c r="D53" s="291" t="s">
        <v>470</v>
      </c>
      <c r="E53" s="39" t="n">
        <v>4</v>
      </c>
      <c r="F53" s="291" t="s">
        <v>389</v>
      </c>
      <c r="G53" s="287" t="n">
        <v>2.99</v>
      </c>
      <c r="H53" s="306"/>
      <c r="I53" s="85"/>
      <c r="J53" s="291" t="n">
        <f aca="false">'Ocorrências Mensais - FAT'!G72</f>
        <v>4</v>
      </c>
      <c r="K53" s="289" t="n">
        <f aca="false">G53*J53</f>
        <v>11.96</v>
      </c>
      <c r="L53" s="50" t="n">
        <f aca="false">IF(F53="MENSAL",1,IF(F53="BIMESTRAL",2,IF(F53="TRIMESTRAL",3,IF(F53="QUADRIMESTRAL",4,IF(F53="SEMESTRAL",6,IF(F53="ANUAL",12,IF(F53="BIENAL",24,"")))))))</f>
        <v>1</v>
      </c>
      <c r="N53" s="307" t="n">
        <v>1.2</v>
      </c>
      <c r="O53" s="50" t="n">
        <f aca="false">ROUND(IF(Dados!$J$56="SIM",N53*Dados!$N$56,N53),2)</f>
        <v>1.2</v>
      </c>
      <c r="P53" s="50" t="n">
        <f aca="false">ROUND(IF(Dados!$J$57="SIM",O53*Dados!$N$57,O53),2)</f>
        <v>1.2</v>
      </c>
      <c r="Q53" s="50" t="n">
        <f aca="false">ROUND(IF(Dados!$J$58="SIM",P53*Dados!$N$58,P53),2)</f>
        <v>1.2</v>
      </c>
      <c r="R53" s="50" t="n">
        <f aca="false">ROUND(IF(Dados!$J$59="SIM",Q53*Dados!$N$59,Q53),2)</f>
        <v>1.2</v>
      </c>
      <c r="S53" s="100" t="n">
        <f aca="false">ROUND(IF(Dados!$J$60="SIM",R53*Dados!$N$60,R53),2)</f>
        <v>1.2</v>
      </c>
    </row>
    <row r="54" customFormat="false" ht="20.85" hidden="false" customHeight="false" outlineLevel="0" collapsed="false">
      <c r="A54" s="39" t="n">
        <v>5</v>
      </c>
      <c r="B54" s="294" t="s">
        <v>411</v>
      </c>
      <c r="C54" s="291" t="s">
        <v>393</v>
      </c>
      <c r="D54" s="291" t="s">
        <v>412</v>
      </c>
      <c r="E54" s="39" t="n">
        <v>1</v>
      </c>
      <c r="F54" s="291" t="s">
        <v>395</v>
      </c>
      <c r="G54" s="287" t="n">
        <v>5.57</v>
      </c>
      <c r="H54" s="306"/>
      <c r="I54" s="85"/>
      <c r="J54" s="291" t="n">
        <f aca="false">'Ocorrências Mensais - FAT'!G73</f>
        <v>0.333333333333333</v>
      </c>
      <c r="K54" s="289" t="n">
        <f aca="false">G54*J54</f>
        <v>1.85666666666667</v>
      </c>
      <c r="L54" s="50" t="n">
        <f aca="false">IF(F54="MENSAL",1,IF(F54="BIMESTRAL",2,IF(F54="TRIMESTRAL",3,IF(F54="QUADRIMESTRAL",4,IF(F54="SEMESTRAL",6,IF(F54="ANUAL",12,IF(F54="BIENAL",24,"")))))))</f>
        <v>3</v>
      </c>
      <c r="N54" s="307" t="n">
        <v>1.5</v>
      </c>
      <c r="O54" s="50" t="n">
        <f aca="false">ROUND(IF(Dados!$J$56="SIM",N54*Dados!$N$56,N54),2)</f>
        <v>1.5</v>
      </c>
      <c r="P54" s="50" t="n">
        <f aca="false">ROUND(IF(Dados!$J$57="SIM",O54*Dados!$N$57,O54),2)</f>
        <v>1.5</v>
      </c>
      <c r="Q54" s="50" t="n">
        <f aca="false">ROUND(IF(Dados!$J$58="SIM",P54*Dados!$N$58,P54),2)</f>
        <v>1.5</v>
      </c>
      <c r="R54" s="50" t="n">
        <f aca="false">ROUND(IF(Dados!$J$59="SIM",Q54*Dados!$N$59,Q54),2)</f>
        <v>1.5</v>
      </c>
      <c r="S54" s="100" t="n">
        <f aca="false">ROUND(IF(Dados!$J$60="SIM",R54*Dados!$N$60,R54),2)</f>
        <v>1.5</v>
      </c>
    </row>
    <row r="55" customFormat="false" ht="40.25" hidden="false" customHeight="false" outlineLevel="0" collapsed="false">
      <c r="A55" s="39" t="n">
        <v>6</v>
      </c>
      <c r="B55" s="294" t="s">
        <v>415</v>
      </c>
      <c r="C55" s="291" t="s">
        <v>393</v>
      </c>
      <c r="D55" s="291" t="s">
        <v>417</v>
      </c>
      <c r="E55" s="39" t="n">
        <v>2</v>
      </c>
      <c r="F55" s="291" t="s">
        <v>389</v>
      </c>
      <c r="G55" s="287" t="n">
        <v>6.4</v>
      </c>
      <c r="H55" s="306"/>
      <c r="I55" s="85"/>
      <c r="J55" s="291" t="n">
        <f aca="false">'Ocorrências Mensais - FAT'!G74</f>
        <v>2</v>
      </c>
      <c r="K55" s="289" t="n">
        <f aca="false">G55*J55</f>
        <v>12.8</v>
      </c>
      <c r="L55" s="50" t="n">
        <f aca="false">IF(F55="MENSAL",1,IF(F55="BIMESTRAL",2,IF(F55="TRIMESTRAL",3,IF(F55="QUADRIMESTRAL",4,IF(F55="SEMESTRAL",6,IF(F55="ANUAL",12,IF(F55="BIENAL",24,"")))))))</f>
        <v>1</v>
      </c>
      <c r="N55" s="307" t="n">
        <v>1.6</v>
      </c>
      <c r="O55" s="50" t="n">
        <f aca="false">ROUND(IF(Dados!$J$56="SIM",N55*Dados!$N$56,N55),2)</f>
        <v>1.6</v>
      </c>
      <c r="P55" s="50" t="n">
        <f aca="false">ROUND(IF(Dados!$J$57="SIM",O55*Dados!$N$57,O55),2)</f>
        <v>1.6</v>
      </c>
      <c r="Q55" s="50" t="n">
        <f aca="false">ROUND(IF(Dados!$J$58="SIM",P55*Dados!$N$58,P55),2)</f>
        <v>1.6</v>
      </c>
      <c r="R55" s="50" t="n">
        <f aca="false">ROUND(IF(Dados!$J$59="SIM",Q55*Dados!$N$59,Q55),2)</f>
        <v>1.6</v>
      </c>
      <c r="S55" s="100" t="n">
        <f aca="false">ROUND(IF(Dados!$J$60="SIM",R55*Dados!$N$60,R55),2)</f>
        <v>1.6</v>
      </c>
    </row>
    <row r="56" customFormat="false" ht="30.55" hidden="false" customHeight="false" outlineLevel="0" collapsed="false">
      <c r="A56" s="39" t="n">
        <v>7</v>
      </c>
      <c r="B56" s="290" t="s">
        <v>471</v>
      </c>
      <c r="C56" s="291" t="s">
        <v>440</v>
      </c>
      <c r="D56" s="291" t="s">
        <v>419</v>
      </c>
      <c r="E56" s="39" t="n">
        <v>1</v>
      </c>
      <c r="F56" s="291" t="s">
        <v>389</v>
      </c>
      <c r="G56" s="287" t="n">
        <v>2.94</v>
      </c>
      <c r="H56" s="306"/>
      <c r="I56" s="85"/>
      <c r="J56" s="291" t="n">
        <f aca="false">'Ocorrências Mensais - FAT'!G75</f>
        <v>1</v>
      </c>
      <c r="K56" s="289" t="n">
        <f aca="false">G56*J56</f>
        <v>2.94</v>
      </c>
      <c r="L56" s="50" t="n">
        <f aca="false">IF(F56="MENSAL",1,IF(F56="BIMESTRAL",2,IF(F56="TRIMESTRAL",3,IF(F56="QUADRIMESTRAL",4,IF(F56="SEMESTRAL",6,IF(F56="ANUAL",12,IF(F56="BIENAL",24,"")))))))</f>
        <v>1</v>
      </c>
      <c r="N56" s="307" t="n">
        <v>1.3</v>
      </c>
      <c r="O56" s="50" t="n">
        <f aca="false">ROUND(IF(Dados!$J$56="SIM",N56*Dados!$N$56,N56),2)</f>
        <v>1.3</v>
      </c>
      <c r="P56" s="50" t="n">
        <f aca="false">ROUND(IF(Dados!$J$57="SIM",O56*Dados!$N$57,O56),2)</f>
        <v>1.3</v>
      </c>
      <c r="Q56" s="50" t="n">
        <f aca="false">ROUND(IF(Dados!$J$58="SIM",P56*Dados!$N$58,P56),2)</f>
        <v>1.3</v>
      </c>
      <c r="R56" s="50" t="n">
        <f aca="false">ROUND(IF(Dados!$J$59="SIM",Q56*Dados!$N$59,Q56),2)</f>
        <v>1.3</v>
      </c>
      <c r="S56" s="100" t="n">
        <f aca="false">ROUND(IF(Dados!$J$60="SIM",R56*Dados!$N$60,R56),2)</f>
        <v>1.3</v>
      </c>
    </row>
    <row r="57" customFormat="false" ht="79.1" hidden="false" customHeight="false" outlineLevel="0" collapsed="false">
      <c r="A57" s="39" t="n">
        <v>8</v>
      </c>
      <c r="B57" s="294" t="s">
        <v>472</v>
      </c>
      <c r="C57" s="291" t="s">
        <v>393</v>
      </c>
      <c r="D57" s="291" t="s">
        <v>456</v>
      </c>
      <c r="E57" s="39" t="n">
        <v>2</v>
      </c>
      <c r="F57" s="291" t="s">
        <v>389</v>
      </c>
      <c r="G57" s="287" t="n">
        <v>4.28</v>
      </c>
      <c r="H57" s="306"/>
      <c r="I57" s="85"/>
      <c r="J57" s="291" t="n">
        <f aca="false">'Ocorrências Mensais - FAT'!G76</f>
        <v>2</v>
      </c>
      <c r="K57" s="289" t="n">
        <f aca="false">G57*J57</f>
        <v>8.56</v>
      </c>
      <c r="L57" s="50" t="n">
        <f aca="false">IF(F57="MENSAL",1,IF(F57="BIMESTRAL",2,IF(F57="TRIMESTRAL",3,IF(F57="QUADRIMESTRAL",4,IF(F57="SEMESTRAL",6,IF(F57="ANUAL",12,IF(F57="BIENAL",24,"")))))))</f>
        <v>1</v>
      </c>
      <c r="N57" s="307" t="n">
        <v>1.2</v>
      </c>
      <c r="O57" s="50" t="n">
        <f aca="false">ROUND(IF(Dados!$J$56="SIM",N57*Dados!$N$56,N57),2)</f>
        <v>1.2</v>
      </c>
      <c r="P57" s="50" t="n">
        <f aca="false">ROUND(IF(Dados!$J$57="SIM",O57*Dados!$N$57,O57),2)</f>
        <v>1.2</v>
      </c>
      <c r="Q57" s="50" t="n">
        <f aca="false">ROUND(IF(Dados!$J$58="SIM",P57*Dados!$N$58,P57),2)</f>
        <v>1.2</v>
      </c>
      <c r="R57" s="50" t="n">
        <f aca="false">ROUND(IF(Dados!$J$59="SIM",Q57*Dados!$N$59,Q57),2)</f>
        <v>1.2</v>
      </c>
      <c r="S57" s="100" t="n">
        <f aca="false">ROUND(IF(Dados!$J$60="SIM",R57*Dados!$N$60,R57),2)</f>
        <v>1.2</v>
      </c>
    </row>
    <row r="58" customFormat="false" ht="49.95" hidden="false" customHeight="false" outlineLevel="0" collapsed="false">
      <c r="A58" s="39" t="n">
        <v>9</v>
      </c>
      <c r="B58" s="294" t="s">
        <v>473</v>
      </c>
      <c r="C58" s="291" t="s">
        <v>440</v>
      </c>
      <c r="D58" s="291" t="s">
        <v>474</v>
      </c>
      <c r="E58" s="39" t="n">
        <v>4</v>
      </c>
      <c r="F58" s="291" t="s">
        <v>389</v>
      </c>
      <c r="G58" s="287" t="n">
        <v>5.95</v>
      </c>
      <c r="H58" s="306"/>
      <c r="I58" s="85"/>
      <c r="J58" s="291" t="n">
        <f aca="false">'Ocorrências Mensais - FAT'!G77</f>
        <v>4</v>
      </c>
      <c r="K58" s="289" t="n">
        <f aca="false">G58*J58</f>
        <v>23.8</v>
      </c>
      <c r="L58" s="50" t="n">
        <f aca="false">IF(F58="MENSAL",1,IF(F58="BIMESTRAL",2,IF(F58="TRIMESTRAL",3,IF(F58="QUADRIMESTRAL",4,IF(F58="SEMESTRAL",6,IF(F58="ANUAL",12,IF(F58="BIENAL",24,"")))))))</f>
        <v>1</v>
      </c>
      <c r="N58" s="307" t="n">
        <v>1.4</v>
      </c>
      <c r="O58" s="50" t="n">
        <f aca="false">ROUND(IF(Dados!$J$56="SIM",N58*Dados!$N$56,N58),2)</f>
        <v>1.4</v>
      </c>
      <c r="P58" s="50" t="n">
        <f aca="false">ROUND(IF(Dados!$J$57="SIM",O58*Dados!$N$57,O58),2)</f>
        <v>1.4</v>
      </c>
      <c r="Q58" s="50" t="n">
        <f aca="false">ROUND(IF(Dados!$J$58="SIM",P58*Dados!$N$58,P58),2)</f>
        <v>1.4</v>
      </c>
      <c r="R58" s="50" t="n">
        <f aca="false">ROUND(IF(Dados!$J$59="SIM",Q58*Dados!$N$59,Q58),2)</f>
        <v>1.4</v>
      </c>
      <c r="S58" s="100" t="n">
        <f aca="false">ROUND(IF(Dados!$J$60="SIM",R58*Dados!$N$60,R58),2)</f>
        <v>1.4</v>
      </c>
    </row>
    <row r="59" customFormat="false" ht="40.25" hidden="false" customHeight="false" outlineLevel="0" collapsed="false">
      <c r="A59" s="50" t="n">
        <v>10</v>
      </c>
      <c r="B59" s="290" t="s">
        <v>475</v>
      </c>
      <c r="C59" s="291" t="s">
        <v>433</v>
      </c>
      <c r="D59" s="291" t="s">
        <v>434</v>
      </c>
      <c r="E59" s="39" t="n">
        <v>1</v>
      </c>
      <c r="F59" s="291" t="s">
        <v>389</v>
      </c>
      <c r="G59" s="287" t="n">
        <v>13.38</v>
      </c>
      <c r="H59" s="306"/>
      <c r="I59" s="85"/>
      <c r="J59" s="291" t="n">
        <f aca="false">'Ocorrências Mensais - FAT'!G78</f>
        <v>1</v>
      </c>
      <c r="K59" s="289" t="n">
        <f aca="false">G59*J59</f>
        <v>13.38</v>
      </c>
      <c r="L59" s="50" t="n">
        <f aca="false">IF(F59="MENSAL",1,IF(F59="BIMESTRAL",2,IF(F59="TRIMESTRAL",3,IF(F59="QUADRIMESTRAL",4,IF(F59="SEMESTRAL",6,IF(F59="ANUAL",12,IF(F59="BIENAL",24,"")))))))</f>
        <v>1</v>
      </c>
      <c r="N59" s="307" t="n">
        <v>1.2</v>
      </c>
      <c r="O59" s="50" t="n">
        <f aca="false">ROUND(IF(Dados!$J$56="SIM",N59*Dados!$N$56,N59),2)</f>
        <v>1.2</v>
      </c>
      <c r="P59" s="50" t="n">
        <f aca="false">ROUND(IF(Dados!$J$57="SIM",O59*Dados!$N$57,O59),2)</f>
        <v>1.2</v>
      </c>
      <c r="Q59" s="50" t="n">
        <f aca="false">ROUND(IF(Dados!$J$58="SIM",P59*Dados!$N$58,P59),2)</f>
        <v>1.2</v>
      </c>
      <c r="R59" s="50" t="n">
        <f aca="false">ROUND(IF(Dados!$J$59="SIM",Q59*Dados!$N$59,Q59),2)</f>
        <v>1.2</v>
      </c>
      <c r="S59" s="100" t="n">
        <f aca="false">ROUND(IF(Dados!$J$60="SIM",R59*Dados!$N$60,R59),2)</f>
        <v>1.2</v>
      </c>
    </row>
    <row r="60" customFormat="false" ht="49.95" hidden="false" customHeight="false" outlineLevel="0" collapsed="false">
      <c r="A60" s="50" t="n">
        <v>11</v>
      </c>
      <c r="B60" s="290" t="s">
        <v>476</v>
      </c>
      <c r="C60" s="291" t="s">
        <v>393</v>
      </c>
      <c r="D60" s="291" t="s">
        <v>430</v>
      </c>
      <c r="E60" s="39" t="n">
        <v>1</v>
      </c>
      <c r="F60" s="291" t="s">
        <v>389</v>
      </c>
      <c r="G60" s="287" t="n">
        <v>5.08</v>
      </c>
      <c r="H60" s="306"/>
      <c r="I60" s="85"/>
      <c r="J60" s="291" t="n">
        <f aca="false">'Ocorrências Mensais - FAT'!G79</f>
        <v>1</v>
      </c>
      <c r="K60" s="289" t="n">
        <f aca="false">G60*J60</f>
        <v>5.08</v>
      </c>
      <c r="L60" s="50" t="n">
        <f aca="false">IF(F60="MENSAL",1,IF(F60="BIMESTRAL",2,IF(F60="TRIMESTRAL",3,IF(F60="QUADRIMESTRAL",4,IF(F60="SEMESTRAL",6,IF(F60="ANUAL",12,IF(F60="BIENAL",24,"")))))))</f>
        <v>1</v>
      </c>
      <c r="N60" s="307"/>
      <c r="O60" s="50"/>
      <c r="P60" s="50"/>
      <c r="Q60" s="50"/>
      <c r="R60" s="50"/>
      <c r="S60" s="100"/>
    </row>
    <row r="61" customFormat="false" ht="20.85" hidden="false" customHeight="false" outlineLevel="0" collapsed="false">
      <c r="A61" s="50" t="n">
        <v>12</v>
      </c>
      <c r="B61" s="294" t="s">
        <v>477</v>
      </c>
      <c r="C61" s="291" t="s">
        <v>393</v>
      </c>
      <c r="D61" s="291" t="s">
        <v>434</v>
      </c>
      <c r="E61" s="39" t="n">
        <v>1</v>
      </c>
      <c r="F61" s="291" t="s">
        <v>404</v>
      </c>
      <c r="G61" s="287" t="n">
        <v>13.09</v>
      </c>
      <c r="H61" s="306"/>
      <c r="I61" s="85"/>
      <c r="J61" s="291" t="n">
        <f aca="false">'Ocorrências Mensais - FAT'!G80</f>
        <v>0.166666666666667</v>
      </c>
      <c r="K61" s="289" t="n">
        <f aca="false">G61*J61</f>
        <v>2.18166666666667</v>
      </c>
      <c r="L61" s="50" t="n">
        <f aca="false">IF(F61="MENSAL",1,IF(F61="BIMESTRAL",2,IF(F61="TRIMESTRAL",3,IF(F61="QUADRIMESTRAL",4,IF(F61="SEMESTRAL",6,IF(F61="ANUAL",12,IF(F61="BIENAL",24,"")))))))</f>
        <v>6</v>
      </c>
      <c r="N61" s="307"/>
      <c r="O61" s="50"/>
      <c r="P61" s="50"/>
      <c r="Q61" s="50"/>
      <c r="R61" s="50"/>
      <c r="S61" s="100"/>
    </row>
    <row r="62" customFormat="false" ht="15" hidden="false" customHeight="false" outlineLevel="0" collapsed="false">
      <c r="A62" s="50" t="n">
        <v>13</v>
      </c>
      <c r="B62" s="290" t="s">
        <v>478</v>
      </c>
      <c r="C62" s="291" t="s">
        <v>393</v>
      </c>
      <c r="D62" s="291" t="s">
        <v>479</v>
      </c>
      <c r="E62" s="39" t="n">
        <v>2</v>
      </c>
      <c r="F62" s="291" t="s">
        <v>389</v>
      </c>
      <c r="G62" s="287" t="n">
        <v>10</v>
      </c>
      <c r="H62" s="306"/>
      <c r="I62" s="85"/>
      <c r="J62" s="291" t="n">
        <f aca="false">'Ocorrências Mensais - FAT'!G81</f>
        <v>2</v>
      </c>
      <c r="K62" s="289" t="n">
        <f aca="false">G62*J62</f>
        <v>20</v>
      </c>
      <c r="L62" s="50" t="n">
        <f aca="false">IF(F62="MENSAL",1,IF(F62="BIMESTRAL",2,IF(F62="TRIMESTRAL",3,IF(F62="QUADRIMESTRAL",4,IF(F62="SEMESTRAL",6,IF(F62="ANUAL",12,IF(F62="BIENAL",24,"")))))))</f>
        <v>1</v>
      </c>
      <c r="N62" s="307"/>
      <c r="O62" s="50"/>
      <c r="P62" s="50"/>
      <c r="Q62" s="50"/>
      <c r="R62" s="50"/>
      <c r="S62" s="100"/>
    </row>
    <row r="63" customFormat="false" ht="59.7" hidden="false" customHeight="false" outlineLevel="0" collapsed="false">
      <c r="A63" s="50" t="n">
        <v>14</v>
      </c>
      <c r="B63" s="290" t="s">
        <v>480</v>
      </c>
      <c r="C63" s="291" t="s">
        <v>393</v>
      </c>
      <c r="D63" s="291" t="s">
        <v>445</v>
      </c>
      <c r="E63" s="39" t="n">
        <v>1</v>
      </c>
      <c r="F63" s="291" t="s">
        <v>404</v>
      </c>
      <c r="G63" s="287" t="n">
        <v>25.67</v>
      </c>
      <c r="H63" s="306"/>
      <c r="I63" s="85"/>
      <c r="J63" s="291" t="n">
        <f aca="false">'Ocorrências Mensais - FAT'!G82</f>
        <v>0.166666666666667</v>
      </c>
      <c r="K63" s="289" t="n">
        <f aca="false">G63*J63</f>
        <v>4.27833333333333</v>
      </c>
      <c r="L63" s="50" t="n">
        <f aca="false">IF(F63="MENSAL",1,IF(F63="BIMESTRAL",2,IF(F63="TRIMESTRAL",3,IF(F63="QUADRIMESTRAL",4,IF(F63="SEMESTRAL",6,IF(F63="ANUAL",12,IF(F63="BIENAL",24,"")))))))</f>
        <v>6</v>
      </c>
      <c r="N63" s="307"/>
      <c r="O63" s="50"/>
      <c r="P63" s="50"/>
      <c r="Q63" s="50"/>
      <c r="R63" s="50"/>
      <c r="S63" s="100"/>
    </row>
    <row r="64" customFormat="false" ht="15" hidden="false" customHeight="false" outlineLevel="0" collapsed="false">
      <c r="A64" s="50" t="n">
        <v>15</v>
      </c>
      <c r="B64" s="290" t="s">
        <v>481</v>
      </c>
      <c r="C64" s="291" t="s">
        <v>393</v>
      </c>
      <c r="D64" s="291" t="s">
        <v>447</v>
      </c>
      <c r="E64" s="39" t="n">
        <v>2</v>
      </c>
      <c r="F64" s="291" t="s">
        <v>389</v>
      </c>
      <c r="G64" s="287" t="n">
        <v>12</v>
      </c>
      <c r="H64" s="306"/>
      <c r="I64" s="85"/>
      <c r="J64" s="291" t="n">
        <f aca="false">'Ocorrências Mensais - FAT'!G83</f>
        <v>2</v>
      </c>
      <c r="K64" s="289" t="n">
        <f aca="false">G64*J64</f>
        <v>24</v>
      </c>
      <c r="L64" s="50" t="n">
        <f aca="false">IF(F64="MENSAL",1,IF(F64="BIMESTRAL",2,IF(F64="TRIMESTRAL",3,IF(F64="QUADRIMESTRAL",4,IF(F64="SEMESTRAL",6,IF(F64="ANUAL",12,IF(F64="BIENAL",24,"")))))))</f>
        <v>1</v>
      </c>
      <c r="N64" s="307"/>
      <c r="O64" s="50"/>
      <c r="P64" s="50"/>
      <c r="Q64" s="50"/>
      <c r="R64" s="50"/>
      <c r="S64" s="100"/>
    </row>
    <row r="65" customFormat="false" ht="20.85" hidden="false" customHeight="false" outlineLevel="0" collapsed="false">
      <c r="A65" s="50" t="n">
        <v>16</v>
      </c>
      <c r="B65" s="290" t="s">
        <v>482</v>
      </c>
      <c r="C65" s="291" t="s">
        <v>393</v>
      </c>
      <c r="D65" s="291" t="s">
        <v>483</v>
      </c>
      <c r="E65" s="39" t="n">
        <v>1</v>
      </c>
      <c r="F65" s="291" t="s">
        <v>401</v>
      </c>
      <c r="G65" s="287" t="n">
        <v>8.23</v>
      </c>
      <c r="H65" s="306"/>
      <c r="I65" s="85"/>
      <c r="J65" s="291" t="n">
        <f aca="false">'Ocorrências Mensais - FAT'!G84</f>
        <v>0.5</v>
      </c>
      <c r="K65" s="289" t="n">
        <f aca="false">G65*J65</f>
        <v>4.115</v>
      </c>
      <c r="L65" s="50" t="n">
        <f aca="false">IF(F65="MENSAL",1,IF(F65="BIMESTRAL",2,IF(F65="TRIMESTRAL",3,IF(F65="QUADRIMESTRAL",4,IF(F65="SEMESTRAL",6,IF(F65="ANUAL",12,IF(F65="BIENAL",24,"")))))))</f>
        <v>2</v>
      </c>
      <c r="N65" s="307"/>
      <c r="O65" s="50"/>
      <c r="P65" s="50"/>
      <c r="Q65" s="50"/>
      <c r="R65" s="50"/>
      <c r="S65" s="100"/>
    </row>
    <row r="66" customFormat="false" ht="15" hidden="false" customHeight="false" outlineLevel="0" collapsed="false">
      <c r="A66" s="296"/>
      <c r="B66" s="296"/>
      <c r="C66" s="296"/>
      <c r="D66" s="296"/>
      <c r="E66" s="296"/>
      <c r="F66" s="296"/>
      <c r="G66" s="296"/>
      <c r="H66" s="308"/>
      <c r="I66" s="85"/>
      <c r="J66" s="309" t="s">
        <v>199</v>
      </c>
      <c r="K66" s="310" t="n">
        <f aca="false">SUM(K50:K65)</f>
        <v>148.991666666667</v>
      </c>
      <c r="L66" s="85"/>
      <c r="N66" s="4"/>
      <c r="O66" s="4"/>
      <c r="P66" s="4"/>
      <c r="Q66" s="4"/>
      <c r="R66" s="4"/>
      <c r="S66" s="4"/>
    </row>
    <row r="67" customFormat="false" ht="15" hidden="false" customHeight="false" outlineLevel="0" collapsed="false">
      <c r="A67" s="301"/>
      <c r="N67" s="4"/>
      <c r="O67" s="4"/>
      <c r="P67" s="4"/>
      <c r="Q67" s="4"/>
      <c r="R67" s="4"/>
      <c r="S67" s="4"/>
    </row>
  </sheetData>
  <sheetProtection algorithmName="SHA-512" hashValue="lk+5Ty7slAI6fOiH+zCmRopMaytRnFpn/LnIvMdTki30kAO9/UOxRsB4WfVAcx0qEGpjjJrBd3rpV8rEkP+fvw==" saltValue="KYy0e86RqG1B+wnhZzIPhQ==" spinCount="100000" sheet="true" objects="true" scenarios="true"/>
  <mergeCells count="15">
    <mergeCell ref="A4:H4"/>
    <mergeCell ref="A5:H5"/>
    <mergeCell ref="N5:S7"/>
    <mergeCell ref="A6:A8"/>
    <mergeCell ref="B6:D7"/>
    <mergeCell ref="H6:H8"/>
    <mergeCell ref="J7:L7"/>
    <mergeCell ref="A44:G44"/>
    <mergeCell ref="A46:H46"/>
    <mergeCell ref="N46:S48"/>
    <mergeCell ref="A48:A49"/>
    <mergeCell ref="B48:D48"/>
    <mergeCell ref="H48:H49"/>
    <mergeCell ref="J48:L48"/>
    <mergeCell ref="A66:G66"/>
  </mergeCells>
  <dataValidations count="1">
    <dataValidation allowBlank="true" errorStyle="stop" operator="between" showDropDown="false" showErrorMessage="true" showInputMessage="true" sqref="F10:F43 F50:F65" type="list">
      <formula1>"Mensal,Bimestral,Trimestral,Quadrimestral,Semestral,Anual,Bienal"</formula1>
      <formula2>0</formula2>
    </dataValidation>
  </dataValidation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9"/>
  <sheetViews>
    <sheetView showFormulas="false" showGridLines="false" showRowColHeaders="true" showZeros="true" rightToLeft="false" tabSelected="false" showOutlineSymbols="true" defaultGridColor="true" view="pageBreakPreview" topLeftCell="A1" colorId="64" zoomScale="120" zoomScaleNormal="100" zoomScalePageLayoutView="120" workbookViewId="0">
      <selection pane="topLeft" activeCell="C8" activeCellId="0" sqref="C8"/>
    </sheetView>
  </sheetViews>
  <sheetFormatPr defaultColWidth="8.71484375" defaultRowHeight="15" zeroHeight="false" outlineLevelRow="0" outlineLevelCol="0"/>
  <cols>
    <col collapsed="false" customWidth="true" hidden="false" outlineLevel="0" max="1" min="1" style="85" width="5.57"/>
    <col collapsed="false" customWidth="true" hidden="false" outlineLevel="0" max="2" min="2" style="85" width="64.43"/>
    <col collapsed="false" customWidth="true" hidden="false" outlineLevel="0" max="3" min="3" style="85" width="7.86"/>
    <col collapsed="false" customWidth="true" hidden="false" outlineLevel="0" max="6" min="4" style="85" width="13.71"/>
    <col collapsed="false" customWidth="true" hidden="false" outlineLevel="0" max="255" min="7" style="203" width="9"/>
    <col collapsed="false" customWidth="true" hidden="false" outlineLevel="0" max="256" min="256" style="203" width="5.57"/>
    <col collapsed="false" customWidth="true" hidden="false" outlineLevel="0" max="257" min="257" style="203" width="45.14"/>
    <col collapsed="false" customWidth="true" hidden="false" outlineLevel="0" max="258" min="258" style="203" width="6.29"/>
    <col collapsed="false" customWidth="true" hidden="false" outlineLevel="0" max="262" min="259" style="203" width="13.71"/>
    <col collapsed="false" customWidth="true" hidden="false" outlineLevel="0" max="511" min="263" style="203" width="9"/>
    <col collapsed="false" customWidth="true" hidden="false" outlineLevel="0" max="512" min="512" style="203" width="5.57"/>
    <col collapsed="false" customWidth="true" hidden="false" outlineLevel="0" max="513" min="513" style="203" width="45.14"/>
    <col collapsed="false" customWidth="true" hidden="false" outlineLevel="0" max="514" min="514" style="203" width="6.29"/>
    <col collapsed="false" customWidth="true" hidden="false" outlineLevel="0" max="518" min="515" style="203" width="13.71"/>
    <col collapsed="false" customWidth="true" hidden="false" outlineLevel="0" max="767" min="519" style="203" width="9"/>
    <col collapsed="false" customWidth="true" hidden="false" outlineLevel="0" max="768" min="768" style="203" width="5.57"/>
    <col collapsed="false" customWidth="true" hidden="false" outlineLevel="0" max="769" min="769" style="203" width="45.14"/>
    <col collapsed="false" customWidth="true" hidden="false" outlineLevel="0" max="770" min="770" style="203" width="6.29"/>
    <col collapsed="false" customWidth="true" hidden="false" outlineLevel="0" max="774" min="771" style="203" width="13.71"/>
    <col collapsed="false" customWidth="true" hidden="false" outlineLevel="0" max="1024" min="775" style="203" width="9"/>
  </cols>
  <sheetData>
    <row r="1" s="85" customFormat="true" ht="11.25" hidden="false" customHeight="true" outlineLevel="0" collapsed="false">
      <c r="A1" s="204"/>
      <c r="B1" s="123" t="str">
        <f aca="false">INSTRUÇÕES!B1</f>
        <v>Tribunal Regional Federal da 6ª Região</v>
      </c>
      <c r="C1" s="311"/>
      <c r="D1" s="312"/>
      <c r="E1" s="312"/>
      <c r="F1" s="313"/>
    </row>
    <row r="2" s="85" customFormat="true" ht="11.25" hidden="false" customHeight="true" outlineLevel="0" collapsed="false">
      <c r="A2" s="206"/>
      <c r="B2" s="125" t="str">
        <f aca="false">INSTRUÇÕES!B2</f>
        <v>Seção Judiciária de Minas Gerais</v>
      </c>
      <c r="C2" s="314"/>
      <c r="D2" s="315"/>
      <c r="E2" s="315"/>
      <c r="F2" s="316"/>
    </row>
    <row r="3" s="85" customFormat="true" ht="10.5" hidden="false" customHeight="true" outlineLevel="0" collapsed="false">
      <c r="A3" s="208"/>
      <c r="B3" s="125" t="str">
        <f aca="false">INSTRUÇÕES!B3</f>
        <v>Subseção Judiciária de Lavras</v>
      </c>
      <c r="C3" s="314"/>
      <c r="D3" s="315"/>
      <c r="E3" s="315"/>
      <c r="F3" s="316"/>
    </row>
    <row r="4" s="85" customFormat="true" ht="21.75" hidden="false" customHeight="true" outlineLevel="0" collapsed="false">
      <c r="A4" s="317" t="s">
        <v>484</v>
      </c>
      <c r="B4" s="317"/>
      <c r="C4" s="317"/>
      <c r="D4" s="317"/>
      <c r="E4" s="317"/>
      <c r="F4" s="317"/>
    </row>
    <row r="5" s="85" customFormat="true" ht="26.25" hidden="false" customHeight="true" outlineLevel="0" collapsed="false">
      <c r="A5" s="318" t="s">
        <v>377</v>
      </c>
      <c r="B5" s="318"/>
      <c r="C5" s="318"/>
      <c r="D5" s="318"/>
      <c r="E5" s="318"/>
      <c r="F5" s="318"/>
    </row>
    <row r="6" s="85" customFormat="true" ht="15" hidden="false" customHeight="false" outlineLevel="0" collapsed="false">
      <c r="A6" s="319"/>
      <c r="B6" s="320"/>
      <c r="C6" s="320"/>
      <c r="D6" s="320" t="s">
        <v>485</v>
      </c>
      <c r="E6" s="320"/>
      <c r="F6" s="321"/>
    </row>
    <row r="7" s="85" customFormat="true" ht="15" hidden="false" customHeight="false" outlineLevel="0" collapsed="false">
      <c r="A7" s="322" t="s">
        <v>486</v>
      </c>
      <c r="B7" s="274" t="s">
        <v>487</v>
      </c>
      <c r="C7" s="274" t="s">
        <v>488</v>
      </c>
      <c r="D7" s="323" t="s">
        <v>489</v>
      </c>
      <c r="E7" s="323" t="s">
        <v>490</v>
      </c>
      <c r="F7" s="324" t="s">
        <v>491</v>
      </c>
    </row>
    <row r="8" s="85" customFormat="true" ht="54" hidden="false" customHeight="true" outlineLevel="0" collapsed="false">
      <c r="A8" s="325" t="n">
        <v>1</v>
      </c>
      <c r="B8" s="326" t="s">
        <v>492</v>
      </c>
      <c r="C8" s="327" t="n">
        <v>2</v>
      </c>
      <c r="D8" s="328" t="n">
        <v>59.29</v>
      </c>
      <c r="E8" s="329" t="n">
        <f aca="false">D8*C8</f>
        <v>118.58</v>
      </c>
      <c r="F8" s="330" t="n">
        <f aca="false">ROUND(E8/12,2)</f>
        <v>9.88</v>
      </c>
    </row>
    <row r="9" s="85" customFormat="true" ht="15.75" hidden="false" customHeight="true" outlineLevel="0" collapsed="false">
      <c r="A9" s="331" t="s">
        <v>493</v>
      </c>
      <c r="B9" s="331"/>
      <c r="C9" s="331"/>
      <c r="D9" s="331"/>
      <c r="E9" s="331"/>
      <c r="F9" s="332" t="n">
        <f aca="false">F8</f>
        <v>9.88</v>
      </c>
    </row>
  </sheetData>
  <sheetProtection sheet="true" password="c4d4" objects="true" scenarios="true"/>
  <mergeCells count="3">
    <mergeCell ref="A4:F4"/>
    <mergeCell ref="A5:F5"/>
    <mergeCell ref="A9:E9"/>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11"/>
  <sheetViews>
    <sheetView showFormulas="false" showGridLines="false" showRowColHeaders="true" showZeros="true" rightToLeft="false" tabSelected="false" showOutlineSymbols="true" defaultGridColor="true" view="pageBreakPreview" topLeftCell="A1" colorId="64" zoomScale="120" zoomScaleNormal="100" zoomScalePageLayoutView="120" workbookViewId="0">
      <selection pane="topLeft" activeCell="D10" activeCellId="0" sqref="D10"/>
    </sheetView>
  </sheetViews>
  <sheetFormatPr defaultColWidth="8.71484375" defaultRowHeight="15" zeroHeight="false" outlineLevelRow="0" outlineLevelCol="0"/>
  <cols>
    <col collapsed="false" customWidth="true" hidden="false" outlineLevel="0" max="1" min="1" style="85" width="5.57"/>
    <col collapsed="false" customWidth="true" hidden="false" outlineLevel="0" max="2" min="2" style="85" width="64.71"/>
    <col collapsed="false" customWidth="true" hidden="false" outlineLevel="0" max="3" min="3" style="85" width="7.86"/>
    <col collapsed="false" customWidth="true" hidden="false" outlineLevel="0" max="7" min="4" style="85" width="13.71"/>
    <col collapsed="false" customWidth="true" hidden="false" outlineLevel="0" max="256" min="8" style="203" width="9"/>
    <col collapsed="false" customWidth="true" hidden="false" outlineLevel="0" max="257" min="257" style="203" width="5.57"/>
    <col collapsed="false" customWidth="true" hidden="false" outlineLevel="0" max="258" min="258" style="203" width="45.14"/>
    <col collapsed="false" customWidth="true" hidden="false" outlineLevel="0" max="259" min="259" style="203" width="6.29"/>
    <col collapsed="false" customWidth="true" hidden="false" outlineLevel="0" max="263" min="260" style="203" width="13.71"/>
    <col collapsed="false" customWidth="true" hidden="false" outlineLevel="0" max="512" min="264" style="203" width="9"/>
    <col collapsed="false" customWidth="true" hidden="false" outlineLevel="0" max="513" min="513" style="203" width="5.57"/>
    <col collapsed="false" customWidth="true" hidden="false" outlineLevel="0" max="514" min="514" style="203" width="45.14"/>
    <col collapsed="false" customWidth="true" hidden="false" outlineLevel="0" max="515" min="515" style="203" width="6.29"/>
    <col collapsed="false" customWidth="true" hidden="false" outlineLevel="0" max="519" min="516" style="203" width="13.71"/>
    <col collapsed="false" customWidth="true" hidden="false" outlineLevel="0" max="768" min="520" style="203" width="9"/>
    <col collapsed="false" customWidth="true" hidden="false" outlineLevel="0" max="769" min="769" style="203" width="5.57"/>
    <col collapsed="false" customWidth="true" hidden="false" outlineLevel="0" max="770" min="770" style="203" width="45.14"/>
    <col collapsed="false" customWidth="true" hidden="false" outlineLevel="0" max="771" min="771" style="203" width="6.29"/>
    <col collapsed="false" customWidth="true" hidden="false" outlineLevel="0" max="775" min="772" style="203" width="13.71"/>
    <col collapsed="false" customWidth="true" hidden="false" outlineLevel="0" max="1025" min="776" style="203" width="9"/>
  </cols>
  <sheetData>
    <row r="1" s="85" customFormat="true" ht="11.25" hidden="false" customHeight="true" outlineLevel="0" collapsed="false">
      <c r="A1" s="204"/>
      <c r="B1" s="123" t="str">
        <f aca="false">INSTRUÇÕES!B1</f>
        <v>Tribunal Regional Federal da 6ª Região</v>
      </c>
      <c r="C1" s="311"/>
      <c r="D1" s="312"/>
      <c r="E1" s="312"/>
      <c r="F1" s="312"/>
      <c r="G1" s="313"/>
    </row>
    <row r="2" s="85" customFormat="true" ht="11.25" hidden="false" customHeight="true" outlineLevel="0" collapsed="false">
      <c r="A2" s="206"/>
      <c r="B2" s="125" t="str">
        <f aca="false">INSTRUÇÕES!B2</f>
        <v>Seção Judiciária de Minas Gerais</v>
      </c>
      <c r="C2" s="314"/>
      <c r="D2" s="315"/>
      <c r="E2" s="315"/>
      <c r="F2" s="315"/>
      <c r="G2" s="316"/>
    </row>
    <row r="3" s="85" customFormat="true" ht="10.5" hidden="false" customHeight="true" outlineLevel="0" collapsed="false">
      <c r="A3" s="208"/>
      <c r="B3" s="125" t="str">
        <f aca="false">INSTRUÇÕES!B3</f>
        <v>Subseção Judiciária de Lavras</v>
      </c>
      <c r="C3" s="314"/>
      <c r="D3" s="315"/>
      <c r="E3" s="315"/>
      <c r="F3" s="315"/>
      <c r="G3" s="316"/>
    </row>
    <row r="4" s="85" customFormat="true" ht="21.75" hidden="false" customHeight="true" outlineLevel="0" collapsed="false">
      <c r="A4" s="317" t="s">
        <v>494</v>
      </c>
      <c r="B4" s="317"/>
      <c r="C4" s="317"/>
      <c r="D4" s="317"/>
      <c r="E4" s="317"/>
      <c r="F4" s="317"/>
      <c r="G4" s="317"/>
    </row>
    <row r="5" s="85" customFormat="true" ht="26.25" hidden="false" customHeight="true" outlineLevel="0" collapsed="false">
      <c r="A5" s="318" t="s">
        <v>377</v>
      </c>
      <c r="B5" s="318"/>
      <c r="C5" s="318"/>
      <c r="D5" s="318"/>
      <c r="E5" s="318"/>
      <c r="F5" s="318"/>
      <c r="G5" s="318"/>
    </row>
    <row r="6" s="85" customFormat="true" ht="15" hidden="false" customHeight="false" outlineLevel="0" collapsed="false">
      <c r="A6" s="319"/>
      <c r="B6" s="320"/>
      <c r="C6" s="320"/>
      <c r="D6" s="320" t="s">
        <v>485</v>
      </c>
      <c r="E6" s="320"/>
      <c r="G6" s="321" t="n">
        <v>0.1</v>
      </c>
    </row>
    <row r="7" s="85" customFormat="true" ht="20.85" hidden="false" customHeight="false" outlineLevel="0" collapsed="false">
      <c r="A7" s="322" t="s">
        <v>486</v>
      </c>
      <c r="B7" s="274" t="s">
        <v>487</v>
      </c>
      <c r="C7" s="274" t="s">
        <v>488</v>
      </c>
      <c r="D7" s="323" t="s">
        <v>489</v>
      </c>
      <c r="E7" s="323" t="s">
        <v>490</v>
      </c>
      <c r="F7" s="323" t="s">
        <v>495</v>
      </c>
      <c r="G7" s="324" t="s">
        <v>491</v>
      </c>
    </row>
    <row r="8" s="85" customFormat="true" ht="15" hidden="false" customHeight="false" outlineLevel="0" collapsed="false">
      <c r="A8" s="333" t="s">
        <v>496</v>
      </c>
      <c r="B8" s="333"/>
      <c r="C8" s="333"/>
      <c r="D8" s="333"/>
      <c r="E8" s="333"/>
      <c r="F8" s="333"/>
      <c r="G8" s="333"/>
    </row>
    <row r="9" s="85" customFormat="true" ht="20.85" hidden="false" customHeight="false" outlineLevel="0" collapsed="false">
      <c r="A9" s="325" t="n">
        <v>1</v>
      </c>
      <c r="B9" s="290" t="s">
        <v>497</v>
      </c>
      <c r="C9" s="334" t="n">
        <v>1</v>
      </c>
      <c r="D9" s="335" t="n">
        <v>598.49</v>
      </c>
      <c r="E9" s="329" t="n">
        <f aca="false">D9*C9</f>
        <v>598.49</v>
      </c>
      <c r="F9" s="329" t="n">
        <f aca="false">ROUND(E9*$G$6,2)</f>
        <v>59.85</v>
      </c>
      <c r="G9" s="330" t="n">
        <f aca="false">ROUND(F9/12,2)</f>
        <v>4.99</v>
      </c>
    </row>
    <row r="10" s="85" customFormat="true" ht="40.25" hidden="false" customHeight="false" outlineLevel="0" collapsed="false">
      <c r="A10" s="325" t="n">
        <v>2</v>
      </c>
      <c r="B10" s="290" t="s">
        <v>498</v>
      </c>
      <c r="C10" s="334" t="n">
        <v>1</v>
      </c>
      <c r="D10" s="335" t="n">
        <v>404.5</v>
      </c>
      <c r="E10" s="329" t="n">
        <f aca="false">D10*C10</f>
        <v>404.5</v>
      </c>
      <c r="F10" s="329" t="n">
        <f aca="false">ROUND(E10*$G$6,2)</f>
        <v>40.45</v>
      </c>
      <c r="G10" s="330" t="n">
        <f aca="false">ROUND(F10/12,2)</f>
        <v>3.37</v>
      </c>
    </row>
    <row r="11" s="85" customFormat="true" ht="15.75" hidden="false" customHeight="true" outlineLevel="0" collapsed="false">
      <c r="A11" s="336" t="s">
        <v>499</v>
      </c>
      <c r="B11" s="336"/>
      <c r="C11" s="336"/>
      <c r="D11" s="336"/>
      <c r="E11" s="336"/>
      <c r="F11" s="336"/>
      <c r="G11" s="332" t="n">
        <f aca="false">SUM(G9:G10)</f>
        <v>8.36</v>
      </c>
    </row>
  </sheetData>
  <sheetProtection algorithmName="SHA-512" hashValue="sfFeppECpFUIPadUq1aMj14KhHqAcOkBjlX4wN8iZ/5C1yxYZxHwhOq09oaCD+YYVt7/wxZAj5Try0eslvIBUw==" saltValue="qhmiV/09K/YklFBgzyx/+Q==" spinCount="100000" sheet="true" objects="true" scenarios="true"/>
  <mergeCells count="4">
    <mergeCell ref="A4:G4"/>
    <mergeCell ref="A5:G5"/>
    <mergeCell ref="A8:G8"/>
    <mergeCell ref="A11:F11"/>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4"/>
  <sheetViews>
    <sheetView showFormulas="false" showGridLines="false" showRowColHeaders="true" showZeros="true" rightToLeft="false" tabSelected="false" showOutlineSymbols="true" defaultGridColor="true" view="pageBreakPreview" topLeftCell="A1" colorId="64" zoomScale="120" zoomScaleNormal="120" zoomScalePageLayoutView="120" workbookViewId="0">
      <selection pane="topLeft" activeCell="H30" activeCellId="0" sqref="H30"/>
    </sheetView>
  </sheetViews>
  <sheetFormatPr defaultColWidth="8.71484375" defaultRowHeight="15" zeroHeight="false" outlineLevelRow="0" outlineLevelCol="0"/>
  <cols>
    <col collapsed="false" customWidth="true" hidden="false" outlineLevel="0" max="1" min="1" style="4" width="13.29"/>
    <col collapsed="false" customWidth="true" hidden="false" outlineLevel="0" max="2" min="2" style="3" width="17.29"/>
    <col collapsed="false" customWidth="true" hidden="false" outlineLevel="0" max="3" min="3" style="337" width="6.14"/>
    <col collapsed="false" customWidth="true" hidden="false" outlineLevel="0" max="4" min="4" style="1" width="56.15"/>
    <col collapsed="false" customWidth="true" hidden="false" outlineLevel="0" max="5" min="5" style="1" width="12.57"/>
    <col collapsed="false" customWidth="true" hidden="false" outlineLevel="0" max="6" min="6" style="337" width="14.86"/>
    <col collapsed="false" customWidth="true" hidden="false" outlineLevel="0" max="7" min="7" style="338" width="12.42"/>
    <col collapsed="false" customWidth="true" hidden="false" outlineLevel="0" max="8" min="8" style="339" width="10.85"/>
    <col collapsed="false" customWidth="true" hidden="false" outlineLevel="0" max="9" min="9" style="203" width="9"/>
    <col collapsed="false" customWidth="true" hidden="true" outlineLevel="0" max="10" min="10" style="340" width="16.43"/>
    <col collapsed="false" customWidth="true" hidden="true" outlineLevel="0" max="15" min="11" style="340" width="11.29"/>
    <col collapsed="false" customWidth="true" hidden="false" outlineLevel="0" max="254" min="16" style="203" width="9"/>
    <col collapsed="false" customWidth="true" hidden="false" outlineLevel="0" max="255" min="255" style="203" width="13.29"/>
    <col collapsed="false" customWidth="true" hidden="false" outlineLevel="0" max="256" min="256" style="203" width="7.71"/>
    <col collapsed="false" customWidth="true" hidden="false" outlineLevel="0" max="257" min="257" style="203" width="6.14"/>
    <col collapsed="false" customWidth="true" hidden="false" outlineLevel="0" max="258" min="258" style="203" width="56.15"/>
    <col collapsed="false" customWidth="true" hidden="false" outlineLevel="0" max="259" min="259" style="203" width="9.29"/>
    <col collapsed="false" customWidth="true" hidden="false" outlineLevel="0" max="261" min="260" style="203" width="12.42"/>
    <col collapsed="false" customWidth="true" hidden="false" outlineLevel="0" max="262" min="262" style="203" width="10.85"/>
    <col collapsed="false" customWidth="true" hidden="false" outlineLevel="0" max="265" min="263" style="203" width="9"/>
    <col collapsed="false" customWidth="true" hidden="false" outlineLevel="0" max="266" min="266" style="203" width="11.43"/>
    <col collapsed="false" customWidth="true" hidden="false" outlineLevel="0" max="271" min="267" style="203" width="11.29"/>
    <col collapsed="false" customWidth="true" hidden="false" outlineLevel="0" max="510" min="272" style="203" width="9"/>
    <col collapsed="false" customWidth="true" hidden="false" outlineLevel="0" max="511" min="511" style="203" width="13.29"/>
    <col collapsed="false" customWidth="true" hidden="false" outlineLevel="0" max="512" min="512" style="203" width="7.71"/>
    <col collapsed="false" customWidth="true" hidden="false" outlineLevel="0" max="513" min="513" style="203" width="6.14"/>
    <col collapsed="false" customWidth="true" hidden="false" outlineLevel="0" max="514" min="514" style="203" width="56.15"/>
    <col collapsed="false" customWidth="true" hidden="false" outlineLevel="0" max="515" min="515" style="203" width="9.29"/>
    <col collapsed="false" customWidth="true" hidden="false" outlineLevel="0" max="517" min="516" style="203" width="12.42"/>
    <col collapsed="false" customWidth="true" hidden="false" outlineLevel="0" max="518" min="518" style="203" width="10.85"/>
    <col collapsed="false" customWidth="true" hidden="false" outlineLevel="0" max="521" min="519" style="203" width="9"/>
    <col collapsed="false" customWidth="true" hidden="false" outlineLevel="0" max="522" min="522" style="203" width="11.43"/>
    <col collapsed="false" customWidth="true" hidden="false" outlineLevel="0" max="527" min="523" style="203" width="11.29"/>
    <col collapsed="false" customWidth="true" hidden="false" outlineLevel="0" max="766" min="528" style="203" width="9"/>
    <col collapsed="false" customWidth="true" hidden="false" outlineLevel="0" max="767" min="767" style="203" width="13.29"/>
    <col collapsed="false" customWidth="true" hidden="false" outlineLevel="0" max="768" min="768" style="203" width="7.71"/>
    <col collapsed="false" customWidth="true" hidden="false" outlineLevel="0" max="769" min="769" style="203" width="6.14"/>
    <col collapsed="false" customWidth="true" hidden="false" outlineLevel="0" max="770" min="770" style="203" width="56.15"/>
    <col collapsed="false" customWidth="true" hidden="false" outlineLevel="0" max="771" min="771" style="203" width="9.29"/>
    <col collapsed="false" customWidth="true" hidden="false" outlineLevel="0" max="773" min="772" style="203" width="12.42"/>
    <col collapsed="false" customWidth="true" hidden="false" outlineLevel="0" max="774" min="774" style="203" width="10.85"/>
    <col collapsed="false" customWidth="true" hidden="false" outlineLevel="0" max="777" min="775" style="203" width="9"/>
    <col collapsed="false" customWidth="true" hidden="false" outlineLevel="0" max="778" min="778" style="203" width="11.43"/>
    <col collapsed="false" customWidth="true" hidden="false" outlineLevel="0" max="783" min="779" style="203" width="11.29"/>
    <col collapsed="false" customWidth="true" hidden="false" outlineLevel="0" max="1022" min="784" style="203" width="9"/>
    <col collapsed="false" customWidth="true" hidden="false" outlineLevel="0" max="1023" min="1023" style="203" width="13.29"/>
    <col collapsed="false" customWidth="true" hidden="false" outlineLevel="0" max="1025" min="1024" style="203" width="7.71"/>
  </cols>
  <sheetData>
    <row r="1" s="1" customFormat="true" ht="12.75" hidden="false" customHeight="true" outlineLevel="0" collapsed="false">
      <c r="A1" s="341"/>
      <c r="B1" s="342" t="str">
        <f aca="false">INSTRUÇÕES!B1</f>
        <v>Tribunal Regional Federal da 6ª Região</v>
      </c>
      <c r="C1" s="343"/>
      <c r="D1" s="344"/>
      <c r="E1" s="345"/>
      <c r="F1" s="346"/>
      <c r="G1" s="347"/>
      <c r="H1" s="348"/>
      <c r="J1" s="349" t="s">
        <v>378</v>
      </c>
      <c r="K1" s="349"/>
      <c r="L1" s="349"/>
      <c r="M1" s="349"/>
      <c r="N1" s="349"/>
      <c r="O1" s="349"/>
    </row>
    <row r="2" s="1" customFormat="true" ht="12.75" hidden="false" customHeight="true" outlineLevel="0" collapsed="false">
      <c r="A2" s="350"/>
      <c r="B2" s="351" t="str">
        <f aca="false">INSTRUÇÕES!B2</f>
        <v>Seção Judiciária de Minas Gerais</v>
      </c>
      <c r="C2" s="352"/>
      <c r="D2" s="353"/>
      <c r="F2" s="337"/>
      <c r="G2" s="338"/>
      <c r="H2" s="354"/>
      <c r="J2" s="349"/>
      <c r="K2" s="349"/>
      <c r="L2" s="349"/>
      <c r="M2" s="349"/>
      <c r="N2" s="349"/>
      <c r="O2" s="349"/>
    </row>
    <row r="3" s="142" customFormat="true" ht="15" hidden="false" customHeight="false" outlineLevel="0" collapsed="false">
      <c r="A3" s="350"/>
      <c r="B3" s="355" t="str">
        <f aca="false">INSTRUÇÕES!B3</f>
        <v>Subseção Judiciária de Lavras</v>
      </c>
      <c r="C3" s="356"/>
      <c r="D3" s="357"/>
      <c r="F3" s="358"/>
      <c r="G3" s="359"/>
      <c r="H3" s="360"/>
      <c r="J3" s="349"/>
      <c r="K3" s="349"/>
      <c r="L3" s="349"/>
      <c r="M3" s="349"/>
      <c r="N3" s="349"/>
      <c r="O3" s="349"/>
    </row>
    <row r="4" s="315" customFormat="true" ht="15" hidden="false" customHeight="false" outlineLevel="0" collapsed="false">
      <c r="A4" s="361" t="s">
        <v>500</v>
      </c>
      <c r="B4" s="361"/>
      <c r="C4" s="361"/>
      <c r="D4" s="361"/>
      <c r="E4" s="361"/>
      <c r="F4" s="361"/>
      <c r="G4" s="361"/>
      <c r="H4" s="361"/>
      <c r="J4" s="349"/>
      <c r="K4" s="349"/>
      <c r="L4" s="349"/>
      <c r="M4" s="349"/>
      <c r="N4" s="349"/>
      <c r="O4" s="349"/>
    </row>
    <row r="5" s="1" customFormat="true" ht="27" hidden="false" customHeight="true" outlineLevel="0" collapsed="false">
      <c r="A5" s="362" t="s">
        <v>377</v>
      </c>
      <c r="B5" s="362"/>
      <c r="C5" s="362"/>
      <c r="D5" s="362"/>
      <c r="E5" s="362"/>
      <c r="F5" s="362"/>
      <c r="G5" s="362"/>
      <c r="H5" s="362"/>
      <c r="J5" s="363" t="s">
        <v>385</v>
      </c>
      <c r="K5" s="78" t="s">
        <v>285</v>
      </c>
      <c r="L5" s="78" t="s">
        <v>286</v>
      </c>
      <c r="M5" s="78" t="s">
        <v>287</v>
      </c>
      <c r="N5" s="78" t="s">
        <v>288</v>
      </c>
      <c r="O5" s="78" t="s">
        <v>289</v>
      </c>
    </row>
    <row r="6" s="1" customFormat="true" ht="15.75" hidden="false" customHeight="true" outlineLevel="0" collapsed="false">
      <c r="A6" s="364" t="s">
        <v>501</v>
      </c>
      <c r="B6" s="364"/>
      <c r="C6" s="364"/>
      <c r="D6" s="364"/>
      <c r="E6" s="364"/>
      <c r="F6" s="364"/>
      <c r="G6" s="364"/>
      <c r="H6" s="364"/>
      <c r="J6" s="363"/>
      <c r="K6" s="78"/>
      <c r="L6" s="78"/>
      <c r="M6" s="78"/>
      <c r="N6" s="78"/>
      <c r="O6" s="78"/>
    </row>
    <row r="7" s="1" customFormat="true" ht="15.75" hidden="false" customHeight="true" outlineLevel="0" collapsed="false">
      <c r="A7" s="365"/>
      <c r="B7" s="366"/>
      <c r="C7" s="367"/>
      <c r="D7" s="366"/>
      <c r="E7" s="366"/>
      <c r="F7" s="367"/>
      <c r="G7" s="368"/>
      <c r="H7" s="369"/>
      <c r="J7" s="363"/>
      <c r="K7" s="78"/>
      <c r="L7" s="78"/>
      <c r="M7" s="78"/>
      <c r="N7" s="78"/>
      <c r="O7" s="78"/>
    </row>
    <row r="8" s="1" customFormat="true" ht="20.85" hidden="false" customHeight="false" outlineLevel="0" collapsed="false">
      <c r="A8" s="370" t="s">
        <v>502</v>
      </c>
      <c r="B8" s="371" t="s">
        <v>263</v>
      </c>
      <c r="C8" s="372" t="s">
        <v>503</v>
      </c>
      <c r="D8" s="373" t="s">
        <v>504</v>
      </c>
      <c r="E8" s="373" t="s">
        <v>505</v>
      </c>
      <c r="F8" s="374" t="s">
        <v>506</v>
      </c>
      <c r="G8" s="375" t="s">
        <v>507</v>
      </c>
      <c r="H8" s="376" t="s">
        <v>199</v>
      </c>
      <c r="J8" s="363"/>
      <c r="K8" s="78"/>
      <c r="L8" s="78"/>
      <c r="M8" s="78"/>
      <c r="N8" s="78"/>
      <c r="O8" s="78"/>
      <c r="P8" s="193"/>
    </row>
    <row r="9" s="142" customFormat="true" ht="30.55" hidden="false" customHeight="false" outlineLevel="0" collapsed="false">
      <c r="A9" s="377" t="s">
        <v>508</v>
      </c>
      <c r="B9" s="50" t="s">
        <v>509</v>
      </c>
      <c r="C9" s="378" t="n">
        <v>3</v>
      </c>
      <c r="D9" s="379" t="s">
        <v>510</v>
      </c>
      <c r="E9" s="291" t="s">
        <v>511</v>
      </c>
      <c r="F9" s="380" t="n">
        <f aca="false">C9*$A$11</f>
        <v>6</v>
      </c>
      <c r="G9" s="381" t="n">
        <v>32.65</v>
      </c>
      <c r="H9" s="382" t="n">
        <f aca="false">ROUND(F9*G9,2)</f>
        <v>195.9</v>
      </c>
      <c r="J9" s="383" t="n">
        <v>25.8</v>
      </c>
      <c r="K9" s="50" t="n">
        <f aca="false">ROUND(IF(Dados!$I$60="SIM",J9*Dados!$N$60,J9),2)</f>
        <v>25.8</v>
      </c>
      <c r="L9" s="50" t="n">
        <f aca="false">ROUND(IF(Dados!$I$61="SIM",K9*Dados!$N$61,K9),2)</f>
        <v>25.8</v>
      </c>
      <c r="M9" s="50" t="n">
        <f aca="false">ROUND(IF(Dados!$I$62="SIM",L9*Dados!$N$62,L9),2)</f>
        <v>25.8</v>
      </c>
      <c r="N9" s="50" t="n">
        <f aca="false">ROUND(IF(Dados!$I$63="SIM",M9*Dados!$N$63,M9),2)</f>
        <v>25.8</v>
      </c>
      <c r="O9" s="50" t="n">
        <f aca="false">ROUND(IF(Dados!$I$64="SIM",N9*Dados!$N$64,N9),2)</f>
        <v>25.8</v>
      </c>
    </row>
    <row r="10" s="142" customFormat="true" ht="20.85" hidden="false" customHeight="false" outlineLevel="0" collapsed="false">
      <c r="A10" s="384" t="s">
        <v>512</v>
      </c>
      <c r="B10" s="385" t="s">
        <v>513</v>
      </c>
      <c r="C10" s="378" t="n">
        <v>2</v>
      </c>
      <c r="D10" s="379" t="s">
        <v>514</v>
      </c>
      <c r="E10" s="291" t="s">
        <v>515</v>
      </c>
      <c r="F10" s="380" t="n">
        <f aca="false">C10*$A$11</f>
        <v>4</v>
      </c>
      <c r="G10" s="381" t="n">
        <v>74.1</v>
      </c>
      <c r="H10" s="382" t="n">
        <f aca="false">ROUND(F10*G10,2)</f>
        <v>296.4</v>
      </c>
      <c r="J10" s="383" t="n">
        <v>19.99</v>
      </c>
      <c r="K10" s="50" t="n">
        <f aca="false">ROUND(IF(Dados!$I$60="SIM",J10*Dados!$N$60,J10),2)</f>
        <v>19.99</v>
      </c>
      <c r="L10" s="50" t="n">
        <f aca="false">ROUND(IF(Dados!$I$61="SIM",K10*Dados!$N$61,K10),2)</f>
        <v>19.99</v>
      </c>
      <c r="M10" s="50" t="n">
        <f aca="false">ROUND(IF(Dados!$I$62="SIM",L10*Dados!$N$62,L10),2)</f>
        <v>19.99</v>
      </c>
      <c r="N10" s="50" t="n">
        <f aca="false">ROUND(IF(Dados!$I$63="SIM",M10*Dados!$N$63,M10),2)</f>
        <v>19.99</v>
      </c>
      <c r="O10" s="50" t="n">
        <f aca="false">ROUND(IF(Dados!$I$64="SIM",N10*Dados!$N$64,N10),2)</f>
        <v>19.99</v>
      </c>
    </row>
    <row r="11" s="142" customFormat="true" ht="30.55" hidden="false" customHeight="false" outlineLevel="0" collapsed="false">
      <c r="A11" s="386" t="n">
        <f aca="false">Dados!B7+Dados!B8</f>
        <v>2</v>
      </c>
      <c r="B11" s="50" t="s">
        <v>516</v>
      </c>
      <c r="C11" s="378" t="n">
        <v>1</v>
      </c>
      <c r="D11" s="379" t="s">
        <v>517</v>
      </c>
      <c r="E11" s="291" t="s">
        <v>515</v>
      </c>
      <c r="F11" s="380" t="n">
        <f aca="false">C11*$A$11</f>
        <v>2</v>
      </c>
      <c r="G11" s="381" t="n">
        <v>76.16</v>
      </c>
      <c r="H11" s="382" t="n">
        <f aca="false">ROUND(F11*G11,2)</f>
        <v>152.32</v>
      </c>
      <c r="J11" s="383" t="n">
        <v>39.9</v>
      </c>
      <c r="K11" s="50" t="n">
        <f aca="false">ROUND(IF(Dados!$I$60="SIM",J11*Dados!$N$60,J11),2)</f>
        <v>39.9</v>
      </c>
      <c r="L11" s="50" t="n">
        <f aca="false">ROUND(IF(Dados!$I$61="SIM",K11*Dados!$N$61,K11),2)</f>
        <v>39.9</v>
      </c>
      <c r="M11" s="50" t="n">
        <f aca="false">ROUND(IF(Dados!$I$62="SIM",L11*Dados!$N$62,L11),2)</f>
        <v>39.9</v>
      </c>
      <c r="N11" s="50" t="n">
        <f aca="false">ROUND(IF(Dados!$I$63="SIM",M11*Dados!$N$63,M11),2)</f>
        <v>39.9</v>
      </c>
      <c r="O11" s="50" t="n">
        <f aca="false">ROUND(IF(Dados!$I$64="SIM",N11*Dados!$N$64,N11),2)</f>
        <v>39.9</v>
      </c>
    </row>
    <row r="12" s="142" customFormat="true" ht="15" hidden="false" customHeight="false" outlineLevel="0" collapsed="false">
      <c r="A12" s="387" t="s">
        <v>518</v>
      </c>
      <c r="B12" s="387"/>
      <c r="C12" s="387"/>
      <c r="D12" s="387"/>
      <c r="E12" s="387"/>
      <c r="F12" s="387"/>
      <c r="G12" s="387"/>
      <c r="H12" s="388" t="n">
        <f aca="false">SUM(H9:H11)</f>
        <v>644.62</v>
      </c>
      <c r="J12" s="4"/>
      <c r="K12" s="4"/>
      <c r="L12" s="4"/>
      <c r="M12" s="4"/>
      <c r="N12" s="4"/>
      <c r="O12" s="4"/>
    </row>
    <row r="13" s="142" customFormat="true" ht="15" hidden="false" customHeight="false" outlineLevel="0" collapsed="false">
      <c r="A13" s="389" t="s">
        <v>519</v>
      </c>
      <c r="B13" s="389"/>
      <c r="C13" s="389"/>
      <c r="D13" s="389"/>
      <c r="E13" s="389"/>
      <c r="F13" s="389"/>
      <c r="G13" s="390"/>
      <c r="H13" s="391" t="n">
        <f aca="false">ROUND(H12/$A$11/12,2)</f>
        <v>26.86</v>
      </c>
      <c r="J13" s="4"/>
      <c r="K13" s="4"/>
      <c r="L13" s="4"/>
      <c r="M13" s="4"/>
      <c r="N13" s="4"/>
      <c r="O13" s="4"/>
    </row>
    <row r="14" s="142" customFormat="true" ht="15" hidden="false" customHeight="false" outlineLevel="0" collapsed="false">
      <c r="A14" s="301"/>
      <c r="B14" s="76"/>
      <c r="C14" s="392"/>
      <c r="D14" s="74"/>
      <c r="E14" s="74"/>
      <c r="F14" s="392"/>
      <c r="G14" s="393"/>
      <c r="H14" s="394"/>
      <c r="J14" s="4"/>
      <c r="K14" s="4"/>
      <c r="L14" s="4"/>
      <c r="M14" s="4"/>
      <c r="N14" s="4"/>
      <c r="O14" s="4"/>
    </row>
    <row r="15" s="142" customFormat="true" ht="40.25" hidden="false" customHeight="false" outlineLevel="0" collapsed="false">
      <c r="A15" s="370" t="s">
        <v>502</v>
      </c>
      <c r="B15" s="371" t="s">
        <v>263</v>
      </c>
      <c r="C15" s="372" t="s">
        <v>503</v>
      </c>
      <c r="D15" s="373" t="s">
        <v>504</v>
      </c>
      <c r="E15" s="373" t="s">
        <v>505</v>
      </c>
      <c r="F15" s="374" t="s">
        <v>506</v>
      </c>
      <c r="G15" s="375" t="s">
        <v>507</v>
      </c>
      <c r="H15" s="376" t="s">
        <v>199</v>
      </c>
      <c r="J15" s="395" t="s">
        <v>385</v>
      </c>
      <c r="K15" s="396" t="s">
        <v>285</v>
      </c>
      <c r="L15" s="396" t="s">
        <v>286</v>
      </c>
      <c r="M15" s="396" t="s">
        <v>287</v>
      </c>
      <c r="N15" s="396" t="s">
        <v>288</v>
      </c>
      <c r="O15" s="396" t="s">
        <v>289</v>
      </c>
    </row>
    <row r="16" s="142" customFormat="true" ht="15" hidden="false" customHeight="false" outlineLevel="0" collapsed="false">
      <c r="A16" s="384" t="s">
        <v>520</v>
      </c>
      <c r="B16" s="50"/>
      <c r="C16" s="378"/>
      <c r="D16" s="397"/>
      <c r="E16" s="291"/>
      <c r="F16" s="380"/>
      <c r="G16" s="81"/>
      <c r="H16" s="382" t="n">
        <f aca="false">ROUND(F16*G16,2)</f>
        <v>0</v>
      </c>
      <c r="J16" s="383" t="n">
        <v>29.9</v>
      </c>
      <c r="K16" s="50" t="n">
        <f aca="false">ROUND(IF(Dados!$I$60="SIM",J16*Dados!$N$60,J16),2)</f>
        <v>29.9</v>
      </c>
      <c r="L16" s="50" t="n">
        <f aca="false">ROUND(IF(Dados!$I$61="SIM",K16*Dados!$N$61,K16),2)</f>
        <v>29.9</v>
      </c>
      <c r="M16" s="50" t="n">
        <f aca="false">ROUND(IF(Dados!$I$62="SIM",L16*Dados!$N$62,L16),2)</f>
        <v>29.9</v>
      </c>
      <c r="N16" s="50" t="n">
        <f aca="false">ROUND(IF(Dados!$I$63="SIM",M16*Dados!$N$63,M16),2)</f>
        <v>29.9</v>
      </c>
      <c r="O16" s="50" t="n">
        <f aca="false">ROUND(IF(Dados!$I$64="SIM",N16*Dados!$N$64,N16),2)</f>
        <v>29.9</v>
      </c>
    </row>
    <row r="17" s="142" customFormat="true" ht="20.85" hidden="false" customHeight="false" outlineLevel="0" collapsed="false">
      <c r="A17" s="384" t="s">
        <v>512</v>
      </c>
      <c r="B17" s="79" t="s">
        <v>521</v>
      </c>
      <c r="C17" s="398" t="n">
        <v>1</v>
      </c>
      <c r="D17" s="326" t="s">
        <v>522</v>
      </c>
      <c r="E17" s="399" t="s">
        <v>523</v>
      </c>
      <c r="F17" s="380" t="n">
        <f aca="false">C17*$A$18</f>
        <v>1</v>
      </c>
      <c r="G17" s="381" t="n">
        <v>45.35</v>
      </c>
      <c r="H17" s="382" t="n">
        <f aca="false">ROUND(F17*G17,2)</f>
        <v>45.35</v>
      </c>
      <c r="J17" s="383"/>
      <c r="K17" s="50"/>
      <c r="L17" s="50"/>
      <c r="M17" s="50"/>
      <c r="N17" s="50"/>
      <c r="O17" s="50"/>
    </row>
    <row r="18" s="142" customFormat="true" ht="33.85" hidden="false" customHeight="false" outlineLevel="0" collapsed="false">
      <c r="A18" s="400" t="n">
        <f aca="false">Dados!B8</f>
        <v>1</v>
      </c>
      <c r="B18" s="385"/>
      <c r="C18" s="398"/>
      <c r="D18" s="397"/>
      <c r="E18" s="285"/>
      <c r="F18" s="380"/>
      <c r="G18" s="401"/>
      <c r="H18" s="382" t="n">
        <f aca="false">ROUND(F18*G18,2)</f>
        <v>0</v>
      </c>
      <c r="J18" s="383" t="n">
        <v>5.5</v>
      </c>
      <c r="K18" s="50" t="n">
        <f aca="false">ROUND(IF(Dados!$I$60="SIM",J18*Dados!$N$60,J18),2)</f>
        <v>5.5</v>
      </c>
      <c r="L18" s="50" t="n">
        <f aca="false">ROUND(IF(Dados!$I$61="SIM",K18*Dados!$N$61,K18),2)</f>
        <v>5.5</v>
      </c>
      <c r="M18" s="50" t="n">
        <f aca="false">ROUND(IF(Dados!$I$62="SIM",L18*Dados!$N$62,L18),2)</f>
        <v>5.5</v>
      </c>
      <c r="N18" s="50" t="n">
        <f aca="false">ROUND(IF(Dados!$I$63="SIM",M18*Dados!$N$63,M18),2)</f>
        <v>5.5</v>
      </c>
      <c r="O18" s="50" t="n">
        <f aca="false">ROUND(IF(Dados!$I$64="SIM",N18*Dados!$N$64,N18),2)</f>
        <v>5.5</v>
      </c>
    </row>
    <row r="19" s="142" customFormat="true" ht="15" hidden="false" customHeight="false" outlineLevel="0" collapsed="false">
      <c r="A19" s="402" t="s">
        <v>518</v>
      </c>
      <c r="B19" s="402"/>
      <c r="C19" s="402"/>
      <c r="D19" s="402"/>
      <c r="E19" s="402"/>
      <c r="F19" s="402"/>
      <c r="G19" s="402"/>
      <c r="H19" s="403" t="n">
        <f aca="false">SUM(H16:H18)</f>
        <v>45.35</v>
      </c>
      <c r="J19" s="4"/>
      <c r="K19" s="4"/>
      <c r="L19" s="4"/>
      <c r="M19" s="4"/>
      <c r="N19" s="4"/>
      <c r="O19" s="4"/>
    </row>
    <row r="20" s="142" customFormat="true" ht="15" hidden="false" customHeight="false" outlineLevel="0" collapsed="false">
      <c r="A20" s="389" t="s">
        <v>524</v>
      </c>
      <c r="B20" s="389"/>
      <c r="C20" s="389"/>
      <c r="D20" s="389"/>
      <c r="E20" s="389"/>
      <c r="F20" s="389"/>
      <c r="G20" s="390"/>
      <c r="H20" s="391" t="n">
        <f aca="false">ROUND(H19/A18/12,2)</f>
        <v>3.78</v>
      </c>
      <c r="J20" s="4"/>
      <c r="K20" s="4"/>
      <c r="L20" s="4"/>
      <c r="M20" s="4"/>
      <c r="N20" s="4"/>
      <c r="O20" s="4"/>
    </row>
    <row r="21" s="142" customFormat="true" ht="15" hidden="false" customHeight="false" outlineLevel="0" collapsed="false">
      <c r="A21" s="319"/>
      <c r="B21" s="404"/>
      <c r="C21" s="405"/>
      <c r="D21" s="404"/>
      <c r="E21" s="404"/>
      <c r="F21" s="405"/>
      <c r="G21" s="406"/>
      <c r="H21" s="407"/>
      <c r="J21" s="4"/>
      <c r="K21" s="4"/>
      <c r="L21" s="4"/>
      <c r="M21" s="4"/>
      <c r="N21" s="4"/>
      <c r="O21" s="4"/>
    </row>
    <row r="22" s="142" customFormat="true" ht="40.25" hidden="false" customHeight="false" outlineLevel="0" collapsed="false">
      <c r="A22" s="370" t="s">
        <v>502</v>
      </c>
      <c r="B22" s="371" t="s">
        <v>263</v>
      </c>
      <c r="C22" s="372" t="s">
        <v>503</v>
      </c>
      <c r="D22" s="373" t="s">
        <v>504</v>
      </c>
      <c r="E22" s="373" t="s">
        <v>505</v>
      </c>
      <c r="F22" s="374" t="s">
        <v>506</v>
      </c>
      <c r="G22" s="408" t="s">
        <v>507</v>
      </c>
      <c r="H22" s="376" t="s">
        <v>199</v>
      </c>
      <c r="J22" s="395" t="s">
        <v>385</v>
      </c>
      <c r="K22" s="396" t="s">
        <v>285</v>
      </c>
      <c r="L22" s="396" t="s">
        <v>286</v>
      </c>
      <c r="M22" s="396" t="s">
        <v>287</v>
      </c>
      <c r="N22" s="396" t="s">
        <v>288</v>
      </c>
      <c r="O22" s="396" t="s">
        <v>289</v>
      </c>
    </row>
    <row r="23" s="142" customFormat="true" ht="98.5" hidden="false" customHeight="false" outlineLevel="0" collapsed="false">
      <c r="A23" s="377" t="s">
        <v>525</v>
      </c>
      <c r="B23" s="385" t="s">
        <v>526</v>
      </c>
      <c r="C23" s="378" t="n">
        <v>3</v>
      </c>
      <c r="D23" s="409" t="s">
        <v>527</v>
      </c>
      <c r="E23" s="291" t="s">
        <v>528</v>
      </c>
      <c r="F23" s="380" t="n">
        <f aca="false">C23*$A$25</f>
        <v>3</v>
      </c>
      <c r="G23" s="410" t="n">
        <v>69.1</v>
      </c>
      <c r="H23" s="382" t="n">
        <f aca="false">ROUND(F23*G23,2)</f>
        <v>207.3</v>
      </c>
      <c r="J23" s="383" t="n">
        <v>39.9</v>
      </c>
      <c r="K23" s="50" t="n">
        <f aca="false">ROUND(IF(Dados!$I$60="SIM",J23*Dados!$N$60,J23),2)</f>
        <v>39.9</v>
      </c>
      <c r="L23" s="50" t="n">
        <f aca="false">ROUND(IF(Dados!$I$61="SIM",K23*Dados!$N$61,K23),2)</f>
        <v>39.9</v>
      </c>
      <c r="M23" s="50" t="n">
        <f aca="false">ROUND(IF(Dados!$I$62="SIM",L23*Dados!$N$62,L23),2)</f>
        <v>39.9</v>
      </c>
      <c r="N23" s="50" t="n">
        <f aca="false">ROUND(IF(Dados!$I$63="SIM",M23*Dados!$N$63,M23),2)</f>
        <v>39.9</v>
      </c>
      <c r="O23" s="50" t="n">
        <f aca="false">ROUND(IF(Dados!$I$64="SIM",N23*Dados!$N$64,N23),2)</f>
        <v>39.9</v>
      </c>
    </row>
    <row r="24" s="142" customFormat="true" ht="59.7" hidden="false" customHeight="false" outlineLevel="0" collapsed="false">
      <c r="A24" s="384" t="s">
        <v>512</v>
      </c>
      <c r="B24" s="385" t="s">
        <v>529</v>
      </c>
      <c r="C24" s="378" t="n">
        <v>3</v>
      </c>
      <c r="D24" s="411" t="s">
        <v>530</v>
      </c>
      <c r="E24" s="291" t="s">
        <v>531</v>
      </c>
      <c r="F24" s="380" t="n">
        <f aca="false">C24*$A$25</f>
        <v>3</v>
      </c>
      <c r="G24" s="410" t="n">
        <v>79.95</v>
      </c>
      <c r="H24" s="382" t="n">
        <f aca="false">ROUND(F24*G24,2)</f>
        <v>239.85</v>
      </c>
      <c r="J24" s="383"/>
      <c r="K24" s="50"/>
      <c r="L24" s="50"/>
      <c r="M24" s="50"/>
      <c r="N24" s="50"/>
      <c r="O24" s="50"/>
    </row>
    <row r="25" s="142" customFormat="true" ht="33.85" hidden="false" customHeight="false" outlineLevel="0" collapsed="false">
      <c r="A25" s="412" t="n">
        <f aca="false">Dados!B10</f>
        <v>1</v>
      </c>
      <c r="B25" s="50" t="s">
        <v>532</v>
      </c>
      <c r="C25" s="378" t="n">
        <v>1</v>
      </c>
      <c r="D25" s="409" t="s">
        <v>533</v>
      </c>
      <c r="E25" s="291" t="s">
        <v>534</v>
      </c>
      <c r="F25" s="380" t="n">
        <f aca="false">C25*$A$25</f>
        <v>1</v>
      </c>
      <c r="G25" s="410" t="n">
        <v>102.87</v>
      </c>
      <c r="H25" s="382" t="n">
        <f aca="false">ROUND(F25*G25,2)</f>
        <v>102.87</v>
      </c>
      <c r="J25" s="383"/>
      <c r="K25" s="50"/>
      <c r="L25" s="50"/>
      <c r="M25" s="50"/>
      <c r="N25" s="50"/>
      <c r="O25" s="50"/>
    </row>
    <row r="26" s="142" customFormat="true" ht="15" hidden="false" customHeight="false" outlineLevel="0" collapsed="false">
      <c r="A26" s="413" t="s">
        <v>518</v>
      </c>
      <c r="B26" s="413"/>
      <c r="C26" s="413"/>
      <c r="D26" s="413"/>
      <c r="E26" s="413"/>
      <c r="F26" s="413"/>
      <c r="G26" s="413"/>
      <c r="H26" s="414" t="n">
        <f aca="false">SUM(H23:H25)</f>
        <v>550.02</v>
      </c>
      <c r="J26" s="4"/>
      <c r="K26" s="4"/>
      <c r="L26" s="4"/>
      <c r="M26" s="4"/>
      <c r="N26" s="4"/>
      <c r="O26" s="4"/>
    </row>
    <row r="27" s="142" customFormat="true" ht="15" hidden="false" customHeight="false" outlineLevel="0" collapsed="false">
      <c r="A27" s="389" t="s">
        <v>535</v>
      </c>
      <c r="B27" s="389"/>
      <c r="C27" s="389"/>
      <c r="D27" s="389"/>
      <c r="E27" s="389"/>
      <c r="F27" s="389"/>
      <c r="G27" s="390"/>
      <c r="H27" s="391" t="n">
        <f aca="false">ROUND(H26/A25/12,2)</f>
        <v>45.84</v>
      </c>
      <c r="J27" s="4"/>
      <c r="K27" s="4"/>
      <c r="L27" s="4"/>
      <c r="M27" s="4"/>
      <c r="N27" s="4"/>
      <c r="O27" s="4"/>
    </row>
    <row r="28" s="142" customFormat="true" ht="15" hidden="false" customHeight="false" outlineLevel="0" collapsed="false">
      <c r="A28" s="415"/>
      <c r="B28" s="415"/>
      <c r="C28" s="415"/>
      <c r="D28" s="415"/>
      <c r="E28" s="415"/>
      <c r="F28" s="415"/>
      <c r="G28" s="415"/>
      <c r="H28" s="415"/>
      <c r="J28" s="4"/>
      <c r="K28" s="4"/>
      <c r="L28" s="4"/>
      <c r="M28" s="4"/>
      <c r="N28" s="4"/>
      <c r="O28" s="4"/>
    </row>
    <row r="29" customFormat="false" ht="40.25" hidden="false" customHeight="false" outlineLevel="0" collapsed="false">
      <c r="A29" s="370" t="s">
        <v>502</v>
      </c>
      <c r="B29" s="371" t="s">
        <v>263</v>
      </c>
      <c r="C29" s="372" t="s">
        <v>503</v>
      </c>
      <c r="D29" s="373" t="s">
        <v>504</v>
      </c>
      <c r="E29" s="373" t="s">
        <v>505</v>
      </c>
      <c r="F29" s="374" t="s">
        <v>506</v>
      </c>
      <c r="G29" s="408" t="s">
        <v>507</v>
      </c>
      <c r="H29" s="376" t="s">
        <v>199</v>
      </c>
      <c r="J29" s="395" t="s">
        <v>385</v>
      </c>
      <c r="K29" s="396" t="s">
        <v>285</v>
      </c>
      <c r="L29" s="396" t="s">
        <v>286</v>
      </c>
      <c r="M29" s="396" t="s">
        <v>287</v>
      </c>
      <c r="N29" s="396" t="s">
        <v>288</v>
      </c>
      <c r="O29" s="396" t="s">
        <v>289</v>
      </c>
    </row>
    <row r="30" customFormat="false" ht="98.5" hidden="false" customHeight="false" outlineLevel="0" collapsed="false">
      <c r="A30" s="377" t="s">
        <v>195</v>
      </c>
      <c r="B30" s="385" t="s">
        <v>526</v>
      </c>
      <c r="C30" s="378" t="n">
        <v>3</v>
      </c>
      <c r="D30" s="409" t="s">
        <v>527</v>
      </c>
      <c r="E30" s="291" t="s">
        <v>528</v>
      </c>
      <c r="F30" s="380" t="n">
        <f aca="false">C30*$A$32</f>
        <v>3</v>
      </c>
      <c r="G30" s="410" t="n">
        <v>69.1</v>
      </c>
      <c r="H30" s="382" t="n">
        <f aca="false">ROUND(F30*G30,2)</f>
        <v>207.3</v>
      </c>
      <c r="J30" s="383" t="n">
        <v>39.9</v>
      </c>
      <c r="K30" s="50" t="n">
        <f aca="false">ROUND(IF(Dados!$I$60="SIM",J30*Dados!$N$60,J30),2)</f>
        <v>39.9</v>
      </c>
      <c r="L30" s="50" t="n">
        <f aca="false">ROUND(IF(Dados!$I$61="SIM",K30*Dados!$N$61,K30),2)</f>
        <v>39.9</v>
      </c>
      <c r="M30" s="50" t="n">
        <f aca="false">ROUND(IF(Dados!$I$62="SIM",L30*Dados!$N$62,L30),2)</f>
        <v>39.9</v>
      </c>
      <c r="N30" s="50" t="n">
        <f aca="false">ROUND(IF(Dados!$I$63="SIM",M30*Dados!$N$63,M30),2)</f>
        <v>39.9</v>
      </c>
      <c r="O30" s="50" t="n">
        <f aca="false">ROUND(IF(Dados!$I$64="SIM",N30*Dados!$N$64,N30),2)</f>
        <v>39.9</v>
      </c>
    </row>
    <row r="31" customFormat="false" ht="59.7" hidden="false" customHeight="false" outlineLevel="0" collapsed="false">
      <c r="A31" s="384" t="s">
        <v>512</v>
      </c>
      <c r="B31" s="385" t="s">
        <v>529</v>
      </c>
      <c r="C31" s="378" t="n">
        <v>2</v>
      </c>
      <c r="D31" s="379" t="s">
        <v>530</v>
      </c>
      <c r="E31" s="291" t="s">
        <v>531</v>
      </c>
      <c r="F31" s="380" t="n">
        <f aca="false">C31*$A$32</f>
        <v>2</v>
      </c>
      <c r="G31" s="410" t="n">
        <v>79.95</v>
      </c>
      <c r="H31" s="382" t="n">
        <f aca="false">ROUND(F31*G31,2)</f>
        <v>159.9</v>
      </c>
      <c r="J31" s="383" t="n">
        <v>19.99</v>
      </c>
      <c r="K31" s="50" t="n">
        <f aca="false">ROUND(IF(Dados!$I$60="SIM",J31*Dados!$N$60,J31),2)</f>
        <v>19.99</v>
      </c>
      <c r="L31" s="50" t="n">
        <f aca="false">ROUND(IF(Dados!$I$61="SIM",K31*Dados!$N$61,K31),2)</f>
        <v>19.99</v>
      </c>
      <c r="M31" s="50" t="n">
        <f aca="false">ROUND(IF(Dados!$I$62="SIM",L31*Dados!$N$62,L31),2)</f>
        <v>19.99</v>
      </c>
      <c r="N31" s="50" t="n">
        <f aca="false">ROUND(IF(Dados!$I$63="SIM",M31*Dados!$N$63,M31),2)</f>
        <v>19.99</v>
      </c>
      <c r="O31" s="50" t="n">
        <f aca="false">ROUND(IF(Dados!$I$64="SIM",N31*Dados!$N$64,N31),2)</f>
        <v>19.99</v>
      </c>
    </row>
    <row r="32" customFormat="false" ht="31.5" hidden="false" customHeight="false" outlineLevel="0" collapsed="false">
      <c r="A32" s="416" t="n">
        <f aca="false">Dados!B9</f>
        <v>1</v>
      </c>
      <c r="B32" s="50" t="s">
        <v>516</v>
      </c>
      <c r="C32" s="378" t="n">
        <v>1</v>
      </c>
      <c r="D32" s="411" t="s">
        <v>536</v>
      </c>
      <c r="E32" s="291" t="s">
        <v>515</v>
      </c>
      <c r="F32" s="380" t="n">
        <f aca="false">C32*$A$32</f>
        <v>1</v>
      </c>
      <c r="G32" s="381" t="n">
        <v>76.16</v>
      </c>
      <c r="H32" s="382" t="n">
        <f aca="false">ROUND(F32*G32,2)</f>
        <v>76.16</v>
      </c>
      <c r="J32" s="383"/>
      <c r="K32" s="50"/>
      <c r="L32" s="50"/>
      <c r="M32" s="50"/>
      <c r="N32" s="50"/>
      <c r="O32" s="50"/>
    </row>
    <row r="33" customFormat="false" ht="15" hidden="false" customHeight="false" outlineLevel="0" collapsed="false">
      <c r="A33" s="417" t="s">
        <v>518</v>
      </c>
      <c r="B33" s="417"/>
      <c r="C33" s="417"/>
      <c r="D33" s="417"/>
      <c r="E33" s="417"/>
      <c r="F33" s="417"/>
      <c r="G33" s="417"/>
      <c r="H33" s="418" t="n">
        <f aca="false">SUM(H30:H32)</f>
        <v>443.36</v>
      </c>
      <c r="N33" s="4"/>
      <c r="O33" s="4"/>
      <c r="P33" s="142"/>
    </row>
    <row r="34" customFormat="false" ht="15" hidden="false" customHeight="false" outlineLevel="0" collapsed="false">
      <c r="A34" s="389" t="s">
        <v>537</v>
      </c>
      <c r="B34" s="389"/>
      <c r="C34" s="389"/>
      <c r="D34" s="389"/>
      <c r="E34" s="389"/>
      <c r="F34" s="389"/>
      <c r="G34" s="390"/>
      <c r="H34" s="391" t="n">
        <f aca="false">ROUND(H33/A32/12,2)</f>
        <v>36.95</v>
      </c>
    </row>
  </sheetData>
  <sheetProtection sheet="true" password="c4d4" objects="true" scenarios="true"/>
  <mergeCells count="19">
    <mergeCell ref="J1:O4"/>
    <mergeCell ref="A4:H4"/>
    <mergeCell ref="A5:H5"/>
    <mergeCell ref="J5:J8"/>
    <mergeCell ref="K5:K8"/>
    <mergeCell ref="L5:L8"/>
    <mergeCell ref="M5:M8"/>
    <mergeCell ref="N5:N8"/>
    <mergeCell ref="O5:O8"/>
    <mergeCell ref="A6:H6"/>
    <mergeCell ref="A12:G12"/>
    <mergeCell ref="A13:F13"/>
    <mergeCell ref="A19:G19"/>
    <mergeCell ref="A20:F20"/>
    <mergeCell ref="A26:G26"/>
    <mergeCell ref="A27:F27"/>
    <mergeCell ref="A28:H28"/>
    <mergeCell ref="A33:G33"/>
    <mergeCell ref="A34:F34"/>
  </mergeCells>
  <printOptions headings="false" gridLines="false" gridLinesSet="true" horizontalCentered="true" verticalCentered="true"/>
  <pageMargins left="0.511805555555556" right="0.511805555555556" top="0.7875" bottom="0.7875" header="0.511811023622047" footer="0.511811023622047"/>
  <pageSetup paperSize="9" scale="5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false" showRowColHeaders="true" showZeros="true" rightToLeft="false" tabSelected="false" showOutlineSymbols="true" defaultGridColor="true" view="pageBreakPreview" topLeftCell="A1" colorId="64" zoomScale="120" zoomScaleNormal="100" zoomScalePageLayoutView="120" workbookViewId="0">
      <selection pane="topLeft" activeCell="F14" activeCellId="0" sqref="F14"/>
    </sheetView>
  </sheetViews>
  <sheetFormatPr defaultColWidth="8.71484375" defaultRowHeight="15" zeroHeight="false" outlineLevelRow="0" outlineLevelCol="0"/>
  <cols>
    <col collapsed="false" customWidth="true" hidden="false" outlineLevel="0" max="1" min="1" style="85" width="10.57"/>
    <col collapsed="false" customWidth="true" hidden="false" outlineLevel="0" max="2" min="2" style="85" width="27.71"/>
    <col collapsed="false" customWidth="true" hidden="false" outlineLevel="0" max="3" min="3" style="85" width="14.42"/>
    <col collapsed="false" customWidth="true" hidden="false" outlineLevel="0" max="5" min="4" style="85" width="15"/>
    <col collapsed="false" customWidth="true" hidden="false" outlineLevel="0" max="6" min="6" style="419" width="16.71"/>
    <col collapsed="false" customWidth="true" hidden="false" outlineLevel="0" max="8" min="7" style="419" width="13.15"/>
    <col collapsed="false" customWidth="true" hidden="false" outlineLevel="0" max="10" min="9" style="419" width="12.57"/>
    <col collapsed="false" customWidth="true" hidden="false" outlineLevel="0" max="257" min="11" style="85" width="9.14"/>
    <col collapsed="false" customWidth="true" hidden="false" outlineLevel="0" max="258" min="258" style="85" width="10.57"/>
    <col collapsed="false" customWidth="true" hidden="false" outlineLevel="0" max="259" min="259" style="85" width="27.71"/>
    <col collapsed="false" customWidth="true" hidden="false" outlineLevel="0" max="260" min="260" style="85" width="14.42"/>
    <col collapsed="false" customWidth="true" hidden="false" outlineLevel="0" max="262" min="261" style="85" width="15"/>
    <col collapsed="false" customWidth="true" hidden="false" outlineLevel="0" max="263" min="263" style="85" width="16.71"/>
    <col collapsed="false" customWidth="true" hidden="false" outlineLevel="0" max="264" min="264" style="85" width="13.15"/>
    <col collapsed="false" customWidth="true" hidden="false" outlineLevel="0" max="266" min="265" style="85" width="12.57"/>
    <col collapsed="false" customWidth="true" hidden="false" outlineLevel="0" max="513" min="267" style="85" width="9.14"/>
    <col collapsed="false" customWidth="true" hidden="false" outlineLevel="0" max="514" min="514" style="85" width="10.57"/>
    <col collapsed="false" customWidth="true" hidden="false" outlineLevel="0" max="515" min="515" style="85" width="27.71"/>
    <col collapsed="false" customWidth="true" hidden="false" outlineLevel="0" max="516" min="516" style="85" width="14.42"/>
    <col collapsed="false" customWidth="true" hidden="false" outlineLevel="0" max="518" min="517" style="85" width="15"/>
    <col collapsed="false" customWidth="true" hidden="false" outlineLevel="0" max="519" min="519" style="85" width="16.71"/>
    <col collapsed="false" customWidth="true" hidden="false" outlineLevel="0" max="520" min="520" style="85" width="13.15"/>
    <col collapsed="false" customWidth="true" hidden="false" outlineLevel="0" max="522" min="521" style="85" width="12.57"/>
    <col collapsed="false" customWidth="true" hidden="false" outlineLevel="0" max="769" min="523" style="85" width="9.14"/>
    <col collapsed="false" customWidth="true" hidden="false" outlineLevel="0" max="770" min="770" style="85" width="10.57"/>
    <col collapsed="false" customWidth="true" hidden="false" outlineLevel="0" max="771" min="771" style="85" width="27.71"/>
    <col collapsed="false" customWidth="true" hidden="false" outlineLevel="0" max="772" min="772" style="85" width="14.42"/>
    <col collapsed="false" customWidth="true" hidden="false" outlineLevel="0" max="774" min="773" style="85" width="15"/>
    <col collapsed="false" customWidth="true" hidden="false" outlineLevel="0" max="775" min="775" style="85" width="16.71"/>
    <col collapsed="false" customWidth="true" hidden="false" outlineLevel="0" max="776" min="776" style="85" width="13.15"/>
    <col collapsed="false" customWidth="true" hidden="false" outlineLevel="0" max="778" min="777" style="85" width="12.57"/>
    <col collapsed="false" customWidth="true" hidden="false" outlineLevel="0" max="1025" min="779" style="85" width="9.14"/>
  </cols>
  <sheetData>
    <row r="1" customFormat="false" ht="15" hidden="false" customHeight="false" outlineLevel="0" collapsed="false">
      <c r="A1" s="420"/>
      <c r="B1" s="123" t="str">
        <f aca="false">INSTRUÇÕES!B1</f>
        <v>Tribunal Regional Federal da 6ª Região</v>
      </c>
      <c r="C1" s="421"/>
      <c r="D1" s="421"/>
      <c r="E1" s="421"/>
      <c r="F1" s="422"/>
      <c r="G1" s="423"/>
      <c r="H1" s="423"/>
      <c r="I1" s="422"/>
      <c r="J1" s="424"/>
    </row>
    <row r="2" customFormat="false" ht="15" hidden="false" customHeight="false" outlineLevel="0" collapsed="false">
      <c r="A2" s="425"/>
      <c r="B2" s="125" t="str">
        <f aca="false">INSTRUÇÕES!B2</f>
        <v>Seção Judiciária de Minas Gerais</v>
      </c>
      <c r="C2" s="74"/>
      <c r="D2" s="74"/>
      <c r="E2" s="74"/>
      <c r="F2" s="426"/>
      <c r="I2" s="426"/>
      <c r="J2" s="427"/>
    </row>
    <row r="3" customFormat="false" ht="15" hidden="false" customHeight="false" outlineLevel="0" collapsed="false">
      <c r="A3" s="208"/>
      <c r="B3" s="428" t="str">
        <f aca="false">INSTRUÇÕES!B3</f>
        <v>Subseção Judiciária de Lavras</v>
      </c>
      <c r="C3" s="74"/>
      <c r="D3" s="74"/>
      <c r="E3" s="74"/>
      <c r="F3" s="426"/>
      <c r="I3" s="426"/>
      <c r="J3" s="427"/>
    </row>
    <row r="4" customFormat="false" ht="19.5" hidden="false" customHeight="true" outlineLevel="0" collapsed="false">
      <c r="A4" s="429" t="s">
        <v>538</v>
      </c>
      <c r="B4" s="429"/>
      <c r="C4" s="429"/>
      <c r="D4" s="429"/>
      <c r="E4" s="429"/>
      <c r="F4" s="429"/>
      <c r="G4" s="429"/>
      <c r="H4" s="429"/>
      <c r="I4" s="429"/>
      <c r="J4" s="429"/>
    </row>
    <row r="5" customFormat="false" ht="19.5" hidden="false" customHeight="true" outlineLevel="0" collapsed="false">
      <c r="A5" s="430" t="s">
        <v>301</v>
      </c>
      <c r="B5" s="430"/>
      <c r="C5" s="430"/>
      <c r="D5" s="430"/>
      <c r="E5" s="430"/>
      <c r="F5" s="430"/>
      <c r="G5" s="430"/>
      <c r="H5" s="430"/>
      <c r="I5" s="430"/>
      <c r="J5" s="430"/>
    </row>
    <row r="6" customFormat="false" ht="36" hidden="false" customHeight="true" outlineLevel="0" collapsed="false">
      <c r="A6" s="431" t="str">
        <f aca="false">Dados!A4</f>
        <v>Sindicato utilizado - SINTAPPI x SINSERHT. Vigência: 2025/2026. Sendo a data base da categoria 01° de Abril. Com número de registro no MTE MG001973/2025.</v>
      </c>
      <c r="B6" s="431"/>
      <c r="C6" s="431"/>
      <c r="D6" s="431"/>
      <c r="E6" s="431"/>
      <c r="F6" s="431"/>
      <c r="G6" s="431"/>
      <c r="H6" s="431"/>
      <c r="I6" s="431"/>
      <c r="J6" s="431"/>
    </row>
    <row r="7" customFormat="false" ht="19.5" hidden="false" customHeight="true" outlineLevel="0" collapsed="false">
      <c r="A7" s="432" t="str">
        <f aca="false">Dados!C7</f>
        <v>Servente de Limpeza 40% Insalubridade</v>
      </c>
      <c r="B7" s="432"/>
      <c r="C7" s="432"/>
      <c r="D7" s="432"/>
      <c r="E7" s="432"/>
      <c r="F7" s="433" t="s">
        <v>539</v>
      </c>
      <c r="G7" s="433" t="s">
        <v>540</v>
      </c>
      <c r="H7" s="433" t="s">
        <v>541</v>
      </c>
      <c r="I7" s="433" t="s">
        <v>542</v>
      </c>
      <c r="J7" s="433" t="s">
        <v>543</v>
      </c>
    </row>
    <row r="8" customFormat="false" ht="19.5" hidden="false" customHeight="true" outlineLevel="0" collapsed="false">
      <c r="A8" s="434" t="s">
        <v>544</v>
      </c>
      <c r="B8" s="434"/>
      <c r="C8" s="434"/>
      <c r="D8" s="434"/>
      <c r="E8" s="435" t="s">
        <v>485</v>
      </c>
      <c r="F8" s="433"/>
      <c r="G8" s="433"/>
      <c r="H8" s="433"/>
      <c r="I8" s="433"/>
      <c r="J8" s="433"/>
    </row>
    <row r="9" customFormat="false" ht="19.5" hidden="false" customHeight="true" outlineLevel="0" collapsed="false">
      <c r="A9" s="436" t="s">
        <v>545</v>
      </c>
      <c r="B9" s="436"/>
      <c r="C9" s="436"/>
      <c r="D9" s="436"/>
      <c r="E9" s="436"/>
      <c r="F9" s="436"/>
      <c r="G9" s="436"/>
      <c r="H9" s="436"/>
      <c r="I9" s="436"/>
      <c r="J9" s="436"/>
    </row>
    <row r="10" customFormat="false" ht="24" hidden="false" customHeight="true" outlineLevel="0" collapsed="false">
      <c r="A10" s="217" t="s">
        <v>486</v>
      </c>
      <c r="B10" s="437" t="s">
        <v>546</v>
      </c>
      <c r="C10" s="437"/>
      <c r="D10" s="284" t="s">
        <v>547</v>
      </c>
      <c r="E10" s="438" t="s">
        <v>548</v>
      </c>
      <c r="F10" s="439" t="s">
        <v>489</v>
      </c>
      <c r="G10" s="439"/>
      <c r="H10" s="439"/>
      <c r="I10" s="439"/>
      <c r="J10" s="439"/>
    </row>
    <row r="11" customFormat="false" ht="19.5" hidden="false" customHeight="true" outlineLevel="0" collapsed="false">
      <c r="A11" s="440" t="n">
        <v>1</v>
      </c>
      <c r="B11" s="38" t="str">
        <f aca="false">A7</f>
        <v>Servente de Limpeza 40% Insalubridade</v>
      </c>
      <c r="C11" s="38"/>
      <c r="D11" s="39" t="n">
        <f aca="false">Dados!D7</f>
        <v>200</v>
      </c>
      <c r="E11" s="441" t="n">
        <f aca="false">Dados!E7</f>
        <v>1633.68</v>
      </c>
      <c r="F11" s="442" t="n">
        <f aca="false">ROUND(E11/220*D11,2)</f>
        <v>1485.16</v>
      </c>
      <c r="G11" s="442" t="n">
        <f aca="false">F11</f>
        <v>1485.16</v>
      </c>
      <c r="H11" s="442"/>
      <c r="I11" s="442"/>
      <c r="J11" s="443"/>
    </row>
    <row r="12" customFormat="false" ht="19.5" hidden="false" customHeight="true" outlineLevel="0" collapsed="false">
      <c r="A12" s="440"/>
      <c r="B12" s="283" t="s">
        <v>549</v>
      </c>
      <c r="C12" s="283"/>
      <c r="D12" s="444" t="n">
        <f aca="false">Dados!G7</f>
        <v>0.4</v>
      </c>
      <c r="E12" s="441" t="n">
        <f aca="false">Dados!G27</f>
        <v>1518</v>
      </c>
      <c r="F12" s="442" t="n">
        <f aca="false">D12*E12</f>
        <v>607.2</v>
      </c>
      <c r="G12" s="442" t="n">
        <f aca="false">F12</f>
        <v>607.2</v>
      </c>
      <c r="H12" s="442"/>
      <c r="I12" s="442"/>
      <c r="J12" s="443" t="n">
        <f aca="false">F12</f>
        <v>607.2</v>
      </c>
    </row>
    <row r="13" customFormat="false" ht="20.25" hidden="false" customHeight="true" outlineLevel="0" collapsed="false">
      <c r="A13" s="440"/>
      <c r="B13" s="445" t="s">
        <v>550</v>
      </c>
      <c r="C13" s="446" t="n">
        <f aca="false">Dados!I7</f>
        <v>0</v>
      </c>
      <c r="D13" s="446" t="n">
        <f aca="false">Dados!J7</f>
        <v>0</v>
      </c>
      <c r="E13" s="447" t="n">
        <f aca="false">Dados!K9</f>
        <v>0</v>
      </c>
      <c r="F13" s="448" t="n">
        <f aca="false">ROUND((E13*D13*C13),2)</f>
        <v>0</v>
      </c>
      <c r="G13" s="448" t="n">
        <f aca="false">F13</f>
        <v>0</v>
      </c>
      <c r="H13" s="448"/>
      <c r="I13" s="448"/>
      <c r="J13" s="449"/>
    </row>
    <row r="14" customFormat="false" ht="19.5" hidden="false" customHeight="true" outlineLevel="0" collapsed="false">
      <c r="A14" s="440"/>
      <c r="B14" s="450" t="s">
        <v>551</v>
      </c>
      <c r="C14" s="450"/>
      <c r="D14" s="450"/>
      <c r="E14" s="450"/>
      <c r="F14" s="451" t="n">
        <f aca="false">SUM(F11:F13)</f>
        <v>2092.36</v>
      </c>
      <c r="G14" s="451" t="n">
        <f aca="false">SUM(G11:G13)</f>
        <v>2092.36</v>
      </c>
      <c r="H14" s="451" t="n">
        <f aca="false">SUM(H11:H13)</f>
        <v>0</v>
      </c>
      <c r="I14" s="451" t="n">
        <f aca="false">SUM(I11:I13)</f>
        <v>0</v>
      </c>
      <c r="J14" s="452" t="n">
        <f aca="false">SUM(J11:J13)</f>
        <v>607.2</v>
      </c>
    </row>
    <row r="15" customFormat="false" ht="19.5" hidden="false" customHeight="true" outlineLevel="0" collapsed="false">
      <c r="A15" s="440"/>
      <c r="B15" s="453" t="s">
        <v>552</v>
      </c>
      <c r="C15" s="453"/>
      <c r="D15" s="453"/>
      <c r="E15" s="454" t="n">
        <f aca="false">Encargos!$C$57</f>
        <v>0.764</v>
      </c>
      <c r="F15" s="442" t="n">
        <f aca="false">ROUND((E15*F14),2)</f>
        <v>1598.56</v>
      </c>
      <c r="G15" s="442" t="n">
        <f aca="false">F15</f>
        <v>1598.56</v>
      </c>
      <c r="H15" s="442"/>
      <c r="I15" s="442"/>
      <c r="J15" s="443" t="n">
        <f aca="false">ROUND((E15*J14),2)</f>
        <v>463.9</v>
      </c>
    </row>
    <row r="16" customFormat="false" ht="19.5" hidden="false" customHeight="true" outlineLevel="0" collapsed="false">
      <c r="A16" s="455" t="s">
        <v>553</v>
      </c>
      <c r="B16" s="455"/>
      <c r="C16" s="455"/>
      <c r="D16" s="455"/>
      <c r="E16" s="455"/>
      <c r="F16" s="456" t="n">
        <f aca="false">SUM(F14:F15)</f>
        <v>3690.92</v>
      </c>
      <c r="G16" s="456" t="n">
        <f aca="false">SUM(G14:G15)</f>
        <v>3690.92</v>
      </c>
      <c r="H16" s="456" t="n">
        <f aca="false">SUM(H14:H15)</f>
        <v>0</v>
      </c>
      <c r="I16" s="456" t="n">
        <f aca="false">SUM(I14:I15)</f>
        <v>0</v>
      </c>
      <c r="J16" s="457" t="n">
        <f aca="false">SUM(J14:J15)</f>
        <v>1071.1</v>
      </c>
    </row>
    <row r="17" customFormat="false" ht="19.5" hidden="false" customHeight="true" outlineLevel="0" collapsed="false">
      <c r="A17" s="458" t="s">
        <v>554</v>
      </c>
      <c r="B17" s="458"/>
      <c r="C17" s="458"/>
      <c r="D17" s="458"/>
      <c r="E17" s="458"/>
      <c r="F17" s="458"/>
      <c r="G17" s="458"/>
      <c r="H17" s="458"/>
      <c r="I17" s="458"/>
      <c r="J17" s="458"/>
    </row>
    <row r="18" customFormat="false" ht="19.5" hidden="false" customHeight="true" outlineLevel="0" collapsed="false">
      <c r="A18" s="282" t="s">
        <v>555</v>
      </c>
      <c r="B18" s="282"/>
      <c r="C18" s="50" t="s">
        <v>488</v>
      </c>
      <c r="D18" s="459" t="s">
        <v>556</v>
      </c>
      <c r="E18" s="459"/>
      <c r="F18" s="443" t="s">
        <v>489</v>
      </c>
      <c r="G18" s="443"/>
      <c r="H18" s="443"/>
      <c r="I18" s="443"/>
      <c r="J18" s="443"/>
    </row>
    <row r="19" customFormat="false" ht="19.5" hidden="false" customHeight="true" outlineLevel="0" collapsed="false">
      <c r="A19" s="460" t="s">
        <v>557</v>
      </c>
      <c r="B19" s="460"/>
      <c r="C19" s="289"/>
      <c r="D19" s="289"/>
      <c r="E19" s="289"/>
      <c r="F19" s="442" t="n">
        <f aca="false">Dados!$N$7</f>
        <v>26.86</v>
      </c>
      <c r="G19" s="442" t="n">
        <f aca="false">F19</f>
        <v>26.86</v>
      </c>
      <c r="H19" s="442"/>
      <c r="I19" s="442"/>
      <c r="J19" s="443"/>
    </row>
    <row r="20" customFormat="false" ht="19.5" hidden="false" customHeight="true" outlineLevel="0" collapsed="false">
      <c r="A20" s="460" t="s">
        <v>558</v>
      </c>
      <c r="B20" s="460"/>
      <c r="C20" s="289"/>
      <c r="D20" s="289"/>
      <c r="E20" s="289"/>
      <c r="F20" s="442" t="n">
        <f aca="false">Dados!$G$30</f>
        <v>5.27</v>
      </c>
      <c r="G20" s="442" t="n">
        <f aca="false">F20</f>
        <v>5.27</v>
      </c>
      <c r="H20" s="442"/>
      <c r="I20" s="442"/>
      <c r="J20" s="443"/>
    </row>
    <row r="21" customFormat="false" ht="23.25" hidden="false" customHeight="true" outlineLevel="0" collapsed="false">
      <c r="A21" s="461" t="s">
        <v>230</v>
      </c>
      <c r="B21" s="461"/>
      <c r="C21" s="289"/>
      <c r="D21" s="289"/>
      <c r="E21" s="289"/>
      <c r="F21" s="442" t="n">
        <f aca="false">Dados!G31</f>
        <v>0</v>
      </c>
      <c r="G21" s="442" t="n">
        <f aca="false">F21</f>
        <v>0</v>
      </c>
      <c r="H21" s="442"/>
      <c r="I21" s="442"/>
      <c r="J21" s="443"/>
    </row>
    <row r="22" customFormat="false" ht="19.5" hidden="false" customHeight="true" outlineLevel="0" collapsed="false">
      <c r="A22" s="460" t="s">
        <v>231</v>
      </c>
      <c r="B22" s="460"/>
      <c r="C22" s="462" t="n">
        <f aca="false">Dados!$G$34</f>
        <v>22</v>
      </c>
      <c r="D22" s="462" t="n">
        <f aca="false">Dados!$G$33</f>
        <v>2</v>
      </c>
      <c r="E22" s="289" t="n">
        <f aca="false">Dados!$G$32</f>
        <v>5</v>
      </c>
      <c r="F22" s="442" t="n">
        <f aca="false">IF(ROUND((E22*D22*C22)-(F11*Dados!$G$35),2)&lt;0,0,ROUND((E22*D22*C22)-(F11*Dados!$G$35),2))</f>
        <v>130.89</v>
      </c>
      <c r="G22" s="442" t="n">
        <f aca="false">F22</f>
        <v>130.89</v>
      </c>
      <c r="H22" s="442"/>
      <c r="I22" s="442" t="n">
        <f aca="false">F22</f>
        <v>130.89</v>
      </c>
      <c r="J22" s="443"/>
    </row>
    <row r="23" customFormat="false" ht="19.5" hidden="false" customHeight="true" outlineLevel="0" collapsed="false">
      <c r="A23" s="460" t="s">
        <v>240</v>
      </c>
      <c r="B23" s="460"/>
      <c r="C23" s="462" t="n">
        <f aca="false">Dados!$G$37</f>
        <v>22</v>
      </c>
      <c r="D23" s="463" t="n">
        <f aca="false">Dados!$G$38</f>
        <v>0.2</v>
      </c>
      <c r="E23" s="289" t="n">
        <f aca="false">Dados!$G$36</f>
        <v>29</v>
      </c>
      <c r="F23" s="329" t="n">
        <f aca="false">ROUND((IF(D11&gt;150,((C23*E23)-(C23*(D23*E23))),0)),2)</f>
        <v>510.4</v>
      </c>
      <c r="G23" s="442" t="n">
        <f aca="false">F23</f>
        <v>510.4</v>
      </c>
      <c r="H23" s="442" t="n">
        <f aca="false">$F$23</f>
        <v>510.4</v>
      </c>
      <c r="I23" s="329"/>
      <c r="J23" s="443"/>
    </row>
    <row r="24" customFormat="false" ht="19.5" hidden="false" customHeight="true" outlineLevel="0" collapsed="false">
      <c r="A24" s="460" t="s">
        <v>189</v>
      </c>
      <c r="B24" s="460"/>
      <c r="C24" s="462"/>
      <c r="D24" s="462"/>
      <c r="E24" s="289"/>
      <c r="F24" s="329" t="n">
        <f aca="false">Dados!Q7</f>
        <v>4.94</v>
      </c>
      <c r="G24" s="442" t="n">
        <f aca="false">F24</f>
        <v>4.94</v>
      </c>
      <c r="H24" s="442"/>
      <c r="I24" s="329"/>
      <c r="J24" s="443"/>
    </row>
    <row r="25" customFormat="false" ht="19.5" hidden="false" customHeight="true" outlineLevel="0" collapsed="false">
      <c r="A25" s="460" t="s">
        <v>243</v>
      </c>
      <c r="B25" s="460"/>
      <c r="C25" s="462"/>
      <c r="D25" s="462"/>
      <c r="E25" s="289"/>
      <c r="F25" s="329" t="n">
        <f aca="false">Dados!$G$40</f>
        <v>0</v>
      </c>
      <c r="G25" s="442"/>
      <c r="H25" s="442"/>
      <c r="I25" s="329"/>
      <c r="J25" s="443"/>
    </row>
    <row r="26" customFormat="false" ht="19.5" hidden="false" customHeight="true" outlineLevel="0" collapsed="false">
      <c r="A26" s="460" t="s">
        <v>559</v>
      </c>
      <c r="B26" s="460"/>
      <c r="C26" s="462"/>
      <c r="D26" s="289"/>
      <c r="E26" s="289"/>
      <c r="F26" s="442" t="n">
        <f aca="false">Dados!$O$7</f>
        <v>494.02</v>
      </c>
      <c r="G26" s="442"/>
      <c r="H26" s="442"/>
      <c r="I26" s="442"/>
      <c r="J26" s="443"/>
      <c r="L26" s="74"/>
    </row>
    <row r="27" customFormat="false" ht="19.5" hidden="false" customHeight="true" outlineLevel="0" collapsed="false">
      <c r="A27" s="460" t="s">
        <v>560</v>
      </c>
      <c r="B27" s="464"/>
      <c r="C27" s="462"/>
      <c r="D27" s="289"/>
      <c r="E27" s="289"/>
      <c r="F27" s="442"/>
      <c r="G27" s="442"/>
      <c r="H27" s="442"/>
      <c r="I27" s="442"/>
      <c r="J27" s="443"/>
    </row>
    <row r="28" customFormat="false" ht="19.5" hidden="false" customHeight="true" outlineLevel="0" collapsed="false">
      <c r="A28" s="465" t="s">
        <v>561</v>
      </c>
      <c r="B28" s="465"/>
      <c r="C28" s="466"/>
      <c r="D28" s="467"/>
      <c r="E28" s="467"/>
      <c r="F28" s="448" t="n">
        <f aca="false">Dados!$R$7</f>
        <v>4.18</v>
      </c>
      <c r="G28" s="448" t="n">
        <f aca="false">F28</f>
        <v>4.18</v>
      </c>
      <c r="H28" s="448"/>
      <c r="I28" s="448"/>
      <c r="J28" s="449"/>
    </row>
    <row r="29" customFormat="false" ht="19.5" hidden="false" customHeight="true" outlineLevel="0" collapsed="false">
      <c r="A29" s="468" t="s">
        <v>562</v>
      </c>
      <c r="B29" s="468"/>
      <c r="C29" s="468"/>
      <c r="D29" s="468"/>
      <c r="E29" s="468"/>
      <c r="F29" s="456" t="n">
        <f aca="false">SUM(F19:F28)</f>
        <v>1176.56</v>
      </c>
      <c r="G29" s="456" t="n">
        <f aca="false">SUM(G19:G28)</f>
        <v>682.54</v>
      </c>
      <c r="H29" s="456" t="n">
        <f aca="false">SUM(H19:H28)</f>
        <v>510.4</v>
      </c>
      <c r="I29" s="456" t="n">
        <f aca="false">SUM(I19:I28)</f>
        <v>130.89</v>
      </c>
      <c r="J29" s="457" t="n">
        <f aca="false">SUM(J19:J28)</f>
        <v>0</v>
      </c>
    </row>
    <row r="30" customFormat="false" ht="19.5" hidden="false" customHeight="true" outlineLevel="0" collapsed="false">
      <c r="A30" s="468" t="s">
        <v>563</v>
      </c>
      <c r="B30" s="468"/>
      <c r="C30" s="468"/>
      <c r="D30" s="468"/>
      <c r="E30" s="468"/>
      <c r="F30" s="456" t="n">
        <f aca="false">F16+F29</f>
        <v>4867.48</v>
      </c>
      <c r="G30" s="456" t="n">
        <f aca="false">G16+G29</f>
        <v>4373.46</v>
      </c>
      <c r="H30" s="456" t="n">
        <f aca="false">H16+H29</f>
        <v>510.4</v>
      </c>
      <c r="I30" s="456" t="n">
        <f aca="false">I16+I29</f>
        <v>130.89</v>
      </c>
      <c r="J30" s="457" t="n">
        <f aca="false">J16+J29</f>
        <v>1071.1</v>
      </c>
    </row>
    <row r="31" customFormat="false" ht="19.5" hidden="false" customHeight="true" outlineLevel="0" collapsed="false">
      <c r="A31" s="436" t="s">
        <v>564</v>
      </c>
      <c r="B31" s="436"/>
      <c r="C31" s="436"/>
      <c r="D31" s="436"/>
      <c r="E31" s="436"/>
      <c r="F31" s="436"/>
      <c r="G31" s="436"/>
      <c r="H31" s="436"/>
      <c r="I31" s="436"/>
      <c r="J31" s="436"/>
    </row>
    <row r="32" customFormat="false" ht="19.5" hidden="false" customHeight="true" outlineLevel="0" collapsed="false">
      <c r="A32" s="282" t="s">
        <v>565</v>
      </c>
      <c r="B32" s="282"/>
      <c r="C32" s="282"/>
      <c r="D32" s="292" t="s">
        <v>566</v>
      </c>
      <c r="E32" s="469" t="s">
        <v>489</v>
      </c>
      <c r="F32" s="469"/>
      <c r="G32" s="469"/>
      <c r="H32" s="469"/>
      <c r="I32" s="469"/>
      <c r="J32" s="469"/>
    </row>
    <row r="33" customFormat="false" ht="19.5" hidden="false" customHeight="true" outlineLevel="0" collapsed="false">
      <c r="A33" s="470" t="s">
        <v>567</v>
      </c>
      <c r="B33" s="471"/>
      <c r="C33" s="471"/>
      <c r="D33" s="444" t="n">
        <f aca="false">Dados!$G$43</f>
        <v>0.03</v>
      </c>
      <c r="E33" s="472"/>
      <c r="F33" s="442" t="n">
        <f aca="false">ROUND((F30*$D$33),2)</f>
        <v>146.02</v>
      </c>
      <c r="G33" s="442" t="n">
        <f aca="false">ROUND((G30*$D$33),2)</f>
        <v>131.2</v>
      </c>
      <c r="H33" s="442" t="n">
        <f aca="false">ROUND((H30*$D$33),2)</f>
        <v>15.31</v>
      </c>
      <c r="I33" s="442" t="n">
        <f aca="false">ROUND((I30*$D$33),2)</f>
        <v>3.93</v>
      </c>
      <c r="J33" s="443" t="n">
        <f aca="false">ROUND((J30*$D$33),2)</f>
        <v>32.13</v>
      </c>
    </row>
    <row r="34" customFormat="false" ht="19.5" hidden="false" customHeight="true" outlineLevel="0" collapsed="false">
      <c r="A34" s="473" t="s">
        <v>568</v>
      </c>
      <c r="B34" s="473"/>
      <c r="C34" s="473"/>
      <c r="D34" s="444"/>
      <c r="E34" s="472"/>
      <c r="F34" s="442" t="n">
        <f aca="false">F30+F33</f>
        <v>5013.5</v>
      </c>
      <c r="G34" s="442" t="n">
        <f aca="false">G30+G33</f>
        <v>4504.66</v>
      </c>
      <c r="H34" s="442" t="n">
        <f aca="false">H30+H33</f>
        <v>525.71</v>
      </c>
      <c r="I34" s="442" t="n">
        <f aca="false">I30+I33</f>
        <v>134.82</v>
      </c>
      <c r="J34" s="443" t="n">
        <f aca="false">J30+J33</f>
        <v>1103.23</v>
      </c>
    </row>
    <row r="35" customFormat="false" ht="19.5" hidden="false" customHeight="true" outlineLevel="0" collapsed="false">
      <c r="A35" s="474" t="s">
        <v>248</v>
      </c>
      <c r="B35" s="475"/>
      <c r="C35" s="475"/>
      <c r="D35" s="446" t="n">
        <f aca="false">Dados!$G$44</f>
        <v>0.0679</v>
      </c>
      <c r="E35" s="476"/>
      <c r="F35" s="448" t="n">
        <f aca="false">ROUND((F34*$D$35),2)</f>
        <v>340.42</v>
      </c>
      <c r="G35" s="448" t="n">
        <f aca="false">ROUND((G34*$D$35),2)</f>
        <v>305.87</v>
      </c>
      <c r="H35" s="448" t="n">
        <f aca="false">ROUND((H34*$D$35),2)</f>
        <v>35.7</v>
      </c>
      <c r="I35" s="448" t="n">
        <f aca="false">ROUND((I34*$D$35),2)</f>
        <v>9.15</v>
      </c>
      <c r="J35" s="449" t="n">
        <f aca="false">ROUND((J34*$D$35),2)</f>
        <v>74.91</v>
      </c>
    </row>
    <row r="36" customFormat="false" ht="19.5" hidden="false" customHeight="true" outlineLevel="0" collapsed="false">
      <c r="A36" s="477" t="s">
        <v>569</v>
      </c>
      <c r="B36" s="478"/>
      <c r="C36" s="478"/>
      <c r="D36" s="479" t="n">
        <f aca="false">SUM(D33:D35)</f>
        <v>0.0979</v>
      </c>
      <c r="E36" s="480"/>
      <c r="F36" s="456" t="n">
        <f aca="false">F33+F35</f>
        <v>486.44</v>
      </c>
      <c r="G36" s="456" t="n">
        <f aca="false">G33+G35</f>
        <v>437.07</v>
      </c>
      <c r="H36" s="456" t="n">
        <f aca="false">H33+H35</f>
        <v>51.01</v>
      </c>
      <c r="I36" s="456" t="n">
        <f aca="false">I33+I35</f>
        <v>13.08</v>
      </c>
      <c r="J36" s="457" t="n">
        <f aca="false">J33+J35</f>
        <v>107.04</v>
      </c>
    </row>
    <row r="37" customFormat="false" ht="19.5" hidden="false" customHeight="true" outlineLevel="0" collapsed="false">
      <c r="A37" s="481" t="s">
        <v>570</v>
      </c>
      <c r="B37" s="481"/>
      <c r="C37" s="481"/>
      <c r="D37" s="481"/>
      <c r="E37" s="481"/>
      <c r="F37" s="482" t="n">
        <f aca="false">F30+F36</f>
        <v>5353.92</v>
      </c>
      <c r="G37" s="482" t="n">
        <f aca="false">G30+G36</f>
        <v>4810.53</v>
      </c>
      <c r="H37" s="482" t="n">
        <f aca="false">H30+H36</f>
        <v>561.41</v>
      </c>
      <c r="I37" s="482" t="n">
        <f aca="false">I30+I36</f>
        <v>143.97</v>
      </c>
      <c r="J37" s="483" t="n">
        <f aca="false">J30+J36</f>
        <v>1178.14</v>
      </c>
    </row>
    <row r="38" customFormat="false" ht="19.5" hidden="false" customHeight="true" outlineLevel="0" collapsed="false">
      <c r="A38" s="484" t="s">
        <v>571</v>
      </c>
      <c r="B38" s="484"/>
      <c r="C38" s="484"/>
      <c r="D38" s="484"/>
      <c r="E38" s="484"/>
      <c r="F38" s="484"/>
      <c r="G38" s="484"/>
      <c r="H38" s="484"/>
      <c r="I38" s="484"/>
      <c r="J38" s="484"/>
    </row>
    <row r="39" customFormat="false" ht="19.5" hidden="false" customHeight="true" outlineLevel="0" collapsed="false">
      <c r="A39" s="460" t="s">
        <v>254</v>
      </c>
      <c r="B39" s="460"/>
      <c r="C39" s="460"/>
      <c r="D39" s="444" t="n">
        <f aca="false">Dados!G51</f>
        <v>0.076</v>
      </c>
      <c r="E39" s="442"/>
      <c r="F39" s="442" t="n">
        <f aca="false">ROUND(($F$45*D39),2)</f>
        <v>463.7</v>
      </c>
      <c r="G39" s="442" t="n">
        <f aca="false">ROUND((G45*$D$39),2)</f>
        <v>416.64</v>
      </c>
      <c r="H39" s="442" t="n">
        <f aca="false">ROUND((H45*$D$39),2)</f>
        <v>48.62</v>
      </c>
      <c r="I39" s="442" t="n">
        <f aca="false">ROUND((I45*$D$39),2)</f>
        <v>12.47</v>
      </c>
      <c r="J39" s="443" t="n">
        <f aca="false">ROUND((J45*$D$39),2)</f>
        <v>102.04</v>
      </c>
    </row>
    <row r="40" customFormat="false" ht="19.5" hidden="false" customHeight="true" outlineLevel="0" collapsed="false">
      <c r="A40" s="460" t="s">
        <v>256</v>
      </c>
      <c r="B40" s="460"/>
      <c r="C40" s="460"/>
      <c r="D40" s="444" t="n">
        <f aca="false">Dados!G52</f>
        <v>0.0165</v>
      </c>
      <c r="E40" s="442"/>
      <c r="F40" s="442" t="n">
        <f aca="false">ROUND((F45*$D$40),2)</f>
        <v>100.67</v>
      </c>
      <c r="G40" s="442" t="n">
        <f aca="false">ROUND((G45*$D$40),2)</f>
        <v>90.45</v>
      </c>
      <c r="H40" s="442" t="n">
        <f aca="false">ROUND((H45*$D$40),2)</f>
        <v>10.56</v>
      </c>
      <c r="I40" s="442" t="n">
        <f aca="false">ROUND((I45*$D$40),2)</f>
        <v>2.71</v>
      </c>
      <c r="J40" s="443" t="n">
        <f aca="false">ROUND((J45*$D$40),2)</f>
        <v>22.15</v>
      </c>
    </row>
    <row r="41" customFormat="false" ht="19.5" hidden="false" customHeight="true" outlineLevel="0" collapsed="false">
      <c r="A41" s="460" t="str">
        <f aca="false">Dados!B53</f>
        <v>ISSQN - Limpeza e Conservação</v>
      </c>
      <c r="B41" s="460"/>
      <c r="C41" s="460"/>
      <c r="D41" s="444" t="n">
        <f aca="false">Dados!G53</f>
        <v>0.03</v>
      </c>
      <c r="E41" s="442"/>
      <c r="F41" s="442" t="n">
        <f aca="false">ROUND((F45*$D$41),2)</f>
        <v>183.04</v>
      </c>
      <c r="G41" s="442" t="n">
        <f aca="false">ROUND((G45*$D$41),2)</f>
        <v>164.46</v>
      </c>
      <c r="H41" s="442" t="n">
        <f aca="false">ROUND((H45*$D$41),2)</f>
        <v>19.19</v>
      </c>
      <c r="I41" s="442" t="n">
        <f aca="false">ROUND((I45*$D$41),2)</f>
        <v>4.92</v>
      </c>
      <c r="J41" s="443" t="n">
        <f aca="false">ROUND((J45*$D$41),2)</f>
        <v>40.28</v>
      </c>
    </row>
    <row r="42" customFormat="false" ht="19.5" hidden="false" customHeight="true" outlineLevel="0" collapsed="false">
      <c r="A42" s="460" t="str">
        <f aca="false">Dados!B54</f>
        <v>ISSQN - Serviços Administrativos</v>
      </c>
      <c r="B42" s="460"/>
      <c r="C42" s="460"/>
      <c r="D42" s="444" t="n">
        <v>0</v>
      </c>
      <c r="E42" s="442"/>
      <c r="F42" s="442" t="n">
        <f aca="false">ROUND((F45*$D$42),2)</f>
        <v>0</v>
      </c>
      <c r="G42" s="442" t="n">
        <f aca="false">ROUND((G45*$D$42),2)</f>
        <v>0</v>
      </c>
      <c r="H42" s="442" t="n">
        <f aca="false">ROUND((H45*$D$42),2)</f>
        <v>0</v>
      </c>
      <c r="I42" s="442" t="n">
        <f aca="false">ROUND((I45*$D$42),2)</f>
        <v>0</v>
      </c>
      <c r="J42" s="443" t="n">
        <f aca="false">ROUND((J45*$D$42),2)</f>
        <v>0</v>
      </c>
    </row>
    <row r="43" customFormat="false" ht="19.5" hidden="false" customHeight="true" outlineLevel="0" collapsed="false">
      <c r="A43" s="485" t="s">
        <v>572</v>
      </c>
      <c r="B43" s="485"/>
      <c r="C43" s="485"/>
      <c r="D43" s="486" t="n">
        <f aca="false">SUM(D39:D42)</f>
        <v>0.1225</v>
      </c>
      <c r="E43" s="487"/>
      <c r="F43" s="488" t="n">
        <f aca="false">SUM(F39:F42)</f>
        <v>747.41</v>
      </c>
      <c r="G43" s="488" t="n">
        <f aca="false">SUM(G39:G42)</f>
        <v>671.55</v>
      </c>
      <c r="H43" s="488" t="n">
        <f aca="false">SUM(H39:H42)</f>
        <v>78.37</v>
      </c>
      <c r="I43" s="488" t="n">
        <f aca="false">SUM(I39:I42)</f>
        <v>20.1</v>
      </c>
      <c r="J43" s="489" t="n">
        <f aca="false">SUM(J39:J41)</f>
        <v>164.47</v>
      </c>
    </row>
    <row r="44" customFormat="false" ht="19.5" hidden="false" customHeight="true" outlineLevel="0" collapsed="false">
      <c r="A44" s="490" t="str">
        <f aca="false">CONCATENATE("Custo Mensal - ",A7)</f>
        <v>Custo Mensal - Servente de Limpeza 40% Insalubridade</v>
      </c>
      <c r="B44" s="490"/>
      <c r="C44" s="490"/>
      <c r="D44" s="490"/>
      <c r="E44" s="490"/>
      <c r="F44" s="491" t="n">
        <f aca="false">ROUND(F37/(1-D43),2)</f>
        <v>6101.33</v>
      </c>
      <c r="G44" s="491" t="n">
        <f aca="false">ROUND(G37/(1-D43),2)</f>
        <v>5482.09</v>
      </c>
      <c r="H44" s="491" t="n">
        <f aca="false">ROUND(H37/(1-D43),2)</f>
        <v>639.78</v>
      </c>
      <c r="I44" s="491" t="n">
        <f aca="false">ROUND(I37/(1-D43),2)</f>
        <v>164.07</v>
      </c>
      <c r="J44" s="492" t="n">
        <f aca="false">ROUND(J37/(1-D43),2)</f>
        <v>1342.61</v>
      </c>
    </row>
    <row r="45" customFormat="false" ht="19.5" hidden="false" customHeight="true" outlineLevel="0" collapsed="false">
      <c r="A45" s="490" t="str">
        <f aca="false">CONCATENATE("Valor do Custo Mensal - ",A7)</f>
        <v>Valor do Custo Mensal - Servente de Limpeza 40% Insalubridade</v>
      </c>
      <c r="B45" s="490"/>
      <c r="C45" s="490"/>
      <c r="D45" s="490"/>
      <c r="E45" s="490"/>
      <c r="F45" s="491" t="n">
        <f aca="false">F44</f>
        <v>6101.33</v>
      </c>
      <c r="G45" s="491" t="n">
        <f aca="false">G44</f>
        <v>5482.09</v>
      </c>
      <c r="H45" s="491" t="n">
        <f aca="false">H44</f>
        <v>639.78</v>
      </c>
      <c r="I45" s="491" t="n">
        <f aca="false">I44</f>
        <v>164.07</v>
      </c>
      <c r="J45" s="492" t="n">
        <f aca="false">J44</f>
        <v>1342.61</v>
      </c>
      <c r="K45" s="493"/>
      <c r="L45" s="493"/>
    </row>
    <row r="46" customFormat="false" ht="27.75" hidden="false" customHeight="true" outlineLevel="0" collapsed="false">
      <c r="A46" s="494" t="s">
        <v>573</v>
      </c>
      <c r="B46" s="494"/>
      <c r="C46" s="494"/>
      <c r="D46" s="494"/>
      <c r="E46" s="494"/>
      <c r="F46" s="495" t="n">
        <f aca="false">(F45/F14)</f>
        <v>2.91600393813684</v>
      </c>
      <c r="G46" s="495" t="n">
        <f aca="false">(G45/G14)</f>
        <v>2.62005104284158</v>
      </c>
      <c r="H46" s="496" t="s">
        <v>574</v>
      </c>
      <c r="I46" s="496"/>
      <c r="J46" s="497" t="n">
        <f aca="false">ROUND((J45/30),2)</f>
        <v>44.75</v>
      </c>
    </row>
    <row r="47" customFormat="false" ht="19.5" hidden="false" customHeight="true" outlineLevel="0" collapsed="false"/>
  </sheetData>
  <sheetProtection sheet="true" password="c4d4" objects="true" scenarios="true"/>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A42:C42"/>
    <mergeCell ref="A43:C43"/>
    <mergeCell ref="A44:E44"/>
    <mergeCell ref="A45:E45"/>
    <mergeCell ref="A46:E46"/>
    <mergeCell ref="H46:I46"/>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242</TotalTime>
  <Application>LibreOffice/24.2.4.2$Windows_X86_64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Fábio Lucas Gouveia dos Santos</dc:creator>
  <dc:description/>
  <dc:language>pt-BR</dc:language>
  <cp:lastModifiedBy/>
  <dcterms:modified xsi:type="dcterms:W3CDTF">2025-09-11T13:33:27Z</dcterms:modified>
  <cp:revision>38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ProgId">
    <vt:lpwstr>Excel.Sheet</vt:lpwstr>
  </property>
  <property fmtid="{D5CDD505-2E9C-101B-9397-08002B2CF9AE}" pid="5" name="ScaleCrop">
    <vt:bool>0</vt:bool>
  </property>
  <property fmtid="{D5CDD505-2E9C-101B-9397-08002B2CF9AE}" pid="6" name="ShareDoc">
    <vt:bool>0</vt:bool>
  </property>
</Properties>
</file>