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itab\OneDrive\Documents\TRF-6\PREGÃO 2026 - UASG 90013\PREGÃO 9004 - LIMPEZA VIÇOSA\"/>
    </mc:Choice>
  </mc:AlternateContent>
  <xr:revisionPtr revIDLastSave="0" documentId="8_{D9C8D13B-8DF8-4277-ADAD-5E5FECBA2D4E}" xr6:coauthVersionLast="47" xr6:coauthVersionMax="47" xr10:uidLastSave="{00000000-0000-0000-0000-000000000000}"/>
  <bookViews>
    <workbookView xWindow="-108" yWindow="-108" windowWidth="23256" windowHeight="13896" tabRatio="500" firstSheet="1" activeTab="1" xr2:uid="{00000000-000D-0000-FFFF-FFFF00000000}"/>
  </bookViews>
  <sheets>
    <sheet name="Ocorrências Mensais - FAT" sheetId="1" state="hidden" r:id="rId1"/>
    <sheet name="INSTRUÇÕES" sheetId="2" r:id="rId2"/>
    <sheet name="Dados" sheetId="3" r:id="rId3"/>
    <sheet name="Encargos" sheetId="4" r:id="rId4"/>
    <sheet name="Insumos" sheetId="5" r:id="rId5"/>
    <sheet name="Equipamentos" sheetId="6" r:id="rId6"/>
    <sheet name="EPI" sheetId="7" r:id="rId7"/>
    <sheet name="Uniformes" sheetId="8" r:id="rId8"/>
    <sheet name="Resumo" sheetId="9" r:id="rId9"/>
    <sheet name="Auxiliar Administrativo" sheetId="10" r:id="rId10"/>
    <sheet name="Servente acúmulo de função Copa" sheetId="11" r:id="rId11"/>
    <sheet name="Servente Insalubridade 40%" sheetId="12" r:id="rId12"/>
    <sheet name="Custo Estimado Substituto" sheetId="13" r:id="rId13"/>
    <sheet name="IPCA" sheetId="14" state="hidden" r:id="rId14"/>
  </sheets>
  <definedNames>
    <definedName name="_xlnm.Print_Area" localSheetId="9">'Auxiliar Administrativo'!$A$1:$J$47</definedName>
    <definedName name="_xlnm.Print_Area" localSheetId="2">Dados!$A$1:$S$54</definedName>
    <definedName name="_xlnm.Print_Area" localSheetId="3">Encargos!$A$1:$H$59</definedName>
    <definedName name="_xlnm.Print_Area" localSheetId="5">Equipamentos!$A$1:$H$16</definedName>
    <definedName name="_xlnm.Print_Area" localSheetId="1">INSTRUÇÕES!$A$1:$AA$80</definedName>
    <definedName name="_xlnm.Print_Area" localSheetId="4">Insumos!$A$1:$L$59</definedName>
    <definedName name="_xlnm.Print_Area" localSheetId="10">'Servente acúmulo de função Copa'!$A$1:$J$47</definedName>
    <definedName name="_xlnm.Print_Area" localSheetId="11">'Servente Insalubridade 40%'!$A$1:$J$47</definedName>
    <definedName name="_xlnm.Print_Area" localSheetId="7">Uniformes!$A$1:$U$26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9">'Auxiliar Administrativo'!$A$1:$J$47</definedName>
    <definedName name="Print_Area_0" localSheetId="2">Dados!$A$1:$S$54</definedName>
    <definedName name="Print_Area_0" localSheetId="3">Encargos!$A$1:$H$59</definedName>
    <definedName name="Print_Area_0" localSheetId="4">Insumos!$A$1:$L$58</definedName>
    <definedName name="Print_Area_0" localSheetId="10">'Servente acúmulo de função Copa'!$A$1:$J$47</definedName>
    <definedName name="Print_Area_0" localSheetId="11">'Servente Insalubridade 40%'!$A$1:$J$47</definedName>
    <definedName name="Print_Area_0" localSheetId="7">Uniformes!$A$1:$H$26</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22" i="14" l="1"/>
  <c r="AH22" i="14" s="1"/>
  <c r="AE22" i="14"/>
  <c r="Z22" i="14"/>
  <c r="AA22" i="14" s="1"/>
  <c r="X22" i="14"/>
  <c r="T22" i="14"/>
  <c r="S22" i="14"/>
  <c r="Q22" i="14"/>
  <c r="L22" i="14"/>
  <c r="M22" i="14" s="1"/>
  <c r="J22" i="14"/>
  <c r="I22" i="14"/>
  <c r="P22" i="14" s="1"/>
  <c r="W22" i="14" s="1"/>
  <c r="AD22" i="14" s="1"/>
  <c r="F22" i="14"/>
  <c r="AH21" i="14"/>
  <c r="AE21" i="14"/>
  <c r="AA21" i="14"/>
  <c r="X21" i="14"/>
  <c r="T21" i="14"/>
  <c r="Q21" i="14"/>
  <c r="M21" i="14"/>
  <c r="J21" i="14"/>
  <c r="I21" i="14"/>
  <c r="P21" i="14" s="1"/>
  <c r="W21" i="14" s="1"/>
  <c r="AD21" i="14" s="1"/>
  <c r="F21" i="14"/>
  <c r="AH20" i="14"/>
  <c r="AE20" i="14"/>
  <c r="AA20" i="14"/>
  <c r="X20" i="14"/>
  <c r="T20" i="14"/>
  <c r="Q20" i="14"/>
  <c r="M20" i="14"/>
  <c r="J20" i="14"/>
  <c r="I20" i="14"/>
  <c r="P20" i="14" s="1"/>
  <c r="W20" i="14" s="1"/>
  <c r="AD20" i="14" s="1"/>
  <c r="F20" i="14"/>
  <c r="AH19" i="14"/>
  <c r="AE19" i="14"/>
  <c r="AA19" i="14"/>
  <c r="X19" i="14"/>
  <c r="W19" i="14"/>
  <c r="AD19" i="14" s="1"/>
  <c r="T19" i="14"/>
  <c r="Q19" i="14"/>
  <c r="M19" i="14"/>
  <c r="J19" i="14"/>
  <c r="I19" i="14"/>
  <c r="P19" i="14" s="1"/>
  <c r="F19" i="14"/>
  <c r="AH18" i="14"/>
  <c r="AE18" i="14"/>
  <c r="AA18" i="14"/>
  <c r="X18" i="14"/>
  <c r="T18" i="14"/>
  <c r="Q18" i="14"/>
  <c r="M18" i="14"/>
  <c r="J18" i="14"/>
  <c r="I18" i="14"/>
  <c r="P18" i="14" s="1"/>
  <c r="W18" i="14" s="1"/>
  <c r="AD18" i="14" s="1"/>
  <c r="F18" i="14"/>
  <c r="AH17" i="14"/>
  <c r="AE17" i="14"/>
  <c r="AA17" i="14"/>
  <c r="X17" i="14"/>
  <c r="T17" i="14"/>
  <c r="Q17" i="14"/>
  <c r="P17" i="14"/>
  <c r="W17" i="14" s="1"/>
  <c r="AD17" i="14" s="1"/>
  <c r="M17" i="14"/>
  <c r="J17" i="14"/>
  <c r="I17" i="14"/>
  <c r="F17" i="14"/>
  <c r="AH16" i="14"/>
  <c r="AE16" i="14"/>
  <c r="AA16" i="14"/>
  <c r="X16" i="14"/>
  <c r="T16" i="14"/>
  <c r="Q16" i="14"/>
  <c r="M16" i="14"/>
  <c r="J16" i="14"/>
  <c r="I16" i="14"/>
  <c r="P16" i="14" s="1"/>
  <c r="W16" i="14" s="1"/>
  <c r="AD16" i="14" s="1"/>
  <c r="F16" i="14"/>
  <c r="AH15" i="14"/>
  <c r="AE15" i="14"/>
  <c r="AA15" i="14"/>
  <c r="X15" i="14"/>
  <c r="T15" i="14"/>
  <c r="Q15" i="14"/>
  <c r="M15" i="14"/>
  <c r="J15" i="14"/>
  <c r="I15" i="14"/>
  <c r="P15" i="14" s="1"/>
  <c r="W15" i="14" s="1"/>
  <c r="AD15" i="14" s="1"/>
  <c r="F15" i="14"/>
  <c r="AH14" i="14"/>
  <c r="AE14" i="14"/>
  <c r="AA14" i="14"/>
  <c r="X14" i="14"/>
  <c r="T14" i="14"/>
  <c r="Q14" i="14"/>
  <c r="M14" i="14"/>
  <c r="J14" i="14"/>
  <c r="I14" i="14"/>
  <c r="P14" i="14" s="1"/>
  <c r="W14" i="14" s="1"/>
  <c r="AD14" i="14" s="1"/>
  <c r="F14" i="14"/>
  <c r="AH13" i="14"/>
  <c r="AE13" i="14"/>
  <c r="AA13" i="14"/>
  <c r="X13" i="14"/>
  <c r="T13" i="14"/>
  <c r="Q13" i="14"/>
  <c r="P13" i="14"/>
  <c r="W13" i="14" s="1"/>
  <c r="AD13" i="14" s="1"/>
  <c r="M13" i="14"/>
  <c r="J13" i="14"/>
  <c r="I13" i="14"/>
  <c r="F13" i="14"/>
  <c r="AH12" i="14"/>
  <c r="AE12" i="14"/>
  <c r="AA12" i="14"/>
  <c r="X12" i="14"/>
  <c r="T12" i="14"/>
  <c r="Q12" i="14"/>
  <c r="M12" i="14"/>
  <c r="J12" i="14"/>
  <c r="I12" i="14"/>
  <c r="P12" i="14" s="1"/>
  <c r="W12" i="14" s="1"/>
  <c r="AD12" i="14" s="1"/>
  <c r="F12" i="14"/>
  <c r="AH11" i="14"/>
  <c r="AE11" i="14"/>
  <c r="AA11" i="14"/>
  <c r="X11" i="14"/>
  <c r="T11" i="14"/>
  <c r="Q11" i="14"/>
  <c r="M11" i="14"/>
  <c r="J11" i="14"/>
  <c r="I11" i="14"/>
  <c r="P11" i="14" s="1"/>
  <c r="W11" i="14" s="1"/>
  <c r="AD11" i="14" s="1"/>
  <c r="F11" i="14"/>
  <c r="AG10" i="14"/>
  <c r="AH10" i="14" s="1"/>
  <c r="AI10" i="14" s="1"/>
  <c r="AE10" i="14"/>
  <c r="AA10" i="14"/>
  <c r="AB10" i="14" s="1"/>
  <c r="AB11" i="14" s="1"/>
  <c r="AB12" i="14" s="1"/>
  <c r="AB13" i="14" s="1"/>
  <c r="AB14" i="14" s="1"/>
  <c r="AB15" i="14" s="1"/>
  <c r="AB16" i="14" s="1"/>
  <c r="AB17" i="14" s="1"/>
  <c r="AB18" i="14" s="1"/>
  <c r="AB19" i="14" s="1"/>
  <c r="AB20" i="14" s="1"/>
  <c r="AB21" i="14" s="1"/>
  <c r="AB22" i="14" s="1"/>
  <c r="AB23" i="14" s="1"/>
  <c r="Z10" i="14"/>
  <c r="X10" i="14"/>
  <c r="S10" i="14"/>
  <c r="T10" i="14" s="1"/>
  <c r="U10" i="14" s="1"/>
  <c r="U11" i="14" s="1"/>
  <c r="U12" i="14" s="1"/>
  <c r="U13" i="14" s="1"/>
  <c r="U14" i="14" s="1"/>
  <c r="U15" i="14" s="1"/>
  <c r="U16" i="14" s="1"/>
  <c r="U17" i="14" s="1"/>
  <c r="U18" i="14" s="1"/>
  <c r="U19" i="14" s="1"/>
  <c r="U20" i="14" s="1"/>
  <c r="U21" i="14" s="1"/>
  <c r="U22" i="14" s="1"/>
  <c r="U23" i="14" s="1"/>
  <c r="D61" i="3" s="1"/>
  <c r="N61" i="3" s="1"/>
  <c r="Q10" i="14"/>
  <c r="L10" i="14"/>
  <c r="M10" i="14" s="1"/>
  <c r="N10" i="14" s="1"/>
  <c r="J10" i="14"/>
  <c r="I10" i="14"/>
  <c r="P10" i="14" s="1"/>
  <c r="W10" i="14" s="1"/>
  <c r="AD10" i="14" s="1"/>
  <c r="F10" i="14"/>
  <c r="G10" i="14" s="1"/>
  <c r="G11" i="14" s="1"/>
  <c r="G12" i="14" s="1"/>
  <c r="G13" i="14" s="1"/>
  <c r="G14" i="14" s="1"/>
  <c r="G15" i="14" s="1"/>
  <c r="G16" i="14" s="1"/>
  <c r="G17" i="14" s="1"/>
  <c r="G18" i="14" s="1"/>
  <c r="G19" i="14" s="1"/>
  <c r="G20" i="14" s="1"/>
  <c r="G21" i="14" s="1"/>
  <c r="G22" i="14" s="1"/>
  <c r="G23" i="14" s="1"/>
  <c r="D59" i="3" s="1"/>
  <c r="N59" i="3" s="1"/>
  <c r="E24" i="13"/>
  <c r="B24" i="13"/>
  <c r="E23" i="13"/>
  <c r="E21" i="13"/>
  <c r="E20" i="13" s="1"/>
  <c r="E19" i="13"/>
  <c r="E18" i="13"/>
  <c r="H5" i="13"/>
  <c r="G5" i="13"/>
  <c r="F5" i="13"/>
  <c r="B3" i="13"/>
  <c r="B2" i="13"/>
  <c r="B1" i="13"/>
  <c r="D43" i="12"/>
  <c r="D42" i="12"/>
  <c r="D41" i="12"/>
  <c r="D40" i="12"/>
  <c r="D36" i="12"/>
  <c r="D34" i="12"/>
  <c r="D37" i="12" s="1"/>
  <c r="J30" i="12"/>
  <c r="F29" i="12"/>
  <c r="A29" i="12"/>
  <c r="F28" i="12"/>
  <c r="A28" i="12"/>
  <c r="E23" i="12"/>
  <c r="D23" i="12"/>
  <c r="E22" i="12"/>
  <c r="D22" i="12"/>
  <c r="C22" i="12"/>
  <c r="F21" i="12"/>
  <c r="G21" i="12" s="1"/>
  <c r="G20" i="12"/>
  <c r="F20" i="12"/>
  <c r="I14" i="12"/>
  <c r="I16" i="12" s="1"/>
  <c r="H14" i="12"/>
  <c r="H16" i="12" s="1"/>
  <c r="E13" i="12"/>
  <c r="D13" i="12"/>
  <c r="C13" i="12"/>
  <c r="E12" i="12"/>
  <c r="D12" i="12"/>
  <c r="F12" i="12" s="1"/>
  <c r="E11" i="12"/>
  <c r="D11" i="12"/>
  <c r="A7" i="12"/>
  <c r="A45" i="12" s="1"/>
  <c r="B3" i="12"/>
  <c r="B2" i="12"/>
  <c r="B1" i="12"/>
  <c r="D43" i="11"/>
  <c r="D42" i="11"/>
  <c r="D41" i="11"/>
  <c r="D40" i="11"/>
  <c r="D36" i="11"/>
  <c r="D34" i="11"/>
  <c r="J30" i="11"/>
  <c r="F29" i="11"/>
  <c r="A29" i="11"/>
  <c r="F28" i="11"/>
  <c r="A28" i="11"/>
  <c r="E23" i="11"/>
  <c r="D23" i="11"/>
  <c r="E22" i="11"/>
  <c r="D22" i="11"/>
  <c r="C22" i="11"/>
  <c r="F21" i="11"/>
  <c r="G21" i="11" s="1"/>
  <c r="G20" i="11"/>
  <c r="F20" i="11"/>
  <c r="I14" i="11"/>
  <c r="I16" i="11" s="1"/>
  <c r="H14" i="11"/>
  <c r="H16" i="11" s="1"/>
  <c r="D13" i="11"/>
  <c r="C13" i="11"/>
  <c r="E12" i="11"/>
  <c r="D12" i="11"/>
  <c r="F12" i="11" s="1"/>
  <c r="E11" i="11"/>
  <c r="F11" i="11" s="1"/>
  <c r="D11" i="11"/>
  <c r="A7" i="11"/>
  <c r="B3" i="11"/>
  <c r="B2" i="11"/>
  <c r="B1" i="11"/>
  <c r="D43" i="10"/>
  <c r="D42" i="10"/>
  <c r="D41" i="10"/>
  <c r="D40" i="10"/>
  <c r="D36" i="10"/>
  <c r="D34" i="10"/>
  <c r="D37" i="10" s="1"/>
  <c r="J30" i="10"/>
  <c r="F29" i="10"/>
  <c r="A29" i="10"/>
  <c r="F28" i="10"/>
  <c r="A28" i="10"/>
  <c r="E23" i="10"/>
  <c r="D23" i="10"/>
  <c r="E22" i="10"/>
  <c r="D22" i="10"/>
  <c r="C22" i="10"/>
  <c r="G21" i="10"/>
  <c r="F21" i="10"/>
  <c r="F20" i="10"/>
  <c r="G20" i="10" s="1"/>
  <c r="I14" i="10"/>
  <c r="I16" i="10" s="1"/>
  <c r="H14" i="10"/>
  <c r="H16" i="10" s="1"/>
  <c r="E13" i="10"/>
  <c r="D13" i="10"/>
  <c r="C13" i="10"/>
  <c r="J12" i="10"/>
  <c r="J14" i="10" s="1"/>
  <c r="E12" i="10"/>
  <c r="D12" i="10"/>
  <c r="F12" i="10" s="1"/>
  <c r="G12" i="10" s="1"/>
  <c r="E11" i="10"/>
  <c r="F11" i="10" s="1"/>
  <c r="D11" i="10"/>
  <c r="A7" i="10"/>
  <c r="A45" i="10" s="1"/>
  <c r="B3" i="10"/>
  <c r="B2" i="10"/>
  <c r="B1" i="10"/>
  <c r="Q14" i="9"/>
  <c r="N14" i="9"/>
  <c r="D14" i="9"/>
  <c r="C14" i="9"/>
  <c r="B14" i="9"/>
  <c r="U13" i="9"/>
  <c r="U15" i="9" s="1"/>
  <c r="Q13" i="9"/>
  <c r="N13" i="9"/>
  <c r="D13" i="9"/>
  <c r="C13" i="9"/>
  <c r="B13" i="9"/>
  <c r="A13" i="9"/>
  <c r="Q12" i="9"/>
  <c r="Q15" i="9" s="1"/>
  <c r="N12" i="9"/>
  <c r="D12" i="9"/>
  <c r="C12" i="9"/>
  <c r="B12" i="9"/>
  <c r="A12" i="9"/>
  <c r="B3" i="9"/>
  <c r="A5" i="9" s="1"/>
  <c r="B2" i="9"/>
  <c r="B1" i="9"/>
  <c r="A24" i="8"/>
  <c r="A18" i="8"/>
  <c r="L17" i="8"/>
  <c r="M17" i="8" s="1"/>
  <c r="N17" i="8" s="1"/>
  <c r="O17" i="8" s="1"/>
  <c r="K17" i="8"/>
  <c r="F17" i="8"/>
  <c r="H17" i="8" s="1"/>
  <c r="H18" i="8" s="1"/>
  <c r="H19" i="8" s="1"/>
  <c r="K16" i="8"/>
  <c r="L16" i="8" s="1"/>
  <c r="M16" i="8" s="1"/>
  <c r="N16" i="8" s="1"/>
  <c r="O16" i="8" s="1"/>
  <c r="F16" i="8"/>
  <c r="H16" i="8" s="1"/>
  <c r="K11" i="8"/>
  <c r="L11" i="8" s="1"/>
  <c r="M11" i="8" s="1"/>
  <c r="N11" i="8" s="1"/>
  <c r="O11" i="8" s="1"/>
  <c r="A11" i="8"/>
  <c r="F9" i="8" s="1"/>
  <c r="H9" i="8" s="1"/>
  <c r="O10" i="8"/>
  <c r="L10" i="8"/>
  <c r="M10" i="8" s="1"/>
  <c r="N10" i="8" s="1"/>
  <c r="K10" i="8"/>
  <c r="K9" i="8"/>
  <c r="L9" i="8" s="1"/>
  <c r="M9" i="8" s="1"/>
  <c r="N9" i="8" s="1"/>
  <c r="O9" i="8" s="1"/>
  <c r="B3" i="8"/>
  <c r="B2" i="8"/>
  <c r="B1" i="8"/>
  <c r="F10" i="7"/>
  <c r="F9" i="7"/>
  <c r="E8" i="7"/>
  <c r="F8" i="7" s="1"/>
  <c r="B3" i="7"/>
  <c r="B2" i="7"/>
  <c r="B1" i="7"/>
  <c r="G14" i="6"/>
  <c r="E12" i="6"/>
  <c r="F12" i="6" s="1"/>
  <c r="G12" i="6" s="1"/>
  <c r="F11" i="6"/>
  <c r="G11" i="6" s="1"/>
  <c r="E11" i="6"/>
  <c r="E10" i="6"/>
  <c r="F10" i="6" s="1"/>
  <c r="G10" i="6" s="1"/>
  <c r="E9" i="6"/>
  <c r="F9" i="6" s="1"/>
  <c r="G9" i="6" s="1"/>
  <c r="B3" i="6"/>
  <c r="B2" i="6"/>
  <c r="B1" i="6"/>
  <c r="K58" i="5"/>
  <c r="O56" i="5"/>
  <c r="P56" i="5" s="1"/>
  <c r="Q56" i="5" s="1"/>
  <c r="R56" i="5" s="1"/>
  <c r="S56" i="5" s="1"/>
  <c r="L56" i="5"/>
  <c r="O55" i="5"/>
  <c r="P55" i="5" s="1"/>
  <c r="Q55" i="5" s="1"/>
  <c r="R55" i="5" s="1"/>
  <c r="S55" i="5" s="1"/>
  <c r="L55" i="5"/>
  <c r="O54" i="5"/>
  <c r="P54" i="5" s="1"/>
  <c r="Q54" i="5" s="1"/>
  <c r="R54" i="5" s="1"/>
  <c r="S54" i="5" s="1"/>
  <c r="L54" i="5"/>
  <c r="Q53" i="5"/>
  <c r="R53" i="5" s="1"/>
  <c r="S53" i="5" s="1"/>
  <c r="P53" i="5"/>
  <c r="O53" i="5"/>
  <c r="L53" i="5"/>
  <c r="P52" i="5"/>
  <c r="Q52" i="5" s="1"/>
  <c r="R52" i="5" s="1"/>
  <c r="S52" i="5" s="1"/>
  <c r="O52" i="5"/>
  <c r="L52" i="5"/>
  <c r="O51" i="5"/>
  <c r="P51" i="5" s="1"/>
  <c r="Q51" i="5" s="1"/>
  <c r="R51" i="5" s="1"/>
  <c r="S51" i="5" s="1"/>
  <c r="L51" i="5"/>
  <c r="O50" i="5"/>
  <c r="P50" i="5" s="1"/>
  <c r="Q50" i="5" s="1"/>
  <c r="R50" i="5" s="1"/>
  <c r="S50" i="5" s="1"/>
  <c r="L50" i="5"/>
  <c r="Q49" i="5"/>
  <c r="R49" i="5" s="1"/>
  <c r="S49" i="5" s="1"/>
  <c r="O49" i="5"/>
  <c r="P49" i="5" s="1"/>
  <c r="L49" i="5"/>
  <c r="Q48" i="5"/>
  <c r="R48" i="5" s="1"/>
  <c r="S48" i="5" s="1"/>
  <c r="O48" i="5"/>
  <c r="P48" i="5" s="1"/>
  <c r="L48" i="5"/>
  <c r="K42" i="5"/>
  <c r="O40" i="5"/>
  <c r="P40" i="5" s="1"/>
  <c r="Q40" i="5" s="1"/>
  <c r="R40" i="5" s="1"/>
  <c r="S40" i="5" s="1"/>
  <c r="L40" i="5"/>
  <c r="O39" i="5"/>
  <c r="P39" i="5" s="1"/>
  <c r="Q39" i="5" s="1"/>
  <c r="R39" i="5" s="1"/>
  <c r="S39" i="5" s="1"/>
  <c r="L39" i="5"/>
  <c r="O38" i="5"/>
  <c r="P38" i="5" s="1"/>
  <c r="Q38" i="5" s="1"/>
  <c r="R38" i="5" s="1"/>
  <c r="S38" i="5" s="1"/>
  <c r="L38" i="5"/>
  <c r="O37" i="5"/>
  <c r="P37" i="5" s="1"/>
  <c r="Q37" i="5" s="1"/>
  <c r="R37" i="5" s="1"/>
  <c r="S37" i="5" s="1"/>
  <c r="L37" i="5"/>
  <c r="Q36" i="5"/>
  <c r="R36" i="5" s="1"/>
  <c r="S36" i="5" s="1"/>
  <c r="O36" i="5"/>
  <c r="P36" i="5" s="1"/>
  <c r="L36" i="5"/>
  <c r="O35" i="5"/>
  <c r="P35" i="5" s="1"/>
  <c r="Q35" i="5" s="1"/>
  <c r="R35" i="5" s="1"/>
  <c r="S35" i="5" s="1"/>
  <c r="L35" i="5"/>
  <c r="O34" i="5"/>
  <c r="P34" i="5" s="1"/>
  <c r="Q34" i="5" s="1"/>
  <c r="R34" i="5" s="1"/>
  <c r="S34" i="5" s="1"/>
  <c r="L34" i="5"/>
  <c r="O33" i="5"/>
  <c r="P33" i="5" s="1"/>
  <c r="Q33" i="5" s="1"/>
  <c r="R33" i="5" s="1"/>
  <c r="S33" i="5" s="1"/>
  <c r="L33" i="5"/>
  <c r="O32" i="5"/>
  <c r="P32" i="5" s="1"/>
  <c r="Q32" i="5" s="1"/>
  <c r="R32" i="5" s="1"/>
  <c r="S32" i="5" s="1"/>
  <c r="L32" i="5"/>
  <c r="O31" i="5"/>
  <c r="P31" i="5" s="1"/>
  <c r="Q31" i="5" s="1"/>
  <c r="R31" i="5" s="1"/>
  <c r="S31" i="5" s="1"/>
  <c r="L31" i="5"/>
  <c r="O30" i="5"/>
  <c r="P30" i="5" s="1"/>
  <c r="Q30" i="5" s="1"/>
  <c r="R30" i="5" s="1"/>
  <c r="S30" i="5" s="1"/>
  <c r="L30" i="5"/>
  <c r="O29" i="5"/>
  <c r="P29" i="5" s="1"/>
  <c r="Q29" i="5" s="1"/>
  <c r="R29" i="5" s="1"/>
  <c r="S29" i="5" s="1"/>
  <c r="L29" i="5"/>
  <c r="O28" i="5"/>
  <c r="P28" i="5" s="1"/>
  <c r="Q28" i="5" s="1"/>
  <c r="R28" i="5" s="1"/>
  <c r="S28" i="5" s="1"/>
  <c r="L28" i="5"/>
  <c r="O27" i="5"/>
  <c r="P27" i="5" s="1"/>
  <c r="Q27" i="5" s="1"/>
  <c r="R27" i="5" s="1"/>
  <c r="S27" i="5" s="1"/>
  <c r="L27" i="5"/>
  <c r="O26" i="5"/>
  <c r="P26" i="5" s="1"/>
  <c r="Q26" i="5" s="1"/>
  <c r="R26" i="5" s="1"/>
  <c r="S26" i="5" s="1"/>
  <c r="L26" i="5"/>
  <c r="O25" i="5"/>
  <c r="P25" i="5" s="1"/>
  <c r="Q25" i="5" s="1"/>
  <c r="R25" i="5" s="1"/>
  <c r="S25" i="5" s="1"/>
  <c r="L25" i="5"/>
  <c r="O24" i="5"/>
  <c r="P24" i="5" s="1"/>
  <c r="Q24" i="5" s="1"/>
  <c r="R24" i="5" s="1"/>
  <c r="S24" i="5" s="1"/>
  <c r="L24" i="5"/>
  <c r="P23" i="5"/>
  <c r="Q23" i="5" s="1"/>
  <c r="R23" i="5" s="1"/>
  <c r="S23" i="5" s="1"/>
  <c r="O23" i="5"/>
  <c r="L23" i="5"/>
  <c r="O22" i="5"/>
  <c r="P22" i="5" s="1"/>
  <c r="Q22" i="5" s="1"/>
  <c r="R22" i="5" s="1"/>
  <c r="S22" i="5" s="1"/>
  <c r="L22" i="5"/>
  <c r="O21" i="5"/>
  <c r="P21" i="5" s="1"/>
  <c r="Q21" i="5" s="1"/>
  <c r="R21" i="5" s="1"/>
  <c r="S21" i="5" s="1"/>
  <c r="L21" i="5"/>
  <c r="O20" i="5"/>
  <c r="P20" i="5" s="1"/>
  <c r="Q20" i="5" s="1"/>
  <c r="R20" i="5" s="1"/>
  <c r="S20" i="5" s="1"/>
  <c r="L20" i="5"/>
  <c r="O19" i="5"/>
  <c r="P19" i="5" s="1"/>
  <c r="Q19" i="5" s="1"/>
  <c r="R19" i="5" s="1"/>
  <c r="S19" i="5" s="1"/>
  <c r="L19" i="5"/>
  <c r="O18" i="5"/>
  <c r="P18" i="5" s="1"/>
  <c r="Q18" i="5" s="1"/>
  <c r="R18" i="5" s="1"/>
  <c r="S18" i="5" s="1"/>
  <c r="L18" i="5"/>
  <c r="P17" i="5"/>
  <c r="Q17" i="5" s="1"/>
  <c r="R17" i="5" s="1"/>
  <c r="S17" i="5" s="1"/>
  <c r="O17" i="5"/>
  <c r="L17" i="5"/>
  <c r="O16" i="5"/>
  <c r="P16" i="5" s="1"/>
  <c r="Q16" i="5" s="1"/>
  <c r="R16" i="5" s="1"/>
  <c r="S16" i="5" s="1"/>
  <c r="L16" i="5"/>
  <c r="L15" i="5"/>
  <c r="O14" i="5"/>
  <c r="P14" i="5" s="1"/>
  <c r="Q14" i="5" s="1"/>
  <c r="R14" i="5" s="1"/>
  <c r="S14" i="5" s="1"/>
  <c r="L14" i="5"/>
  <c r="P13" i="5"/>
  <c r="Q13" i="5" s="1"/>
  <c r="R13" i="5" s="1"/>
  <c r="S13" i="5" s="1"/>
  <c r="O13" i="5"/>
  <c r="L13" i="5"/>
  <c r="O12" i="5"/>
  <c r="P12" i="5" s="1"/>
  <c r="Q12" i="5" s="1"/>
  <c r="R12" i="5" s="1"/>
  <c r="S12" i="5" s="1"/>
  <c r="L12" i="5"/>
  <c r="L11" i="5"/>
  <c r="O10" i="5"/>
  <c r="P10" i="5" s="1"/>
  <c r="Q10" i="5" s="1"/>
  <c r="R10" i="5" s="1"/>
  <c r="S10" i="5" s="1"/>
  <c r="L10" i="5"/>
  <c r="O9" i="5"/>
  <c r="P9" i="5" s="1"/>
  <c r="Q9" i="5" s="1"/>
  <c r="R9" i="5" s="1"/>
  <c r="S9" i="5" s="1"/>
  <c r="L9" i="5"/>
  <c r="O8" i="5"/>
  <c r="P8" i="5" s="1"/>
  <c r="Q8" i="5" s="1"/>
  <c r="R8" i="5" s="1"/>
  <c r="S8" i="5" s="1"/>
  <c r="L8" i="5"/>
  <c r="B3" i="5"/>
  <c r="B2" i="5"/>
  <c r="B1" i="5"/>
  <c r="C48" i="4"/>
  <c r="C49" i="4" s="1"/>
  <c r="C56" i="4" s="1"/>
  <c r="C43" i="4"/>
  <c r="C39" i="4"/>
  <c r="E8" i="13" s="1"/>
  <c r="C36" i="4"/>
  <c r="C33" i="4"/>
  <c r="H56" i="4" s="1"/>
  <c r="C32" i="4"/>
  <c r="C31" i="4"/>
  <c r="C27" i="4"/>
  <c r="C21" i="4"/>
  <c r="B3" i="4"/>
  <c r="B2" i="4"/>
  <c r="B1" i="4"/>
  <c r="H72" i="3"/>
  <c r="I72" i="3" s="1"/>
  <c r="J72" i="3" s="1"/>
  <c r="G72" i="3"/>
  <c r="F72" i="3"/>
  <c r="D62" i="3"/>
  <c r="N62" i="3" s="1"/>
  <c r="G54" i="3"/>
  <c r="G61" i="1" s="1"/>
  <c r="B46" i="3"/>
  <c r="G36" i="3"/>
  <c r="G21" i="3"/>
  <c r="C16" i="4" s="1"/>
  <c r="H9" i="3"/>
  <c r="F9" i="3"/>
  <c r="M9" i="3" s="1"/>
  <c r="F8" i="3"/>
  <c r="K8" i="3" s="1"/>
  <c r="F7" i="3"/>
  <c r="M7" i="3" s="1"/>
  <c r="F7" i="13" s="1"/>
  <c r="A4" i="3"/>
  <c r="B3" i="3"/>
  <c r="B2" i="3"/>
  <c r="B1" i="3"/>
  <c r="G78" i="1"/>
  <c r="G77" i="1"/>
  <c r="G76" i="1"/>
  <c r="N74" i="1"/>
  <c r="O74" i="1" s="1"/>
  <c r="M74" i="1"/>
  <c r="L74" i="1" s="1"/>
  <c r="G74" i="1" s="1"/>
  <c r="F74" i="1"/>
  <c r="E74" i="1"/>
  <c r="B74" i="1"/>
  <c r="O73" i="1"/>
  <c r="N73" i="1"/>
  <c r="M73" i="1"/>
  <c r="F73" i="1"/>
  <c r="E73" i="1"/>
  <c r="B73" i="1"/>
  <c r="N72" i="1"/>
  <c r="O72" i="1" s="1"/>
  <c r="M72" i="1"/>
  <c r="F72" i="1"/>
  <c r="E72" i="1"/>
  <c r="B72" i="1"/>
  <c r="N71" i="1"/>
  <c r="O71" i="1" s="1"/>
  <c r="M71" i="1"/>
  <c r="F71" i="1"/>
  <c r="E71" i="1"/>
  <c r="B71" i="1"/>
  <c r="N70" i="1"/>
  <c r="O70" i="1" s="1"/>
  <c r="M70" i="1"/>
  <c r="F70" i="1"/>
  <c r="E70" i="1"/>
  <c r="B70" i="1"/>
  <c r="O69" i="1"/>
  <c r="L69" i="1" s="1"/>
  <c r="G69" i="1" s="1"/>
  <c r="N69" i="1"/>
  <c r="M69" i="1"/>
  <c r="F69" i="1"/>
  <c r="E69" i="1"/>
  <c r="B69" i="1"/>
  <c r="N68" i="1"/>
  <c r="O68" i="1" s="1"/>
  <c r="M68" i="1"/>
  <c r="L68" i="1" s="1"/>
  <c r="G68" i="1" s="1"/>
  <c r="I68" i="1" s="1"/>
  <c r="F68" i="1"/>
  <c r="E68" i="1"/>
  <c r="B68" i="1"/>
  <c r="N67" i="1"/>
  <c r="O67" i="1" s="1"/>
  <c r="M67" i="1"/>
  <c r="F67" i="1"/>
  <c r="E67" i="1"/>
  <c r="B67" i="1"/>
  <c r="N66" i="1"/>
  <c r="O66" i="1" s="1"/>
  <c r="M66" i="1"/>
  <c r="F66" i="1"/>
  <c r="E66" i="1"/>
  <c r="B66" i="1"/>
  <c r="G60" i="1"/>
  <c r="G59" i="1"/>
  <c r="N57" i="1"/>
  <c r="O57" i="1" s="1"/>
  <c r="L57" i="1" s="1"/>
  <c r="G57" i="1" s="1"/>
  <c r="M57" i="1"/>
  <c r="F57" i="1"/>
  <c r="E57" i="1"/>
  <c r="B57" i="1"/>
  <c r="N56" i="1"/>
  <c r="O56" i="1" s="1"/>
  <c r="M56" i="1"/>
  <c r="F56" i="1"/>
  <c r="E56" i="1"/>
  <c r="B56" i="1"/>
  <c r="N55" i="1"/>
  <c r="O55" i="1" s="1"/>
  <c r="M55" i="1"/>
  <c r="F55" i="1"/>
  <c r="E55" i="1"/>
  <c r="B55" i="1"/>
  <c r="N54" i="1"/>
  <c r="O54" i="1" s="1"/>
  <c r="M54" i="1"/>
  <c r="F54" i="1"/>
  <c r="E54" i="1"/>
  <c r="B54" i="1"/>
  <c r="O53" i="1"/>
  <c r="L53" i="1" s="1"/>
  <c r="G53" i="1" s="1"/>
  <c r="N53" i="1"/>
  <c r="M53" i="1"/>
  <c r="F53" i="1"/>
  <c r="E53" i="1"/>
  <c r="B53" i="1"/>
  <c r="N52" i="1"/>
  <c r="O52" i="1" s="1"/>
  <c r="M52" i="1"/>
  <c r="F52" i="1"/>
  <c r="E52" i="1"/>
  <c r="B52" i="1"/>
  <c r="N51" i="1"/>
  <c r="O51" i="1" s="1"/>
  <c r="M51" i="1"/>
  <c r="F51" i="1"/>
  <c r="E51" i="1"/>
  <c r="B51" i="1"/>
  <c r="O50" i="1"/>
  <c r="N50" i="1"/>
  <c r="M50" i="1"/>
  <c r="F50" i="1"/>
  <c r="E50" i="1"/>
  <c r="B50" i="1"/>
  <c r="O49" i="1"/>
  <c r="L49" i="1" s="1"/>
  <c r="G49" i="1" s="1"/>
  <c r="H49" i="1" s="1"/>
  <c r="N49" i="1"/>
  <c r="M49" i="1"/>
  <c r="F49" i="1"/>
  <c r="E49" i="1"/>
  <c r="B49" i="1"/>
  <c r="N48" i="1"/>
  <c r="O48" i="1" s="1"/>
  <c r="L48" i="1" s="1"/>
  <c r="G48" i="1" s="1"/>
  <c r="M48" i="1"/>
  <c r="F48" i="1"/>
  <c r="E48" i="1"/>
  <c r="B48" i="1"/>
  <c r="N47" i="1"/>
  <c r="O47" i="1" s="1"/>
  <c r="M47" i="1"/>
  <c r="F47" i="1"/>
  <c r="E47" i="1"/>
  <c r="B47" i="1"/>
  <c r="N46" i="1"/>
  <c r="O46" i="1" s="1"/>
  <c r="M46" i="1"/>
  <c r="F46" i="1"/>
  <c r="E46" i="1"/>
  <c r="B46" i="1"/>
  <c r="N45" i="1"/>
  <c r="O45" i="1" s="1"/>
  <c r="L45" i="1" s="1"/>
  <c r="G45" i="1" s="1"/>
  <c r="J28" i="5" s="1"/>
  <c r="K28" i="5" s="1"/>
  <c r="M45" i="1"/>
  <c r="F45" i="1"/>
  <c r="E45" i="1"/>
  <c r="B45" i="1"/>
  <c r="N44" i="1"/>
  <c r="O44" i="1" s="1"/>
  <c r="M44" i="1"/>
  <c r="F44" i="1"/>
  <c r="E44" i="1"/>
  <c r="B44" i="1"/>
  <c r="N43" i="1"/>
  <c r="O43" i="1" s="1"/>
  <c r="M43" i="1"/>
  <c r="F43" i="1"/>
  <c r="E43" i="1"/>
  <c r="B43" i="1"/>
  <c r="N42" i="1"/>
  <c r="O42" i="1" s="1"/>
  <c r="L42" i="1" s="1"/>
  <c r="G42" i="1" s="1"/>
  <c r="M42" i="1"/>
  <c r="F42" i="1"/>
  <c r="E42" i="1"/>
  <c r="B42" i="1"/>
  <c r="N41" i="1"/>
  <c r="O41" i="1" s="1"/>
  <c r="M41" i="1"/>
  <c r="F41" i="1"/>
  <c r="E41" i="1"/>
  <c r="B41" i="1"/>
  <c r="N40" i="1"/>
  <c r="O40" i="1" s="1"/>
  <c r="M40" i="1"/>
  <c r="L40" i="1" s="1"/>
  <c r="G40" i="1" s="1"/>
  <c r="F40" i="1"/>
  <c r="E40" i="1"/>
  <c r="B40" i="1"/>
  <c r="N39" i="1"/>
  <c r="O39" i="1" s="1"/>
  <c r="L39" i="1" s="1"/>
  <c r="G39" i="1" s="1"/>
  <c r="M39" i="1"/>
  <c r="F39" i="1"/>
  <c r="E39" i="1"/>
  <c r="B39" i="1"/>
  <c r="N38" i="1"/>
  <c r="O38" i="1" s="1"/>
  <c r="M38" i="1"/>
  <c r="F38" i="1"/>
  <c r="E38" i="1"/>
  <c r="B38" i="1"/>
  <c r="N37" i="1"/>
  <c r="O37" i="1" s="1"/>
  <c r="M37" i="1"/>
  <c r="F37" i="1"/>
  <c r="E37" i="1"/>
  <c r="B37" i="1"/>
  <c r="N36" i="1"/>
  <c r="O36" i="1" s="1"/>
  <c r="L36" i="1" s="1"/>
  <c r="G36" i="1" s="1"/>
  <c r="M36" i="1"/>
  <c r="F36" i="1"/>
  <c r="E36" i="1"/>
  <c r="B36" i="1"/>
  <c r="N35" i="1"/>
  <c r="O35" i="1" s="1"/>
  <c r="M35" i="1"/>
  <c r="F35" i="1"/>
  <c r="E35" i="1"/>
  <c r="B35" i="1"/>
  <c r="N34" i="1"/>
  <c r="O34" i="1" s="1"/>
  <c r="L34" i="1" s="1"/>
  <c r="M34" i="1"/>
  <c r="G34" i="1"/>
  <c r="F34" i="1"/>
  <c r="E34" i="1"/>
  <c r="B34" i="1"/>
  <c r="N33" i="1"/>
  <c r="O33" i="1" s="1"/>
  <c r="L33" i="1" s="1"/>
  <c r="G33" i="1" s="1"/>
  <c r="J16" i="5" s="1"/>
  <c r="K16" i="5" s="1"/>
  <c r="M33" i="1"/>
  <c r="F33" i="1"/>
  <c r="E33" i="1"/>
  <c r="B33" i="1"/>
  <c r="N32" i="1"/>
  <c r="O32" i="1" s="1"/>
  <c r="L32" i="1" s="1"/>
  <c r="G32" i="1" s="1"/>
  <c r="M32" i="1"/>
  <c r="F32" i="1"/>
  <c r="E32" i="1"/>
  <c r="B32" i="1"/>
  <c r="N31" i="1"/>
  <c r="O31" i="1" s="1"/>
  <c r="M31" i="1"/>
  <c r="F31" i="1"/>
  <c r="E31" i="1"/>
  <c r="B31" i="1"/>
  <c r="N30" i="1"/>
  <c r="O30" i="1" s="1"/>
  <c r="L30" i="1" s="1"/>
  <c r="G30" i="1" s="1"/>
  <c r="M30" i="1"/>
  <c r="F30" i="1"/>
  <c r="E30" i="1"/>
  <c r="B30" i="1"/>
  <c r="N29" i="1"/>
  <c r="O29" i="1" s="1"/>
  <c r="L29" i="1" s="1"/>
  <c r="G29" i="1" s="1"/>
  <c r="J12" i="5" s="1"/>
  <c r="K12" i="5" s="1"/>
  <c r="M29" i="1"/>
  <c r="F29" i="1"/>
  <c r="E29" i="1"/>
  <c r="B29" i="1"/>
  <c r="N28" i="1"/>
  <c r="O28" i="1" s="1"/>
  <c r="M28" i="1"/>
  <c r="L28" i="1" s="1"/>
  <c r="G28" i="1" s="1"/>
  <c r="H28" i="1" s="1"/>
  <c r="F28" i="1"/>
  <c r="E28" i="1"/>
  <c r="B28" i="1"/>
  <c r="N27" i="1"/>
  <c r="O27" i="1" s="1"/>
  <c r="M27" i="1"/>
  <c r="F27" i="1"/>
  <c r="E27" i="1"/>
  <c r="B27" i="1"/>
  <c r="N26" i="1"/>
  <c r="O26" i="1" s="1"/>
  <c r="L26" i="1" s="1"/>
  <c r="G26" i="1" s="1"/>
  <c r="M26" i="1"/>
  <c r="F26" i="1"/>
  <c r="E26" i="1"/>
  <c r="B26" i="1"/>
  <c r="N25" i="1"/>
  <c r="O25" i="1" s="1"/>
  <c r="L25" i="1" s="1"/>
  <c r="G25" i="1" s="1"/>
  <c r="J8" i="5" s="1"/>
  <c r="K8" i="5" s="1"/>
  <c r="M25" i="1"/>
  <c r="F25" i="1"/>
  <c r="E25" i="1"/>
  <c r="B25" i="1"/>
  <c r="F18" i="1"/>
  <c r="R13" i="1"/>
  <c r="P13" i="1"/>
  <c r="K13" i="1"/>
  <c r="K14" i="9" s="1"/>
  <c r="F13" i="1"/>
  <c r="H14" i="9" s="1"/>
  <c r="C13" i="1"/>
  <c r="B13" i="1"/>
  <c r="A13" i="1"/>
  <c r="R12" i="1"/>
  <c r="K12" i="1"/>
  <c r="K13" i="9" s="1"/>
  <c r="F12" i="1"/>
  <c r="H13" i="9" s="1"/>
  <c r="C12" i="1"/>
  <c r="B12" i="1"/>
  <c r="A12" i="1"/>
  <c r="R11" i="1"/>
  <c r="P11" i="1"/>
  <c r="K11" i="1"/>
  <c r="K12" i="9" s="1"/>
  <c r="F11" i="1"/>
  <c r="H12" i="9" s="1"/>
  <c r="C11" i="1"/>
  <c r="B11" i="1"/>
  <c r="A11" i="1"/>
  <c r="F5" i="1"/>
  <c r="E5" i="1"/>
  <c r="B3" i="1"/>
  <c r="B2" i="1"/>
  <c r="B1" i="1"/>
  <c r="J12" i="12" l="1"/>
  <c r="J14" i="12" s="1"/>
  <c r="G12" i="12"/>
  <c r="J12" i="11"/>
  <c r="J14" i="11" s="1"/>
  <c r="G12" i="11"/>
  <c r="L35" i="1"/>
  <c r="G35" i="1" s="1"/>
  <c r="J18" i="5" s="1"/>
  <c r="K18" i="5" s="1"/>
  <c r="H15" i="9"/>
  <c r="L51" i="1"/>
  <c r="G51" i="1" s="1"/>
  <c r="H51" i="1" s="1"/>
  <c r="I33" i="1"/>
  <c r="L37" i="1"/>
  <c r="G37" i="1" s="1"/>
  <c r="H45" i="1"/>
  <c r="L56" i="1"/>
  <c r="G56" i="1" s="1"/>
  <c r="L73" i="1"/>
  <c r="G73" i="1" s="1"/>
  <c r="I73" i="1" s="1"/>
  <c r="F52" i="4"/>
  <c r="G52" i="4" s="1"/>
  <c r="D37" i="11"/>
  <c r="L47" i="1"/>
  <c r="G47" i="1" s="1"/>
  <c r="H47" i="1" s="1"/>
  <c r="H29" i="1"/>
  <c r="L72" i="1"/>
  <c r="G72" i="1" s="1"/>
  <c r="F11" i="7"/>
  <c r="L38" i="1"/>
  <c r="G38" i="1" s="1"/>
  <c r="I29" i="1"/>
  <c r="B11" i="10"/>
  <c r="F13" i="10"/>
  <c r="G13" i="10" s="1"/>
  <c r="A46" i="10"/>
  <c r="B11" i="12"/>
  <c r="A46" i="12"/>
  <c r="N11" i="14"/>
  <c r="N12" i="14" s="1"/>
  <c r="N13" i="14" s="1"/>
  <c r="N14" i="14" s="1"/>
  <c r="N15" i="14" s="1"/>
  <c r="N16" i="14" s="1"/>
  <c r="N17" i="14" s="1"/>
  <c r="N18" i="14" s="1"/>
  <c r="N19" i="14" s="1"/>
  <c r="N20" i="14" s="1"/>
  <c r="N21" i="14" s="1"/>
  <c r="L67" i="1"/>
  <c r="G67" i="1" s="1"/>
  <c r="L41" i="1"/>
  <c r="G41" i="1" s="1"/>
  <c r="L44" i="1"/>
  <c r="G44" i="1" s="1"/>
  <c r="H44" i="1" s="1"/>
  <c r="L52" i="1"/>
  <c r="G52" i="1" s="1"/>
  <c r="AI11" i="14"/>
  <c r="AI12" i="14" s="1"/>
  <c r="AI13" i="14" s="1"/>
  <c r="AI14" i="14" s="1"/>
  <c r="AI15" i="14" s="1"/>
  <c r="AI16" i="14" s="1"/>
  <c r="AI17" i="14" s="1"/>
  <c r="AI18" i="14" s="1"/>
  <c r="AI19" i="14" s="1"/>
  <c r="AI20" i="14" s="1"/>
  <c r="AI21" i="14" s="1"/>
  <c r="AI22" i="14" s="1"/>
  <c r="AI23" i="14" s="1"/>
  <c r="D63" i="3" s="1"/>
  <c r="N63" i="3" s="1"/>
  <c r="F13" i="12"/>
  <c r="G13" i="12" s="1"/>
  <c r="G13" i="6"/>
  <c r="G15" i="6" s="1"/>
  <c r="N15" i="9"/>
  <c r="D44" i="10"/>
  <c r="L27" i="1"/>
  <c r="G27" i="1" s="1"/>
  <c r="L31" i="1"/>
  <c r="G31" i="1" s="1"/>
  <c r="I31" i="1" s="1"/>
  <c r="L43" i="1"/>
  <c r="G43" i="1" s="1"/>
  <c r="J26" i="5" s="1"/>
  <c r="K26" i="5" s="1"/>
  <c r="L50" i="1"/>
  <c r="G50" i="1" s="1"/>
  <c r="J14" i="5"/>
  <c r="K14" i="5" s="1"/>
  <c r="H31" i="1"/>
  <c r="J51" i="5"/>
  <c r="K51" i="5" s="1"/>
  <c r="I69" i="1"/>
  <c r="H69" i="1"/>
  <c r="J36" i="5"/>
  <c r="K36" i="5" s="1"/>
  <c r="I53" i="1"/>
  <c r="H53" i="1"/>
  <c r="I36" i="1"/>
  <c r="J19" i="5"/>
  <c r="K19" i="5" s="1"/>
  <c r="H36" i="1"/>
  <c r="I42" i="1"/>
  <c r="J25" i="5"/>
  <c r="K25" i="5" s="1"/>
  <c r="H42" i="1"/>
  <c r="I44" i="1"/>
  <c r="J27" i="5"/>
  <c r="K27" i="5" s="1"/>
  <c r="J31" i="5"/>
  <c r="K31" i="5" s="1"/>
  <c r="I48" i="1"/>
  <c r="H48" i="1"/>
  <c r="I52" i="1"/>
  <c r="J35" i="5"/>
  <c r="K35" i="5" s="1"/>
  <c r="H52" i="1"/>
  <c r="J10" i="5"/>
  <c r="K10" i="5" s="1"/>
  <c r="I27" i="1"/>
  <c r="H27" i="1"/>
  <c r="H43" i="1"/>
  <c r="J22" i="5"/>
  <c r="K22" i="5" s="1"/>
  <c r="I39" i="1"/>
  <c r="H39" i="1"/>
  <c r="J15" i="5"/>
  <c r="K15" i="5" s="1"/>
  <c r="I32" i="1"/>
  <c r="H32" i="1"/>
  <c r="I35" i="1"/>
  <c r="I38" i="1"/>
  <c r="J21" i="5"/>
  <c r="K21" i="5" s="1"/>
  <c r="H38" i="1"/>
  <c r="J23" i="5"/>
  <c r="K23" i="5" s="1"/>
  <c r="I40" i="1"/>
  <c r="H40" i="1"/>
  <c r="I51" i="1"/>
  <c r="J56" i="5"/>
  <c r="K56" i="5" s="1"/>
  <c r="I74" i="1"/>
  <c r="H74" i="1"/>
  <c r="I34" i="1"/>
  <c r="H34" i="1"/>
  <c r="J17" i="5"/>
  <c r="K17" i="5" s="1"/>
  <c r="H56" i="1"/>
  <c r="J39" i="5"/>
  <c r="K39" i="5" s="1"/>
  <c r="L71" i="1"/>
  <c r="G71" i="1" s="1"/>
  <c r="H41" i="1"/>
  <c r="L55" i="1"/>
  <c r="G55" i="1" s="1"/>
  <c r="E13" i="11"/>
  <c r="F13" i="11" s="1"/>
  <c r="G13" i="11" s="1"/>
  <c r="L8" i="3"/>
  <c r="M8" i="3" s="1"/>
  <c r="C18" i="4"/>
  <c r="H50" i="4"/>
  <c r="C22" i="4"/>
  <c r="F53" i="4" s="1"/>
  <c r="F51" i="4"/>
  <c r="J11" i="5"/>
  <c r="K11" i="5" s="1"/>
  <c r="I28" i="1"/>
  <c r="U11" i="1"/>
  <c r="H33" i="1"/>
  <c r="J30" i="5"/>
  <c r="K30" i="5" s="1"/>
  <c r="I47" i="1"/>
  <c r="I26" i="1"/>
  <c r="H26" i="1"/>
  <c r="J9" i="5"/>
  <c r="K9" i="5" s="1"/>
  <c r="J50" i="5"/>
  <c r="K50" i="5" s="1"/>
  <c r="H68" i="1"/>
  <c r="J40" i="5"/>
  <c r="K40" i="5" s="1"/>
  <c r="I57" i="1"/>
  <c r="H57" i="1"/>
  <c r="J55" i="5"/>
  <c r="K55" i="5" s="1"/>
  <c r="H73" i="1"/>
  <c r="H25" i="1"/>
  <c r="I45" i="1"/>
  <c r="H67" i="1"/>
  <c r="J49" i="5"/>
  <c r="K49" i="5" s="1"/>
  <c r="I67" i="1"/>
  <c r="I25" i="1"/>
  <c r="H37" i="1"/>
  <c r="I56" i="1"/>
  <c r="H72" i="1"/>
  <c r="J54" i="5"/>
  <c r="K54" i="5" s="1"/>
  <c r="I72" i="1"/>
  <c r="A6" i="11"/>
  <c r="A6" i="12"/>
  <c r="A6" i="10"/>
  <c r="A6" i="9"/>
  <c r="H7" i="13"/>
  <c r="I30" i="1"/>
  <c r="H30" i="1"/>
  <c r="J13" i="5"/>
  <c r="K13" i="5" s="1"/>
  <c r="J32" i="5"/>
  <c r="K32" i="5" s="1"/>
  <c r="I49" i="1"/>
  <c r="K15" i="9"/>
  <c r="L46" i="1"/>
  <c r="G46" i="1" s="1"/>
  <c r="L66" i="1"/>
  <c r="G66" i="1" s="1"/>
  <c r="F22" i="11"/>
  <c r="G11" i="11"/>
  <c r="G14" i="11" s="1"/>
  <c r="F14" i="11"/>
  <c r="F14" i="10"/>
  <c r="G11" i="10"/>
  <c r="G14" i="10" s="1"/>
  <c r="N22" i="14"/>
  <c r="N23" i="14" s="1"/>
  <c r="D60" i="3" s="1"/>
  <c r="N60" i="3" s="1"/>
  <c r="C44" i="4"/>
  <c r="F10" i="8"/>
  <c r="H10" i="8" s="1"/>
  <c r="F11" i="8"/>
  <c r="H11" i="8" s="1"/>
  <c r="L54" i="1"/>
  <c r="G54" i="1" s="1"/>
  <c r="F8" i="13"/>
  <c r="H12" i="8"/>
  <c r="H13" i="8" s="1"/>
  <c r="F23" i="8"/>
  <c r="H23" i="8" s="1"/>
  <c r="F22" i="8"/>
  <c r="H22" i="8" s="1"/>
  <c r="F24" i="8"/>
  <c r="H24" i="8" s="1"/>
  <c r="D44" i="11"/>
  <c r="L70" i="1"/>
  <c r="G70" i="1" s="1"/>
  <c r="C23" i="11"/>
  <c r="C23" i="10"/>
  <c r="F23" i="10" s="1"/>
  <c r="C23" i="12"/>
  <c r="F23" i="12" s="1"/>
  <c r="F22" i="10"/>
  <c r="A45" i="11"/>
  <c r="A46" i="11"/>
  <c r="F11" i="12"/>
  <c r="F22" i="12" s="1"/>
  <c r="B11" i="11"/>
  <c r="F23" i="11"/>
  <c r="D44" i="12"/>
  <c r="D15" i="9"/>
  <c r="J34" i="5" l="1"/>
  <c r="K34" i="5" s="1"/>
  <c r="H35" i="1"/>
  <c r="J33" i="5"/>
  <c r="K33" i="5" s="1"/>
  <c r="I50" i="1"/>
  <c r="I43" i="1"/>
  <c r="J24" i="5"/>
  <c r="K24" i="5" s="1"/>
  <c r="I41" i="1"/>
  <c r="C23" i="4"/>
  <c r="C24" i="4" s="1"/>
  <c r="H52" i="4"/>
  <c r="H50" i="1"/>
  <c r="F26" i="12"/>
  <c r="Q9" i="3"/>
  <c r="Q8" i="3"/>
  <c r="F26" i="11"/>
  <c r="R9" i="3"/>
  <c r="F27" i="12" s="1"/>
  <c r="G27" i="12" s="1"/>
  <c r="R8" i="3"/>
  <c r="F27" i="11" s="1"/>
  <c r="G27" i="11" s="1"/>
  <c r="J20" i="5"/>
  <c r="K20" i="5" s="1"/>
  <c r="I37" i="1"/>
  <c r="H14" i="13"/>
  <c r="G22" i="12"/>
  <c r="I22" i="12"/>
  <c r="I30" i="12" s="1"/>
  <c r="I31" i="12" s="1"/>
  <c r="G7" i="13"/>
  <c r="M10" i="3"/>
  <c r="H23" i="12"/>
  <c r="H30" i="12" s="1"/>
  <c r="H31" i="12" s="1"/>
  <c r="G23" i="12"/>
  <c r="H13" i="13"/>
  <c r="H16" i="13" s="1"/>
  <c r="H30" i="13" s="1"/>
  <c r="C35" i="4"/>
  <c r="C37" i="4" s="1"/>
  <c r="C54" i="4" s="1"/>
  <c r="C45" i="4"/>
  <c r="C46" i="4" s="1"/>
  <c r="C55" i="4" s="1"/>
  <c r="C51" i="4"/>
  <c r="C28" i="4"/>
  <c r="C29" i="4" s="1"/>
  <c r="C53" i="4" s="1"/>
  <c r="H49" i="4"/>
  <c r="I22" i="10"/>
  <c r="I30" i="10" s="1"/>
  <c r="I31" i="10" s="1"/>
  <c r="G22" i="10"/>
  <c r="F14" i="13"/>
  <c r="H23" i="10"/>
  <c r="H30" i="10" s="1"/>
  <c r="H31" i="10" s="1"/>
  <c r="F13" i="13"/>
  <c r="F16" i="13" s="1"/>
  <c r="F30" i="13" s="1"/>
  <c r="G23" i="10"/>
  <c r="J48" i="5"/>
  <c r="K48" i="5" s="1"/>
  <c r="H66" i="1"/>
  <c r="I66" i="1"/>
  <c r="F14" i="12"/>
  <c r="G11" i="12"/>
  <c r="G14" i="12" s="1"/>
  <c r="J37" i="5"/>
  <c r="K37" i="5" s="1"/>
  <c r="I54" i="1"/>
  <c r="H54" i="1"/>
  <c r="G51" i="4"/>
  <c r="G54" i="4" s="1"/>
  <c r="F54" i="4"/>
  <c r="H51" i="4"/>
  <c r="H54" i="4" s="1"/>
  <c r="G14" i="13"/>
  <c r="I22" i="11"/>
  <c r="I30" i="11" s="1"/>
  <c r="I31" i="11" s="1"/>
  <c r="G22" i="11"/>
  <c r="N9" i="3"/>
  <c r="F19" i="12" s="1"/>
  <c r="N8" i="3"/>
  <c r="F19" i="11" s="1"/>
  <c r="H55" i="1"/>
  <c r="J38" i="5"/>
  <c r="K38" i="5" s="1"/>
  <c r="I55" i="1"/>
  <c r="H53" i="4"/>
  <c r="G53" i="4"/>
  <c r="H71" i="1"/>
  <c r="J53" i="5"/>
  <c r="K53" i="5" s="1"/>
  <c r="I71" i="1"/>
  <c r="H23" i="11"/>
  <c r="H30" i="11" s="1"/>
  <c r="H31" i="11" s="1"/>
  <c r="G23" i="11"/>
  <c r="G13" i="13"/>
  <c r="G16" i="13" s="1"/>
  <c r="G30" i="13" s="1"/>
  <c r="E9" i="13"/>
  <c r="J52" i="5"/>
  <c r="K52" i="5" s="1"/>
  <c r="I70" i="1"/>
  <c r="H70" i="1"/>
  <c r="H25" i="8"/>
  <c r="H26" i="8" s="1"/>
  <c r="N7" i="3" s="1"/>
  <c r="F19" i="10" s="1"/>
  <c r="I46" i="1"/>
  <c r="J29" i="5"/>
  <c r="K29" i="5" s="1"/>
  <c r="H46" i="1"/>
  <c r="H58" i="1" s="1"/>
  <c r="H8" i="13"/>
  <c r="C25" i="4" l="1"/>
  <c r="C52" i="4" s="1"/>
  <c r="K41" i="5"/>
  <c r="K43" i="5"/>
  <c r="G19" i="12"/>
  <c r="G30" i="12" s="1"/>
  <c r="H59" i="1"/>
  <c r="H60" i="1" s="1"/>
  <c r="H62" i="1" s="1"/>
  <c r="H61" i="1" s="1"/>
  <c r="E10" i="13"/>
  <c r="F9" i="13"/>
  <c r="F10" i="13" s="1"/>
  <c r="F11" i="13" s="1"/>
  <c r="F29" i="13" s="1"/>
  <c r="F31" i="13" s="1"/>
  <c r="C57" i="4"/>
  <c r="I34" i="11"/>
  <c r="I35" i="11" s="1"/>
  <c r="I36" i="11" s="1"/>
  <c r="H34" i="10"/>
  <c r="H55" i="4"/>
  <c r="H57" i="4"/>
  <c r="H59" i="4" s="1"/>
  <c r="H34" i="12"/>
  <c r="H34" i="11"/>
  <c r="G8" i="13"/>
  <c r="G9" i="13"/>
  <c r="I34" i="10"/>
  <c r="G55" i="4"/>
  <c r="G57" i="4" s="1"/>
  <c r="G59" i="4" s="1"/>
  <c r="K57" i="5"/>
  <c r="K59" i="5" s="1"/>
  <c r="P8" i="3" s="1"/>
  <c r="F25" i="11" s="1"/>
  <c r="G19" i="10"/>
  <c r="G30" i="10" s="1"/>
  <c r="F30" i="10"/>
  <c r="F55" i="4"/>
  <c r="F57" i="4" s="1"/>
  <c r="F59" i="4" s="1"/>
  <c r="H75" i="1"/>
  <c r="I34" i="12"/>
  <c r="I35" i="12" s="1"/>
  <c r="I36" i="12" s="1"/>
  <c r="H9" i="13"/>
  <c r="H10" i="13"/>
  <c r="H11" i="13" s="1"/>
  <c r="H29" i="13" s="1"/>
  <c r="H31" i="13" s="1"/>
  <c r="G19" i="11"/>
  <c r="G30" i="11" s="1"/>
  <c r="I37" i="12" l="1"/>
  <c r="I38" i="12" s="1"/>
  <c r="I45" i="12" s="1"/>
  <c r="I46" i="12" s="1"/>
  <c r="S11" i="1"/>
  <c r="S13" i="1"/>
  <c r="S12" i="1"/>
  <c r="H37" i="10"/>
  <c r="H38" i="10" s="1"/>
  <c r="H45" i="10" s="1"/>
  <c r="H46" i="10" s="1"/>
  <c r="I35" i="10"/>
  <c r="I36" i="10" s="1"/>
  <c r="I37" i="10" s="1"/>
  <c r="I38" i="10" s="1"/>
  <c r="I45" i="10" s="1"/>
  <c r="I46" i="10" s="1"/>
  <c r="H35" i="12"/>
  <c r="H36" i="12" s="1"/>
  <c r="H37" i="12" s="1"/>
  <c r="H38" i="12" s="1"/>
  <c r="H45" i="12" s="1"/>
  <c r="H46" i="12" s="1"/>
  <c r="H18" i="13"/>
  <c r="G10" i="13"/>
  <c r="G11" i="13" s="1"/>
  <c r="G29" i="13" s="1"/>
  <c r="G31" i="13" s="1"/>
  <c r="H76" i="1"/>
  <c r="I37" i="11"/>
  <c r="I38" i="11" s="1"/>
  <c r="I45" i="11" s="1"/>
  <c r="I46" i="11" s="1"/>
  <c r="E15" i="11"/>
  <c r="E15" i="12"/>
  <c r="E15" i="10"/>
  <c r="G19" i="3"/>
  <c r="O9" i="3"/>
  <c r="F24" i="12" s="1"/>
  <c r="F30" i="12" s="1"/>
  <c r="O8" i="3"/>
  <c r="F24" i="11" s="1"/>
  <c r="F30" i="11" s="1"/>
  <c r="H35" i="11"/>
  <c r="H36" i="11" s="1"/>
  <c r="H37" i="11" s="1"/>
  <c r="H38" i="11" s="1"/>
  <c r="H45" i="11" s="1"/>
  <c r="H46" i="11" s="1"/>
  <c r="H35" i="10"/>
  <c r="H36" i="10" s="1"/>
  <c r="F18" i="13"/>
  <c r="W16" i="9"/>
  <c r="H41" i="12" l="1"/>
  <c r="H42" i="12"/>
  <c r="P14" i="9"/>
  <c r="R14" i="9" s="1"/>
  <c r="H40" i="12"/>
  <c r="H43" i="12"/>
  <c r="H42" i="11"/>
  <c r="H43" i="11"/>
  <c r="H41" i="11"/>
  <c r="H40" i="11"/>
  <c r="P13" i="9"/>
  <c r="R13" i="9" s="1"/>
  <c r="I41" i="12"/>
  <c r="I42" i="12"/>
  <c r="I43" i="12"/>
  <c r="I40" i="12"/>
  <c r="I44" i="12" s="1"/>
  <c r="G14" i="9"/>
  <c r="I14" i="9" s="1"/>
  <c r="H77" i="1"/>
  <c r="H79" i="1" s="1"/>
  <c r="H78" i="1" s="1"/>
  <c r="G12" i="9"/>
  <c r="I12" i="9" s="1"/>
  <c r="I43" i="10"/>
  <c r="I42" i="10"/>
  <c r="I41" i="10"/>
  <c r="I40" i="10"/>
  <c r="F19" i="13"/>
  <c r="F20" i="13" s="1"/>
  <c r="F25" i="13" s="1"/>
  <c r="F32" i="13" s="1"/>
  <c r="F33" i="13" s="1"/>
  <c r="J15" i="10"/>
  <c r="J16" i="10" s="1"/>
  <c r="J31" i="10" s="1"/>
  <c r="F15" i="10"/>
  <c r="G18" i="13"/>
  <c r="J15" i="12"/>
  <c r="J16" i="12" s="1"/>
  <c r="J31" i="12" s="1"/>
  <c r="F15" i="12"/>
  <c r="F15" i="11"/>
  <c r="J15" i="11"/>
  <c r="J16" i="11" s="1"/>
  <c r="J31" i="11" s="1"/>
  <c r="S14" i="1"/>
  <c r="H42" i="10"/>
  <c r="H43" i="10"/>
  <c r="H40" i="10"/>
  <c r="P12" i="9"/>
  <c r="R12" i="9" s="1"/>
  <c r="H41" i="10"/>
  <c r="H19" i="13"/>
  <c r="I42" i="11"/>
  <c r="I43" i="11"/>
  <c r="I40" i="11"/>
  <c r="G13" i="9"/>
  <c r="I13" i="9" s="1"/>
  <c r="I41" i="11"/>
  <c r="R15" i="9" l="1"/>
  <c r="M14" i="1" s="1"/>
  <c r="H44" i="11"/>
  <c r="F23" i="13"/>
  <c r="M12" i="9"/>
  <c r="F22" i="13"/>
  <c r="F21" i="13"/>
  <c r="F24" i="13"/>
  <c r="G15" i="11"/>
  <c r="G16" i="11" s="1"/>
  <c r="G31" i="11" s="1"/>
  <c r="F16" i="11"/>
  <c r="F31" i="11" s="1"/>
  <c r="J34" i="11"/>
  <c r="J34" i="10"/>
  <c r="J35" i="10" s="1"/>
  <c r="J36" i="10" s="1"/>
  <c r="G15" i="12"/>
  <c r="G16" i="12" s="1"/>
  <c r="G31" i="12" s="1"/>
  <c r="F16" i="12"/>
  <c r="F31" i="12" s="1"/>
  <c r="J34" i="12"/>
  <c r="J35" i="12" s="1"/>
  <c r="J36" i="12" s="1"/>
  <c r="I44" i="10"/>
  <c r="I44" i="11"/>
  <c r="H44" i="10"/>
  <c r="G19" i="13"/>
  <c r="G20" i="13" s="1"/>
  <c r="H20" i="13"/>
  <c r="H25" i="13" s="1"/>
  <c r="H32" i="13" s="1"/>
  <c r="H33" i="13" s="1"/>
  <c r="H44" i="12"/>
  <c r="G15" i="10"/>
  <c r="G16" i="10" s="1"/>
  <c r="G31" i="10" s="1"/>
  <c r="F16" i="10"/>
  <c r="F31" i="10" s="1"/>
  <c r="I15" i="9"/>
  <c r="H14" i="1" s="1"/>
  <c r="M14" i="9" l="1"/>
  <c r="O14" i="9" s="1"/>
  <c r="H22" i="13"/>
  <c r="H21" i="13"/>
  <c r="H23" i="13"/>
  <c r="H24" i="13"/>
  <c r="G25" i="13"/>
  <c r="G32" i="13" s="1"/>
  <c r="G33" i="13" s="1"/>
  <c r="G34" i="12"/>
  <c r="F34" i="11"/>
  <c r="F35" i="11" s="1"/>
  <c r="F36" i="11" s="1"/>
  <c r="J37" i="10"/>
  <c r="J38" i="10" s="1"/>
  <c r="J45" i="10" s="1"/>
  <c r="J46" i="10" s="1"/>
  <c r="G34" i="11"/>
  <c r="G35" i="11"/>
  <c r="G36" i="11" s="1"/>
  <c r="F34" i="10"/>
  <c r="F35" i="10"/>
  <c r="F36" i="10" s="1"/>
  <c r="G34" i="10"/>
  <c r="G35" i="10"/>
  <c r="G36" i="10" s="1"/>
  <c r="F35" i="12"/>
  <c r="F36" i="12" s="1"/>
  <c r="F34" i="12"/>
  <c r="J35" i="11"/>
  <c r="J36" i="11" s="1"/>
  <c r="J37" i="11" s="1"/>
  <c r="J38" i="11" s="1"/>
  <c r="J45" i="11" s="1"/>
  <c r="J46" i="11" s="1"/>
  <c r="O12" i="9"/>
  <c r="J37" i="12"/>
  <c r="J38" i="12" s="1"/>
  <c r="J45" i="12" s="1"/>
  <c r="J46" i="12" s="1"/>
  <c r="J43" i="11" l="1"/>
  <c r="J40" i="11"/>
  <c r="J42" i="11"/>
  <c r="J41" i="11"/>
  <c r="G37" i="11"/>
  <c r="G38" i="11" s="1"/>
  <c r="G45" i="11" s="1"/>
  <c r="G46" i="11" s="1"/>
  <c r="J43" i="10"/>
  <c r="J40" i="10"/>
  <c r="J41" i="10"/>
  <c r="J42" i="10"/>
  <c r="G37" i="10"/>
  <c r="G38" i="10" s="1"/>
  <c r="G45" i="10" s="1"/>
  <c r="G46" i="10" s="1"/>
  <c r="J42" i="12"/>
  <c r="J43" i="12"/>
  <c r="J41" i="12"/>
  <c r="J47" i="12"/>
  <c r="T13" i="9" s="1"/>
  <c r="J40" i="12"/>
  <c r="G22" i="13"/>
  <c r="M13" i="9"/>
  <c r="G23" i="13"/>
  <c r="G21" i="13"/>
  <c r="G24" i="13"/>
  <c r="F37" i="11"/>
  <c r="F38" i="11" s="1"/>
  <c r="F45" i="11" s="1"/>
  <c r="F46" i="11" s="1"/>
  <c r="F37" i="12"/>
  <c r="F38" i="12" s="1"/>
  <c r="F45" i="12" s="1"/>
  <c r="F46" i="12" s="1"/>
  <c r="F37" i="10"/>
  <c r="F38" i="10" s="1"/>
  <c r="F45" i="10" s="1"/>
  <c r="F46" i="10" s="1"/>
  <c r="G35" i="12"/>
  <c r="G36" i="12" s="1"/>
  <c r="G37" i="12" s="1"/>
  <c r="G38" i="12" s="1"/>
  <c r="G45" i="12" s="1"/>
  <c r="G46" i="12" s="1"/>
  <c r="J44" i="12" l="1"/>
  <c r="G40" i="12"/>
  <c r="G41" i="12"/>
  <c r="G42" i="12"/>
  <c r="G47" i="12"/>
  <c r="G43" i="12"/>
  <c r="J14" i="9"/>
  <c r="L14" i="9" s="1"/>
  <c r="S14" i="9" s="1"/>
  <c r="O13" i="1" s="1"/>
  <c r="F47" i="12"/>
  <c r="E14" i="9"/>
  <c r="F14" i="9" s="1"/>
  <c r="F40" i="12"/>
  <c r="F41" i="12"/>
  <c r="F42" i="12"/>
  <c r="F43" i="12"/>
  <c r="V13" i="9"/>
  <c r="A19" i="9"/>
  <c r="J44" i="10"/>
  <c r="F41" i="10"/>
  <c r="F42" i="10"/>
  <c r="E12" i="9"/>
  <c r="F12" i="9" s="1"/>
  <c r="F43" i="10"/>
  <c r="F40" i="10"/>
  <c r="F47" i="10"/>
  <c r="F41" i="11"/>
  <c r="F42" i="11"/>
  <c r="F40" i="11"/>
  <c r="F47" i="11"/>
  <c r="F43" i="11"/>
  <c r="E13" i="9"/>
  <c r="F13" i="9" s="1"/>
  <c r="G41" i="11"/>
  <c r="J13" i="9"/>
  <c r="L13" i="9" s="1"/>
  <c r="G42" i="11"/>
  <c r="G43" i="11"/>
  <c r="G47" i="11"/>
  <c r="G40" i="11"/>
  <c r="G42" i="10"/>
  <c r="G47" i="10"/>
  <c r="G43" i="10"/>
  <c r="G40" i="10"/>
  <c r="J12" i="9"/>
  <c r="G41" i="10"/>
  <c r="O13" i="9"/>
  <c r="O15" i="9" s="1"/>
  <c r="L14" i="1" s="1"/>
  <c r="M15" i="9"/>
  <c r="J44" i="11"/>
  <c r="W14" i="9" l="1"/>
  <c r="Q13" i="1" s="1"/>
  <c r="F44" i="11"/>
  <c r="G44" i="10"/>
  <c r="S13" i="9"/>
  <c r="O12" i="1" s="1"/>
  <c r="V15" i="9"/>
  <c r="P12" i="1"/>
  <c r="J15" i="9"/>
  <c r="L12" i="9"/>
  <c r="F15" i="9"/>
  <c r="F44" i="10"/>
  <c r="G44" i="11"/>
  <c r="F44" i="12"/>
  <c r="G44" i="12"/>
  <c r="L15" i="9" l="1"/>
  <c r="K14" i="1" s="1"/>
  <c r="O14" i="1" s="1"/>
  <c r="S12" i="9"/>
  <c r="W13" i="9"/>
  <c r="Q12" i="1" s="1"/>
  <c r="U12" i="1" s="1"/>
  <c r="P14" i="1"/>
  <c r="N14" i="1"/>
  <c r="S15" i="9" l="1"/>
  <c r="O11" i="1"/>
  <c r="W12" i="9"/>
  <c r="W15" i="9" l="1"/>
  <c r="W17" i="9" s="1"/>
  <c r="Q11" i="1"/>
  <c r="U13" i="1" l="1"/>
  <c r="U14" i="1" s="1"/>
  <c r="Q14" i="1"/>
</calcChain>
</file>

<file path=xl/sharedStrings.xml><?xml version="1.0" encoding="utf-8"?>
<sst xmlns="http://schemas.openxmlformats.org/spreadsheetml/2006/main" count="1105" uniqueCount="649">
  <si>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</si>
  <si>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</si>
  <si>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</si>
  <si>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</si>
  <si>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</si>
  <si>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</si>
  <si>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</si>
  <si>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</si>
  <si>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</si>
  <si>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</si>
  <si>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</si>
  <si>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</si>
  <si>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</si>
  <si>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</si>
  <si>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</si>
  <si>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</si>
  <si>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</si>
  <si>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</si>
  <si>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</si>
  <si>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Informar código de elemento de despesa
(Coluna "R")</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</si>
  <si>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</si>
  <si>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</si>
  <si>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</si>
  <si>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</si>
  <si>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</si>
  <si>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</si>
  <si>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</si>
  <si>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</si>
  <si>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</si>
  <si>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</si>
  <si>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</si>
  <si>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</si>
  <si>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</si>
  <si>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</si>
  <si>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</si>
  <si>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</si>
  <si>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</si>
  <si>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</si>
  <si>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</si>
  <si>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</si>
  <si>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</si>
  <si>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</si>
  <si>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</si>
  <si>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</si>
  <si>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</si>
  <si>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</si>
  <si>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</si>
  <si>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</si>
  <si>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</si>
  <si>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</si>
  <si>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</si>
  <si>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</si>
  <si>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</si>
  <si>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</si>
  <si>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</si>
  <si>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DOS INSUMOS DE IMPEZA
SERVENTES DE LIMPEZA</t>
  </si>
  <si>
    <t>GASTO MENSAL</t>
  </si>
  <si>
    <r>
      <rPr>
        <b/>
        <u/>
        <sz val="10"/>
        <rFont val="Calibri"/>
        <family val="2"/>
        <charset val="1"/>
      </rPr>
      <t xml:space="preserve">ANÁLISE CRÍTICA </t>
    </r>
    <r>
      <rPr>
        <b/>
        <sz val="10"/>
        <rFont val="Calibri"/>
        <family val="2"/>
        <charset val="1"/>
      </rPr>
      <t>SOBRE O FORNECIMENTO DOS INSUMOS
ESTIMATIVA MENSAL x FORNECIMENTO EFETIVO
(INFORMAÇÃO COMO PARÂMETRO DE INDICATIVO)</t>
    </r>
  </si>
  <si>
    <t>REFERÊNCIA MENSAL PARA FORNECIMENTO</t>
  </si>
  <si>
    <t>Insumos</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</si>
  <si>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</si>
  <si>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</si>
  <si>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</si>
  <si>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</si>
  <si>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</si>
  <si>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</si>
  <si>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</si>
  <si>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</si>
  <si>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</si>
  <si>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</si>
  <si>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</si>
  <si>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</si>
  <si>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INSUMOS DE LIMPEZA</t>
  </si>
  <si>
    <t>INSUMOS DE LIMPEZA COPA
SERVENTE COM ACÚMULO DE COPEIRA</t>
  </si>
  <si>
    <t>VALOR TOTAL COM INSUMOS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</si>
  <si>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</si>
  <si>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</si>
  <si>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</si>
  <si>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</si>
  <si>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</si>
  <si>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</si>
  <si>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</si>
  <si>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</si>
  <si>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</si>
  <si>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</si>
  <si>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</si>
  <si>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</si>
  <si>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Viçosa</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</si>
  <si>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</si>
  <si>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</si>
  <si>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</si>
  <si>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</si>
  <si>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</si>
  <si>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</si>
  <si>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</si>
  <si>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Insumos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</si>
  <si>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</si>
  <si>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Insumos,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</si>
  <si>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</si>
  <si>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</si>
  <si>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</si>
  <si>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</si>
  <si>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</si>
  <si>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</si>
  <si>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</si>
  <si>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</si>
  <si>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</si>
  <si>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</si>
  <si>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"G27").</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</si>
  <si>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</si>
  <si>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</si>
  <si>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</si>
  <si>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</si>
  <si>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</si>
  <si>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</si>
  <si>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</si>
  <si>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</si>
  <si>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</si>
  <si>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</si>
  <si>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</si>
  <si>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"B46 à B48".</t>
  </si>
  <si>
    <t xml:space="preserve"> - Informar o percentual da alíquota COFINS (Células "G50") conforme legislação vigente, OBSERVANDO as instruções contantes na Célula "B46".</t>
  </si>
  <si>
    <t xml:space="preserve"> - Informar o percentual da alíquota PIS/PASEP (Células "G51") conforme legislação vigente, OBSERVANDO as instruções contantes na Célula "B46".</t>
  </si>
  <si>
    <t xml:space="preserve"> - Informar o percentual da alíquota ISSQN (Células "G52") conforme legislação vigente, OBSERVANDO as instruções contantes na Célula "B46".</t>
  </si>
  <si>
    <t xml:space="preserve"> - Incluir outros impostos não inseridos previamente, bem como descrevê-los, em caso de previsão legal, devendo ser apresentadas justificativas para a inserção. (Células "B53" e "G53").</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</si>
  <si>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</si>
  <si>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</si>
  <si>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</si>
  <si>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</si>
  <si>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</si>
  <si>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</si>
  <si>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"INSUMOS"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</si>
  <si>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</si>
  <si>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</si>
  <si>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Insumos de Limpeza (Células "G8:G40)</t>
  </si>
  <si>
    <t xml:space="preserve"> - Insumos de Copa (Células "G48:G56)</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</si>
  <si>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</si>
  <si>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</si>
  <si>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</si>
  <si>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</si>
  <si>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</si>
  <si>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</si>
  <si>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</si>
  <si>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</si>
  <si>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</si>
  <si>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</si>
  <si>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</si>
  <si>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</si>
  <si>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</si>
  <si>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</si>
  <si>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</si>
  <si>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</si>
  <si>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</si>
  <si>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"W16",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</si>
  <si>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</si>
  <si>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</si>
  <si>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</si>
  <si>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</si>
  <si>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</si>
  <si>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</si>
  <si>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</si>
  <si>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</si>
  <si>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</si>
  <si>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</si>
  <si>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</si>
  <si>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</si>
  <si>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</si>
  <si>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</si>
  <si>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</si>
  <si>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</si>
  <si>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</si>
  <si>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</si>
  <si>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</si>
  <si>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</si>
  <si>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</si>
  <si>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Insumos de Limpeza Rateado
(R$)</t>
  </si>
  <si>
    <t>Insumos de Copa Rateado
(R$)</t>
  </si>
  <si>
    <t>EPI
(R$)</t>
  </si>
  <si>
    <t>Depreciação Rateada
(R$)</t>
  </si>
  <si>
    <t>CÓDIGO DE ELEMENTO DE DESPESA
(CONTROLE DA CONTRATANTE)</t>
  </si>
  <si>
    <t>Auxiliar Administrativo</t>
  </si>
  <si>
    <t>Servente de Limpeza  com acúmulo de função Copeira</t>
  </si>
  <si>
    <t>Servente de Limpeza com adicional de  Insalubridade 40%</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</si>
  <si>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</si>
  <si>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</si>
  <si>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</si>
  <si>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</si>
  <si>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</si>
  <si>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DATA DA PROPOSTA</t>
  </si>
  <si>
    <t>Informar data da proposta</t>
  </si>
  <si>
    <t>Sindicato utilizado</t>
  </si>
  <si>
    <t>SINSERTH x SINTAPPI</t>
  </si>
  <si>
    <t>Informar o sindicato utilizado pela Licitante.</t>
  </si>
  <si>
    <t>Número de registro da CCT - Código MTE</t>
  </si>
  <si>
    <t>MG001973/2025</t>
  </si>
  <si>
    <t>Informar o número de registro da Convenção Coletiva de Trabalho utilizada, junto ao Ministério do Trabalho e Emprego.</t>
  </si>
  <si>
    <t>Vigência da CCT utilizada</t>
  </si>
  <si>
    <t>01/04/2025 à 31/03/2026</t>
  </si>
  <si>
    <t>Informar a vigência da Convenção Coletiva de Trabalho utilizada no processo licitatório.</t>
  </si>
  <si>
    <t>Data base da categoria</t>
  </si>
  <si>
    <t>1 de abril</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</si>
  <si>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</si>
  <si>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</si>
  <si>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</si>
  <si>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</si>
  <si>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</si>
  <si>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</si>
  <si>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</si>
  <si>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</si>
  <si>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</si>
  <si>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</si>
  <si>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</si>
  <si>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</si>
  <si>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</si>
  <si>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</si>
  <si>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</si>
  <si>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</si>
  <si>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</si>
  <si>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</si>
  <si>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</si>
  <si>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</si>
  <si>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</si>
  <si>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</si>
  <si>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</si>
  <si>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</si>
  <si>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</si>
  <si>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</si>
  <si>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</si>
  <si>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</si>
  <si>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</si>
  <si>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</si>
  <si>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</si>
  <si>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</si>
  <si>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</si>
  <si>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</si>
  <si>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</si>
  <si>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</si>
  <si>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</si>
  <si>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</si>
  <si>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</si>
  <si>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</si>
  <si>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</si>
  <si>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</si>
  <si>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</si>
  <si>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</si>
  <si>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</si>
  <si>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</si>
  <si>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</si>
  <si>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</si>
  <si>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</si>
  <si>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</si>
  <si>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</si>
  <si>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</si>
  <si>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</si>
  <si>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</si>
  <si>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</si>
  <si>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</si>
  <si>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</si>
  <si>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</si>
  <si>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</si>
  <si>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</si>
  <si>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</si>
  <si>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</si>
  <si>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</si>
  <si>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</si>
  <si>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</si>
  <si>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</si>
  <si>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</si>
  <si>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</si>
  <si>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</si>
  <si>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</si>
  <si>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</si>
  <si>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</si>
  <si>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</si>
  <si>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</si>
  <si>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</si>
  <si>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</si>
  <si>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</si>
  <si>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</si>
  <si>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</si>
  <si>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</si>
  <si>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</si>
  <si>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</si>
  <si>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</si>
  <si>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</si>
  <si>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</si>
  <si>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</si>
  <si>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</si>
  <si>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</si>
  <si>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</si>
  <si>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</si>
  <si>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</si>
  <si>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</si>
  <si>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</si>
  <si>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</si>
  <si>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</si>
  <si>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</si>
  <si>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</si>
  <si>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</si>
  <si>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</si>
  <si>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</si>
  <si>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</si>
  <si>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</si>
  <si>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</si>
  <si>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</si>
  <si>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</si>
  <si>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</si>
  <si>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</si>
  <si>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</si>
  <si>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</si>
  <si>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</si>
  <si>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</si>
  <si>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</si>
  <si>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</si>
  <si>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</si>
  <si>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</si>
  <si>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</si>
  <si>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</si>
  <si>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</si>
  <si>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</si>
  <si>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</si>
  <si>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</si>
  <si>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</si>
  <si>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</si>
  <si>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</si>
  <si>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</si>
  <si>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</si>
  <si>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</si>
  <si>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</si>
  <si>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</si>
  <si>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</si>
  <si>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</si>
  <si>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</si>
  <si>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</si>
  <si>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</si>
  <si>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</si>
  <si>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</si>
  <si>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</si>
  <si>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</si>
  <si>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</si>
  <si>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</si>
  <si>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</si>
  <si>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</si>
  <si>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</si>
  <si>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</si>
  <si>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</si>
  <si>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</si>
  <si>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</si>
  <si>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</si>
  <si>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</si>
  <si>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</si>
  <si>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</si>
  <si>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</si>
  <si>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</si>
  <si>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</si>
  <si>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</si>
  <si>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</si>
  <si>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</si>
  <si>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</si>
  <si>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</si>
  <si>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</si>
  <si>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INSUMOS DE LIMPEZA</t>
  </si>
  <si>
    <t>INSTRUÇÕES DE PREENCHIMENTO - Informar/Alterar somente as células destacadas na Cor Amarela, de acordo com o valor unitário da Licitante.</t>
  </si>
  <si>
    <t>VALORES UNITÁRIOS DO CONTRATO, CORRIGIDOS PELO REAJUSTE DE IPCA.</t>
  </si>
  <si>
    <t>DESCRIÇÃO DO INSUMO</t>
  </si>
  <si>
    <t>REFERÊNCIA</t>
  </si>
  <si>
    <t>Quantidade</t>
  </si>
  <si>
    <t>Preço Unitário</t>
  </si>
  <si>
    <t>DIVISOR</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</si>
  <si>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</si>
  <si>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</si>
  <si>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</si>
  <si>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</si>
  <si>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</si>
  <si>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Etílico Limpeza De Ambientes - Álcool Etílico Limpeza De Ambientes Tipo: Hidratado , Aplicação: Produto Limpeza Doméstica , Características Adicionais: Incolor , Concentração: 46% - Litro</t>
  </si>
  <si>
    <t>Facilita</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</si>
  <si>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</si>
  <si>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</si>
  <si>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Balde plástico, reforçado, com alça, em polipropileno, alta resistência, com capacidade para 20 litros. o produto deverá conter todos os dados de identificação e procedência do produto, o registro nos órgãos competentes, com prazo de validade.</t>
  </si>
  <si>
    <t>Anual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</si>
  <si>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</si>
  <si>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</si>
  <si>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</si>
  <si>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</si>
  <si>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</si>
  <si>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</si>
  <si>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Detergente clorado - detergente clorado para limpeza e desinfeção de pisos, paredes e superfícies fixas em geral. composição: hidróxido de sódio, hidróxido de sódio, alcalinizante e veículo. 05 Litros</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</si>
  <si>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</si>
  <si>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</si>
  <si>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</si>
  <si>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</si>
  <si>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</si>
  <si>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</si>
  <si>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</si>
  <si>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</si>
  <si>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</si>
  <si>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Esponja de LÃ DE AÇO, composição básica: aço carbono abrasivo, p/ limpeza em geral, acondicionada em embalagem plástica original do fabricante, peso líquido aproximado de 60g, pacote c/ 08 unidades</t>
  </si>
  <si>
    <t>Bombril</t>
  </si>
  <si>
    <t>Limpa vidro 500ml (Veja ou similar)</t>
  </si>
  <si>
    <t>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</si>
  <si>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</si>
  <si>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</si>
  <si>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</si>
  <si>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</si>
  <si>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Pá p/ lixo em plástico resistente c/ cabo de madeira de 60cm de altura na vertical.</t>
  </si>
  <si>
    <t>Pano de copa aberto 100% dimensões mínimas 40x60cm</t>
  </si>
  <si>
    <t>Karsten</t>
  </si>
  <si>
    <t>Papel higiênico branco, folha dupla, de alta qualidade, com dimensões 10cm X 30m, com a marca do fabricante e indicação na embalagem, absorvente e resistente, fardo com 12 rolos de 30 metros. Tipo Neve ou de melhor qualidade.</t>
  </si>
  <si>
    <t>Fardo com 12 rolos</t>
  </si>
  <si>
    <t>Neve</t>
  </si>
  <si>
    <t>Papel Toalha Interfolhado, 2 dobras, 100% fibras celulósicas, branco extra luxo, sem pintas ou outros tipos de sujidades, boa qualidade , medindo aproximadamente 23cm x 23 cm , acondicionado em caixa c/1000 folhas.</t>
  </si>
  <si>
    <t>Economy (Jofel) ou similar</t>
  </si>
  <si>
    <t>Pedra sanitária c/ 25g - com suporte para fixar no vaso sanitário. Desinfetante sanitário em pedra 25 g</t>
  </si>
  <si>
    <t>Harpic, Pato</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</si>
  <si>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</si>
  <si>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</si>
  <si>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</si>
  <si>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</si>
  <si>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Bimestral</t>
  </si>
  <si>
    <t>Sabão em Pó – Caixa de 0,8 a 1Kg. Sabão em pó, convencional, de primeira linha. Para lavar roupas e limpeza em geral.</t>
  </si>
  <si>
    <t>cx.</t>
  </si>
  <si>
    <t>Omo ou similar</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</si>
  <si>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</si>
  <si>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</si>
  <si>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</si>
  <si>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</si>
  <si>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de lixo 20 litros, reforçado, capacidade nominal de 20 litros, cor preta, medindo no minimo 50cm x60cm, com espessura mínima de 7,0micras, embalagem contendo 100 unidades.</t>
  </si>
  <si>
    <t>Polisac</t>
  </si>
  <si>
    <t>Saco plástico reforçado para lixo em polietileno, com capacidade de 100 litros, com estanqueidade suficiente para que não haja vazamento de lixo líquido. com espessura mínima de 10 micra, na cor preta. Pacote com 100 unidades.</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</si>
  <si>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</si>
  <si>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</si>
  <si>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Noviça</t>
  </si>
  <si>
    <t>Escova Sanitária Redonda em plástico Branco contendo 01 escova para vaso sanitário e 01 suporte redondo: Branco Tamanho: 14 x 42 cm</t>
  </si>
  <si>
    <t>Limpamania</t>
  </si>
  <si>
    <t>Rodo limpa vidros com cabo extensor</t>
  </si>
  <si>
    <t>Mangueira para jardim, com 50 metros de extensão, antitorção, com engate de torneira e esguicho</t>
  </si>
  <si>
    <t>Tramontina</t>
  </si>
  <si>
    <t>N°de Postos para Rateio</t>
  </si>
  <si>
    <t>Valor por Posto</t>
  </si>
  <si>
    <t>ANEXO X - CUSTO ESTIMATIVO DE INSUMOS DE COPA</t>
  </si>
  <si>
    <t>OBSERVAÇÕES</t>
  </si>
  <si>
    <t>Marca de Referência</t>
  </si>
  <si>
    <t>unidade</t>
  </si>
  <si>
    <t>Scotch-brite</t>
  </si>
  <si>
    <t>Guadarnapo de papel branco, folha simples - 33x30 cm/pct 50 folhas</t>
  </si>
  <si>
    <t>unid.</t>
  </si>
  <si>
    <t>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t>
  </si>
  <si>
    <t>Delta, Pérola</t>
  </si>
  <si>
    <t>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t>
  </si>
  <si>
    <t>Zero Cal, Linea</t>
  </si>
  <si>
    <t>Trimestral</t>
  </si>
  <si>
    <t>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</si>
  <si>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3 Corações Gourmet, Orfeu, pilão</t>
  </si>
  <si>
    <t>ANEXO X - CUSTO ESTIMATIVO DE PREÇOS DE EQUIPAMENTOS</t>
  </si>
  <si>
    <t>Valores em R$</t>
  </si>
  <si>
    <t>Item</t>
  </si>
  <si>
    <t>Especificação</t>
  </si>
  <si>
    <t>Quant.</t>
  </si>
  <si>
    <t>Valor Unitário</t>
  </si>
  <si>
    <t>Valor Total</t>
  </si>
  <si>
    <t>Depreciação 10% ao Ano</t>
  </si>
  <si>
    <t>Repasse Mensal</t>
  </si>
  <si>
    <t xml:space="preserve">RELAÇÃO DE MÁQUINAS E EQUIPAMENTOS </t>
  </si>
  <si>
    <t>Carretel tipo: enrolador mangueira de jardim, Modelo: Móvel Acoplado ao Carrinho , Material Estrutural: Alumínio , Capacidade: 50 Metros De Mangueira ,Componentes Básicos: Engate Rápido E Mangotinho.</t>
  </si>
  <si>
    <t>Lavadora de alta pressão 1500W, Karcher k3 1500W 110v ou Similar. Alta potência de 1450W no mínimo. Pressão máxima no mínimo de 1800psi, sem desperdícios de água e energia. Proteção em caso de superaquecimento. Ajuste de jato regulável. Rodas e alça retrátil para transporte.</t>
  </si>
  <si>
    <t>Escada doméstica, material alumínio, número degraus 7, 8 ou 9, características adicionais pés antiderrapantes, trava de segurança, capacidade 120 kg, tipo dobrável.</t>
  </si>
  <si>
    <t>Carrinho de limpeza funcional kit completo com tampa e bolsa - Carro Multifuncional Para Limpeza Para Transporte kit: carro funcional + balde doblô 30 litros 2 águas + cabo alumínio 1,40 m + garra euro pl ástica + refil loop com cinta 320g + placa sinalizadora piso molhado + pá pop + conjunto mop pó 60 cm. Transporte De Produtos Descartáveis, Bolsa Para Coleta De No Mínimo 90 Litros, Com Tampa. Conjunto Balde Duplo De 25 Litros (Aproximadamente) Cada (Removível) 4 Organi zadores Para Ac - Carro Multifuncional Para Limpeza Carro Multifuncional Para Limpeza Para Transporte De Produtos Descartáveis, Bolsa Pa ra Coleta De No Mínimo 90 Litros, Com Tampa. Conjunto Balde Duplo De 25 Litros (Aproximadamente) Cada (Removível) 4 Organizadores Para Acessórios Rodízios Fixos E Giratórios</t>
  </si>
  <si>
    <t>Total da Depreciação de Máquinas e Equipamentos</t>
  </si>
  <si>
    <t>N° de postos para Rateio</t>
  </si>
  <si>
    <t>ANEXO X - CUSTO ESTIMATIVO DE EPI</t>
  </si>
  <si>
    <t>EPI Bota Segurança Material: Pvc - Cloreto De Polivinila , Material Sola: Antiderrapante , Cor: Preta , Tipo Cano: Longo Características Adicionais: Com Forro, Palmilha e Biqueira De Aço.</t>
  </si>
  <si>
    <t>Total de EPI de Servente</t>
  </si>
  <si>
    <t>N° de Postos para Rateio</t>
  </si>
  <si>
    <t>Valor por posto</t>
  </si>
  <si>
    <t>ANEXO X - CUSTO ESTIMATIVO DE PREÇOS DOS UNIFORMES</t>
  </si>
  <si>
    <t>Serviços de Limpeza e Conservação</t>
  </si>
  <si>
    <t>CATEGORIA</t>
  </si>
  <si>
    <t>QUANT.</t>
  </si>
  <si>
    <t>DESCRIÇÃO DE UNIFORME</t>
  </si>
  <si>
    <t>CORES</t>
  </si>
  <si>
    <t>TOTAL DO QUANTITATIVO</t>
  </si>
  <si>
    <t>PREÇO UNITÁRIO</t>
  </si>
  <si>
    <t xml:space="preserve">Servente </t>
  </si>
  <si>
    <t>Calça</t>
  </si>
  <si>
    <t>Calça - material: brim leve misto, 67% poliéster E 33% algodão, modelo: tradicional, aplicação: uniforme, quantidade bolsos: 4, tamanhos diversos. Características adicionais: com elástico na cintura e cordão quantidade bolsos: 4, tamanhos diversos. Características adicionais: com elástico na cintura e cordão
Cor: Preto ou Azul Marinho. </t>
  </si>
  <si>
    <t>Cinza ou Azul Marinho</t>
  </si>
  <si>
    <t>TOTAL DE POSTOS</t>
  </si>
  <si>
    <t>Camisa</t>
  </si>
  <si>
    <t>Camiseta Malha reta, gola careca ou redonda para uniforme, tamanhos diversos - Camisa para uniformes.de servente de limpeza: mangas curtas, gola careca ou redonda, tamanhos diversos. Material: malha PA:67% algodão e 33% poliéster, gramatura mínima 180g/m².</t>
  </si>
  <si>
    <t>Bege ou Azul</t>
  </si>
  <si>
    <t>Calçado</t>
  </si>
  <si>
    <t>Sapato de Segurança -Botina segurança - Material: Couro, Material Sola: Borracha, Modelo: Com Elástico nas Laterais, Características Adicionais: Biqueira Em Polipropileno, Tamanho: Sob Medida</t>
  </si>
  <si>
    <t>Preto</t>
  </si>
  <si>
    <t>Soma</t>
  </si>
  <si>
    <t xml:space="preserve">CÁLCULO VALOR DO REPASSE MENSAL SERVENTE DE LIMPEZA </t>
  </si>
  <si>
    <t xml:space="preserve"> Copeira</t>
  </si>
  <si>
    <t>Touca</t>
  </si>
  <si>
    <t>Touca Copeira em tecido tule com lycra com aba
COR: Branco com detalhe azul marinho</t>
  </si>
  <si>
    <t>Branco com Azul</t>
  </si>
  <si>
    <t>Avental</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</si>
  <si>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 COR: Branco</t>
  </si>
  <si>
    <t>Branco</t>
  </si>
  <si>
    <t>CÁLCULO VALOR DO REPASSE MENSAL ACÚMULO COPEIRA</t>
  </si>
  <si>
    <t>Calça Social Alicação: uniforme, material: 67% algodão / 33% poliéster, modelo: social, quantidade bolsos: 4, tamanho: variado, tipo bolso: 2 frontais faca e 2 traseiros chapados Cor: preto ou azul marinho</t>
  </si>
  <si>
    <t>Preto ou Azul Marinho</t>
  </si>
  <si>
    <t>Camisa Social Uniforme - Características adicionais: sem bolso, material de qualidade, tamanho: sob medida, tipo camisa: social, tipo colarinho: entretelado, tipo manga: curta e comprida, tipo uso: administrativo
COR: Bege, Cinza ou Azul marinho</t>
  </si>
  <si>
    <t>Bege, Cinza ou Azul-Marinho</t>
  </si>
  <si>
    <t>Masculino: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</si>
  <si>
    <t>Sapato</t>
  </si>
  <si>
    <t>Sapato Social - Sapato preto para uso profissional, modelo social, salto baixo, super confortável, solado antiderrapante. Cor: Preto</t>
  </si>
  <si>
    <t>CÁLCULO VALOR DO REPASSE MENSAL AUXILIAR ADMINISTRATIVO</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</si>
  <si>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</si>
  <si>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</si>
  <si>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</si>
  <si>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</si>
  <si>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</si>
  <si>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</si>
  <si>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</si>
  <si>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</si>
  <si>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insumo)</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</si>
  <si>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</si>
  <si>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</si>
  <si>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</si>
  <si>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</si>
  <si>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</si>
  <si>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</si>
  <si>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</si>
  <si>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</si>
  <si>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</si>
  <si>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</si>
  <si>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</si>
  <si>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</si>
  <si>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</si>
  <si>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</si>
  <si>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</si>
  <si>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</si>
  <si>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</si>
  <si>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</si>
  <si>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</si>
  <si>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</si>
  <si>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</si>
  <si>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</si>
  <si>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</si>
  <si>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</si>
  <si>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</si>
  <si>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</si>
  <si>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</si>
  <si>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</si>
  <si>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</si>
  <si>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2. Na célula “R12” deverá ser informado a quantidade de dias em que o trabalho insalubre foi realizado por outra servente do quadro, durante as férias da titular.</t>
  </si>
  <si>
    <t>Planilha de Custo e Formação de Preço Mensal Por Categoria Profissional</t>
  </si>
  <si>
    <t>COM INSUMO</t>
  </si>
  <si>
    <t>SEM INSUMO</t>
  </si>
  <si>
    <t>CUSTO DE VALE ALIMENTAÇÃO</t>
  </si>
  <si>
    <t>CUSTO DE VALE-TRANSPORTE</t>
  </si>
  <si>
    <t>CUSTO INSALUBRIDADE</t>
  </si>
  <si>
    <t>33390.37.01 - Serviços Administrativos</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</si>
  <si>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</si>
  <si>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</si>
  <si>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</si>
  <si>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</si>
  <si>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</si>
  <si>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</si>
  <si>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</si>
  <si>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</si>
  <si>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</si>
  <si>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</si>
  <si>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</si>
  <si>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</si>
  <si>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</si>
  <si>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</si>
  <si>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Insumos de Limpeza</t>
  </si>
  <si>
    <t>Insumos de Copa</t>
  </si>
  <si>
    <t>EPIs</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</si>
  <si>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</si>
  <si>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</si>
  <si>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</si>
  <si>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</si>
  <si>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</si>
  <si>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</si>
  <si>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</si>
  <si>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</si>
  <si>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</si>
  <si>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</si>
  <si>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</si>
  <si>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</si>
  <si>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</si>
  <si>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</si>
  <si>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33390.37.02 - Limpeza e Conservação</t>
  </si>
  <si>
    <t>Valores Unitários</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</si>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</sst>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48"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0"/>
      <name val="Calibri"/>
      <family val="2"/>
      <charset val="1"/>
    </font>
    <font>
      <sz val="10"/>
      <name val="Calibri"/>
      <family val="2"/>
      <charset val="1"/>
    </font>
    <font>
      <sz val="12"/>
      <name val="Calibri"/>
      <family val="2"/>
      <charset val="1"/>
    </font>
    <font>
      <b/>
      <sz val="10"/>
      <color rgb="FFFF0000"/>
      <name val="Calibri"/>
      <family val="2"/>
      <charset val="1"/>
    </font>
    <font>
      <sz val="9"/>
      <name val="Calibri"/>
      <family val="2"/>
      <charset val="1"/>
    </font>
    <font>
      <b/>
      <sz val="11"/>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rgb="FF000000"/>
      <name val="Calibri"/>
      <family val="2"/>
      <charset val="1"/>
    </font>
    <font>
      <sz val="8"/>
      <name val="Calibri"/>
      <family val="2"/>
      <charset val="1"/>
    </font>
    <font>
      <b/>
      <sz val="12"/>
      <name val="Calibri"/>
      <family val="2"/>
      <charset val="1"/>
    </font>
    <font>
      <sz val="10"/>
      <color theme="1"/>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i/>
      <sz val="11"/>
      <color rgb="FF33996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b/>
      <sz val="12"/>
      <name val="Times New Roman"/>
      <family val="1"/>
      <charset val="1"/>
    </font>
    <font>
      <b/>
      <sz val="7"/>
      <name val="Calibri"/>
      <family val="2"/>
      <charset val="1"/>
    </font>
    <font>
      <b/>
      <sz val="28"/>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s>
  <fills count="19">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969696"/>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style="thin">
        <color auto="1"/>
      </top>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thin">
        <color auto="1"/>
      </left>
      <right/>
      <top style="thin">
        <color auto="1"/>
      </top>
      <bottom/>
      <diagonal/>
    </border>
    <border>
      <left style="medium">
        <color auto="1"/>
      </left>
      <right/>
      <top style="thin">
        <color auto="1"/>
      </top>
      <bottom style="medium">
        <color auto="1"/>
      </bottom>
      <diagonal/>
    </border>
  </borders>
  <cellStyleXfs count="29">
    <xf numFmtId="0" fontId="0" fillId="0" borderId="0"/>
    <xf numFmtId="166" fontId="47" fillId="0" borderId="0" applyBorder="0" applyProtection="0"/>
    <xf numFmtId="164" fontId="47" fillId="0" borderId="0" applyBorder="0" applyProtection="0"/>
    <xf numFmtId="9" fontId="47"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0" fontId="34" fillId="0" borderId="0" applyBorder="0" applyProtection="0"/>
    <xf numFmtId="170" fontId="2" fillId="0" borderId="0" applyBorder="0" applyProtection="0"/>
  </cellStyleXfs>
  <cellXfs count="715">
    <xf numFmtId="0" fontId="0" fillId="0" borderId="0" xfId="0"/>
    <xf numFmtId="0" fontId="7" fillId="5"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0" xfId="0" applyFont="1" applyAlignment="1">
      <alignment horizontal="center" vertical="top"/>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xf numFmtId="0" fontId="5" fillId="0" borderId="2" xfId="0" applyFont="1" applyBorder="1" applyAlignment="1">
      <alignment horizontal="left" vertical="center"/>
    </xf>
    <xf numFmtId="0" fontId="6" fillId="0" borderId="0" xfId="0" applyFont="1" applyAlignment="1">
      <alignment vertical="center"/>
    </xf>
    <xf numFmtId="0" fontId="4" fillId="0" borderId="3" xfId="0" applyFont="1" applyBorder="1" applyAlignment="1">
      <alignment vertical="top"/>
    </xf>
    <xf numFmtId="0" fontId="5" fillId="0" borderId="0" xfId="0" applyFont="1" applyAlignment="1">
      <alignment horizontal="left" vertical="center"/>
    </xf>
    <xf numFmtId="0" fontId="6"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8" fillId="0" borderId="4" xfId="0"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8" fillId="0" borderId="17" xfId="0" applyNumberFormat="1" applyFont="1" applyBorder="1" applyAlignment="1">
      <alignment horizontal="center" vertical="center"/>
    </xf>
    <xf numFmtId="0" fontId="8" fillId="0" borderId="18" xfId="0" applyFont="1" applyBorder="1" applyAlignment="1">
      <alignment vertical="center"/>
    </xf>
    <xf numFmtId="1" fontId="8" fillId="0" borderId="18" xfId="0" applyNumberFormat="1" applyFont="1" applyBorder="1" applyAlignment="1">
      <alignment horizontal="center" vertical="center"/>
    </xf>
    <xf numFmtId="0" fontId="13" fillId="6" borderId="19"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2" fontId="13" fillId="6" borderId="17" xfId="0" applyNumberFormat="1" applyFont="1" applyFill="1" applyBorder="1" applyAlignment="1" applyProtection="1">
      <alignment horizontal="center" vertical="center"/>
      <protection locked="0"/>
    </xf>
    <xf numFmtId="2" fontId="8" fillId="0" borderId="20" xfId="0" applyNumberFormat="1" applyFont="1" applyBorder="1" applyAlignment="1">
      <alignment horizontal="center" vertical="center"/>
    </xf>
    <xf numFmtId="0" fontId="13" fillId="6" borderId="21" xfId="0" applyFont="1" applyFill="1" applyBorder="1" applyAlignment="1" applyProtection="1">
      <alignment horizontal="center" vertical="center"/>
      <protection locked="0"/>
    </xf>
    <xf numFmtId="166" fontId="8" fillId="0" borderId="22" xfId="0" applyNumberFormat="1" applyFont="1" applyBorder="1" applyAlignment="1">
      <alignment horizontal="center" vertical="center"/>
    </xf>
    <xf numFmtId="0" fontId="8" fillId="0" borderId="18" xfId="0" applyFont="1" applyBorder="1" applyAlignment="1">
      <alignment horizontal="center" vertical="center"/>
    </xf>
    <xf numFmtId="164" fontId="8" fillId="0" borderId="18" xfId="0" applyNumberFormat="1" applyFont="1" applyBorder="1" applyAlignment="1">
      <alignment horizontal="center" vertical="center"/>
    </xf>
    <xf numFmtId="164" fontId="8" fillId="0" borderId="20" xfId="2" applyFont="1" applyBorder="1" applyAlignment="1" applyProtection="1">
      <alignment horizontal="center" vertical="center"/>
    </xf>
    <xf numFmtId="1" fontId="8" fillId="0" borderId="23" xfId="0" applyNumberFormat="1" applyFont="1" applyBorder="1" applyAlignment="1">
      <alignment horizontal="center" vertical="center"/>
    </xf>
    <xf numFmtId="0" fontId="8" fillId="0" borderId="4" xfId="0" applyFont="1" applyBorder="1" applyAlignment="1">
      <alignment vertical="center"/>
    </xf>
    <xf numFmtId="1" fontId="8" fillId="0" borderId="4" xfId="0" applyNumberFormat="1" applyFont="1" applyBorder="1" applyAlignment="1">
      <alignment horizontal="center" vertical="center"/>
    </xf>
    <xf numFmtId="0" fontId="13" fillId="6" borderId="24"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2" fontId="13" fillId="6" borderId="23" xfId="0" applyNumberFormat="1" applyFont="1" applyFill="1" applyBorder="1" applyAlignment="1" applyProtection="1">
      <alignment horizontal="center" vertical="center"/>
      <protection locked="0"/>
    </xf>
    <xf numFmtId="2" fontId="8" fillId="0" borderId="25" xfId="0" applyNumberFormat="1" applyFont="1" applyBorder="1" applyAlignment="1">
      <alignment horizontal="center" vertical="center"/>
    </xf>
    <xf numFmtId="0" fontId="13" fillId="6" borderId="26" xfId="0" applyFont="1" applyFill="1" applyBorder="1" applyAlignment="1" applyProtection="1">
      <alignment horizontal="center" vertical="center"/>
      <protection locked="0"/>
    </xf>
    <xf numFmtId="166" fontId="8" fillId="0" borderId="27"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25" xfId="2" applyFont="1" applyBorder="1" applyAlignment="1" applyProtection="1">
      <alignment horizontal="center" vertical="center"/>
    </xf>
    <xf numFmtId="1" fontId="8" fillId="0" borderId="28" xfId="0" applyNumberFormat="1" applyFont="1" applyBorder="1" applyAlignment="1">
      <alignment horizontal="center" vertical="center"/>
    </xf>
    <xf numFmtId="0" fontId="8" fillId="0" borderId="29" xfId="0" applyFont="1" applyBorder="1" applyAlignment="1">
      <alignment vertical="center"/>
    </xf>
    <xf numFmtId="1" fontId="8" fillId="0" borderId="29" xfId="0" applyNumberFormat="1" applyFont="1" applyBorder="1" applyAlignment="1">
      <alignment horizontal="center" vertical="center"/>
    </xf>
    <xf numFmtId="0" fontId="13" fillId="6" borderId="30" xfId="0" applyFont="1" applyFill="1" applyBorder="1" applyAlignment="1" applyProtection="1">
      <alignment horizontal="center" vertical="center"/>
      <protection locked="0"/>
    </xf>
    <xf numFmtId="0" fontId="13" fillId="6" borderId="29" xfId="0" applyFont="1" applyFill="1" applyBorder="1" applyAlignment="1" applyProtection="1">
      <alignment horizontal="center" vertical="center"/>
      <protection locked="0"/>
    </xf>
    <xf numFmtId="2" fontId="13" fillId="6" borderId="28" xfId="0" applyNumberFormat="1" applyFont="1" applyFill="1" applyBorder="1" applyAlignment="1" applyProtection="1">
      <alignment horizontal="center" vertical="center"/>
      <protection locked="0"/>
    </xf>
    <xf numFmtId="2" fontId="8" fillId="0" borderId="31" xfId="0" applyNumberFormat="1" applyFont="1" applyBorder="1" applyAlignment="1">
      <alignment horizontal="center" vertical="center"/>
    </xf>
    <xf numFmtId="0" fontId="13" fillId="6" borderId="32" xfId="0" applyFont="1" applyFill="1" applyBorder="1" applyAlignment="1" applyProtection="1">
      <alignment horizontal="center" vertical="center"/>
      <protection locked="0"/>
    </xf>
    <xf numFmtId="166" fontId="14" fillId="7" borderId="32" xfId="0" applyNumberFormat="1" applyFont="1" applyFill="1" applyBorder="1" applyAlignment="1">
      <alignment horizontal="center" vertical="center"/>
    </xf>
    <xf numFmtId="166" fontId="8" fillId="0" borderId="33" xfId="0" applyNumberFormat="1" applyFont="1" applyBorder="1" applyAlignment="1">
      <alignment horizontal="center" vertical="center"/>
    </xf>
    <xf numFmtId="166" fontId="14" fillId="7" borderId="29" xfId="0" applyNumberFormat="1" applyFont="1" applyFill="1" applyBorder="1" applyAlignment="1">
      <alignment horizontal="center" vertical="center"/>
    </xf>
    <xf numFmtId="164" fontId="8" fillId="0" borderId="29" xfId="0" applyNumberFormat="1" applyFont="1" applyBorder="1" applyAlignment="1">
      <alignment horizontal="center" vertical="center"/>
    </xf>
    <xf numFmtId="0" fontId="8" fillId="0" borderId="29" xfId="0" applyFont="1" applyBorder="1" applyAlignment="1">
      <alignment horizontal="center" vertical="center"/>
    </xf>
    <xf numFmtId="164" fontId="8" fillId="0" borderId="31" xfId="2" applyFont="1" applyBorder="1" applyAlignment="1" applyProtection="1">
      <alignment horizontal="center" vertical="center"/>
    </xf>
    <xf numFmtId="0" fontId="7" fillId="5" borderId="35" xfId="0" applyFont="1" applyFill="1" applyBorder="1" applyAlignment="1">
      <alignment horizontal="center" vertical="center"/>
    </xf>
    <xf numFmtId="4" fontId="7" fillId="5" borderId="36" xfId="0" applyNumberFormat="1" applyFont="1" applyFill="1" applyBorder="1" applyAlignment="1">
      <alignment horizontal="center" vertical="center"/>
    </xf>
    <xf numFmtId="0" fontId="7" fillId="5" borderId="3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34" xfId="0" applyFont="1" applyFill="1" applyBorder="1" applyAlignment="1">
      <alignment vertical="center"/>
    </xf>
    <xf numFmtId="164" fontId="7" fillId="5" borderId="36" xfId="0" applyNumberFormat="1" applyFont="1" applyFill="1" applyBorder="1" applyAlignment="1">
      <alignment horizontal="center" vertical="center"/>
    </xf>
    <xf numFmtId="0" fontId="8"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pplyProtection="1">
      <alignment horizontal="center" vertical="center"/>
      <protection locked="0"/>
    </xf>
    <xf numFmtId="2" fontId="8" fillId="0" borderId="4" xfId="0" applyNumberFormat="1" applyFont="1" applyBorder="1" applyAlignment="1" applyProtection="1">
      <alignment horizontal="center" vertical="center"/>
      <protection locked="0"/>
    </xf>
    <xf numFmtId="164" fontId="4" fillId="0" borderId="0" xfId="2" applyFont="1" applyBorder="1" applyAlignment="1" applyProtection="1">
      <alignment horizontal="center" vertical="center"/>
    </xf>
    <xf numFmtId="0" fontId="7" fillId="0" borderId="0" xfId="0" applyFont="1" applyAlignment="1">
      <alignment horizontal="center" vertical="center"/>
    </xf>
    <xf numFmtId="0" fontId="8" fillId="0" borderId="0" xfId="0" applyFont="1"/>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8" fillId="8" borderId="23" xfId="0" applyFont="1" applyFill="1" applyBorder="1" applyAlignment="1">
      <alignment horizontal="center" vertical="center"/>
    </xf>
    <xf numFmtId="0" fontId="18" fillId="0" borderId="4" xfId="0" applyFont="1" applyBorder="1" applyAlignment="1">
      <alignment horizontal="left" vertical="center" wrapText="1"/>
    </xf>
    <xf numFmtId="0" fontId="8" fillId="0" borderId="4" xfId="0" applyFont="1" applyBorder="1" applyAlignment="1">
      <alignment horizontal="center"/>
    </xf>
    <xf numFmtId="0" fontId="13" fillId="6" borderId="42" xfId="0" applyFont="1" applyFill="1" applyBorder="1" applyAlignment="1" applyProtection="1">
      <alignment horizontal="center" vertical="center"/>
      <protection locked="0"/>
    </xf>
    <xf numFmtId="0" fontId="8" fillId="0" borderId="43" xfId="0" applyFont="1" applyBorder="1" applyAlignment="1">
      <alignment horizontal="center" vertical="center"/>
    </xf>
    <xf numFmtId="0" fontId="11" fillId="0" borderId="44" xfId="0" applyFont="1" applyBorder="1" applyAlignment="1">
      <alignment horizontal="center" vertical="center"/>
    </xf>
    <xf numFmtId="167" fontId="8" fillId="0" borderId="42" xfId="0" applyNumberFormat="1"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1" fontId="5" fillId="0" borderId="23" xfId="0" applyNumberFormat="1" applyFont="1" applyBorder="1" applyAlignment="1">
      <alignment horizontal="center" vertical="center"/>
    </xf>
    <xf numFmtId="164" fontId="7" fillId="5" borderId="43" xfId="2" applyFont="1" applyFill="1" applyBorder="1" applyAlignment="1" applyProtection="1">
      <alignment horizontal="center" vertical="center"/>
    </xf>
    <xf numFmtId="10" fontId="7" fillId="5" borderId="27" xfId="0" applyNumberFormat="1" applyFont="1" applyFill="1" applyBorder="1" applyAlignment="1">
      <alignment horizontal="center" vertical="center"/>
    </xf>
    <xf numFmtId="164" fontId="7" fillId="5" borderId="25" xfId="2" applyFont="1" applyFill="1" applyBorder="1" applyAlignment="1" applyProtection="1">
      <alignment horizontal="center" vertical="center"/>
    </xf>
    <xf numFmtId="164" fontId="7" fillId="5" borderId="31" xfId="2" applyFont="1" applyFill="1" applyBorder="1" applyAlignment="1" applyProtection="1">
      <alignment horizontal="center" vertical="center"/>
    </xf>
    <xf numFmtId="0" fontId="8" fillId="0" borderId="0" xfId="0" applyFont="1" applyAlignment="1">
      <alignment horizontal="center"/>
    </xf>
    <xf numFmtId="164" fontId="7" fillId="5" borderId="20" xfId="2" applyFont="1" applyFill="1" applyBorder="1" applyAlignment="1" applyProtection="1">
      <alignment horizontal="center" vertical="center"/>
    </xf>
    <xf numFmtId="0" fontId="4" fillId="0" borderId="4" xfId="0" applyFont="1" applyBorder="1"/>
    <xf numFmtId="3" fontId="4" fillId="0" borderId="24"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left"/>
    </xf>
    <xf numFmtId="0" fontId="8" fillId="0" borderId="0" xfId="0" applyFont="1" applyAlignment="1">
      <alignment horizontal="left"/>
    </xf>
    <xf numFmtId="0" fontId="19" fillId="0" borderId="1" xfId="0" applyFont="1" applyBorder="1"/>
    <xf numFmtId="0" fontId="5" fillId="0" borderId="2" xfId="0" applyFont="1" applyBorder="1" applyAlignment="1">
      <alignment vertical="center"/>
    </xf>
    <xf numFmtId="0" fontId="19" fillId="0" borderId="3" xfId="0" applyFont="1" applyBorder="1"/>
    <xf numFmtId="0" fontId="5" fillId="0" borderId="0" xfId="0" applyFont="1" applyAlignment="1">
      <alignment vertical="center"/>
    </xf>
    <xf numFmtId="0" fontId="20" fillId="0" borderId="0" xfId="0" applyFont="1" applyAlignment="1">
      <alignment horizontal="center" vertical="center"/>
    </xf>
    <xf numFmtId="0" fontId="17" fillId="0" borderId="0" xfId="0" applyFont="1" applyAlignment="1">
      <alignment horizontal="left"/>
    </xf>
    <xf numFmtId="0" fontId="8"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8" fillId="2" borderId="0" xfId="0" applyFont="1" applyFill="1"/>
    <xf numFmtId="0" fontId="7" fillId="0" borderId="0" xfId="0" applyFont="1"/>
    <xf numFmtId="0" fontId="21" fillId="0" borderId="0" xfId="0" applyFont="1"/>
    <xf numFmtId="0" fontId="8" fillId="9" borderId="0" xfId="0" applyFont="1" applyFill="1"/>
    <xf numFmtId="0" fontId="22" fillId="10" borderId="0" xfId="0" applyFont="1" applyFill="1"/>
    <xf numFmtId="0" fontId="8" fillId="9" borderId="0" xfId="0" applyFont="1" applyFill="1" applyAlignment="1">
      <alignment vertical="center"/>
    </xf>
    <xf numFmtId="0" fontId="8" fillId="8" borderId="0" xfId="0" applyFont="1" applyFill="1" applyAlignment="1">
      <alignment vertical="center"/>
    </xf>
    <xf numFmtId="0" fontId="5" fillId="0" borderId="0" xfId="0" applyFont="1"/>
    <xf numFmtId="0" fontId="23" fillId="0" borderId="0" xfId="0" applyFont="1" applyAlignment="1">
      <alignment horizontal="left" vertical="center"/>
    </xf>
    <xf numFmtId="0" fontId="4" fillId="0" borderId="0" xfId="0" applyFont="1" applyAlignment="1">
      <alignment vertical="center"/>
    </xf>
    <xf numFmtId="168" fontId="12" fillId="0" borderId="0" xfId="0" applyNumberFormat="1" applyFont="1" applyAlignment="1">
      <alignment horizontal="left" vertical="center"/>
    </xf>
    <xf numFmtId="0" fontId="12" fillId="0" borderId="0" xfId="0" applyFont="1" applyAlignment="1">
      <alignment vertical="center"/>
    </xf>
    <xf numFmtId="0" fontId="8" fillId="11"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169" fontId="9" fillId="0" borderId="0" xfId="0" applyNumberFormat="1" applyFont="1" applyAlignment="1">
      <alignment vertical="center"/>
    </xf>
    <xf numFmtId="0" fontId="12" fillId="0" borderId="4" xfId="0" applyFont="1" applyBorder="1" applyAlignment="1">
      <alignment horizontal="center" vertical="center"/>
    </xf>
    <xf numFmtId="1" fontId="4" fillId="0" borderId="4" xfId="0" applyNumberFormat="1" applyFont="1" applyBorder="1" applyAlignment="1">
      <alignment horizontal="center" vertical="center"/>
    </xf>
    <xf numFmtId="0" fontId="12" fillId="0" borderId="4" xfId="0" applyFont="1" applyBorder="1" applyAlignment="1">
      <alignment vertical="center"/>
    </xf>
    <xf numFmtId="0" fontId="4" fillId="0" borderId="4" xfId="0"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66" fontId="14" fillId="7" borderId="4" xfId="1" applyFont="1" applyFill="1" applyBorder="1" applyAlignment="1" applyProtection="1">
      <alignment horizontal="center" vertical="center"/>
    </xf>
    <xf numFmtId="166" fontId="14" fillId="7" borderId="4" xfId="0" applyNumberFormat="1" applyFont="1" applyFill="1" applyBorder="1" applyAlignment="1">
      <alignment horizontal="center" vertical="center"/>
    </xf>
    <xf numFmtId="4" fontId="12" fillId="0" borderId="4" xfId="1" applyNumberFormat="1" applyFont="1" applyBorder="1" applyAlignment="1" applyProtection="1">
      <alignment horizontal="center" vertical="center"/>
    </xf>
    <xf numFmtId="3" fontId="4" fillId="0" borderId="4" xfId="0" applyNumberFormat="1" applyFont="1" applyBorder="1" applyAlignment="1">
      <alignment horizontal="center" vertical="center"/>
    </xf>
    <xf numFmtId="10" fontId="4" fillId="2" borderId="4" xfId="3" applyNumberFormat="1" applyFont="1" applyFill="1" applyBorder="1" applyAlignment="1" applyProtection="1">
      <alignment horizontal="center" vertical="center"/>
      <protection locked="0"/>
    </xf>
    <xf numFmtId="10" fontId="4" fillId="8" borderId="4" xfId="3" applyNumberFormat="1" applyFont="1" applyFill="1" applyBorder="1" applyAlignment="1" applyProtection="1">
      <alignment horizontal="center" vertical="center"/>
    </xf>
    <xf numFmtId="2" fontId="4" fillId="0" borderId="4" xfId="3"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0" fontId="12" fillId="0" borderId="42" xfId="0" applyFont="1" applyBorder="1" applyAlignment="1">
      <alignment horizontal="center" vertical="center"/>
    </xf>
    <xf numFmtId="4" fontId="12" fillId="0" borderId="42" xfId="1" applyNumberFormat="1" applyFont="1" applyBorder="1" applyAlignment="1" applyProtection="1">
      <alignment horizontal="center" vertical="center"/>
    </xf>
    <xf numFmtId="0" fontId="12" fillId="11"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vertical="center"/>
    </xf>
    <xf numFmtId="10" fontId="12" fillId="0" borderId="4" xfId="3" applyNumberFormat="1" applyFont="1" applyBorder="1" applyAlignment="1" applyProtection="1">
      <alignment horizontal="center" vertical="center"/>
    </xf>
    <xf numFmtId="2" fontId="4" fillId="2" borderId="4" xfId="0" applyNumberFormat="1" applyFont="1" applyFill="1" applyBorder="1" applyAlignment="1" applyProtection="1">
      <alignment horizontal="center" vertical="center"/>
      <protection locked="0"/>
    </xf>
    <xf numFmtId="0" fontId="4" fillId="0" borderId="24" xfId="0" applyFont="1" applyBorder="1" applyAlignment="1">
      <alignment vertical="center"/>
    </xf>
    <xf numFmtId="0" fontId="4" fillId="0" borderId="48" xfId="0" applyFont="1" applyBorder="1" applyAlignment="1">
      <alignment vertical="center"/>
    </xf>
    <xf numFmtId="166" fontId="4" fillId="0" borderId="27" xfId="1" applyFont="1" applyBorder="1" applyAlignment="1" applyProtection="1">
      <alignment vertical="center"/>
    </xf>
    <xf numFmtId="0" fontId="4" fillId="2" borderId="4" xfId="0" applyFont="1" applyFill="1" applyBorder="1" applyAlignment="1" applyProtection="1">
      <alignment horizontal="center" vertical="center"/>
      <protection locked="0"/>
    </xf>
    <xf numFmtId="0" fontId="4" fillId="0" borderId="13" xfId="0" applyFont="1" applyBorder="1" applyAlignment="1">
      <alignment horizontal="center" vertical="center"/>
    </xf>
    <xf numFmtId="4" fontId="24" fillId="0" borderId="4" xfId="0" applyNumberFormat="1" applyFont="1" applyBorder="1" applyAlignment="1">
      <alignment horizontal="center" vertical="center"/>
    </xf>
    <xf numFmtId="10" fontId="4" fillId="2" borderId="4" xfId="0" applyNumberFormat="1" applyFont="1" applyFill="1" applyBorder="1" applyAlignment="1" applyProtection="1">
      <alignment horizontal="center" vertical="center"/>
      <protection locked="0"/>
    </xf>
    <xf numFmtId="166" fontId="4" fillId="0" borderId="0" xfId="1" applyFont="1" applyBorder="1" applyProtection="1"/>
    <xf numFmtId="10"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168"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0" fontId="4" fillId="0" borderId="0" xfId="0" applyFont="1" applyAlignment="1">
      <alignment horizontal="left"/>
    </xf>
    <xf numFmtId="0" fontId="25" fillId="11" borderId="4" xfId="0" applyFont="1" applyFill="1" applyBorder="1" applyAlignment="1">
      <alignment horizontal="center" vertical="center" wrapText="1"/>
    </xf>
    <xf numFmtId="0" fontId="4" fillId="0" borderId="18" xfId="0" applyFont="1" applyBorder="1"/>
    <xf numFmtId="0" fontId="4" fillId="0" borderId="42" xfId="0" applyFont="1" applyBorder="1"/>
    <xf numFmtId="0" fontId="5" fillId="0" borderId="1" xfId="0" applyFont="1" applyBorder="1"/>
    <xf numFmtId="0" fontId="5" fillId="0" borderId="50" xfId="0" applyFont="1" applyBorder="1" applyAlignment="1">
      <alignment vertical="center"/>
    </xf>
    <xf numFmtId="0" fontId="5" fillId="0" borderId="3" xfId="0" applyFont="1" applyBorder="1"/>
    <xf numFmtId="0" fontId="5" fillId="0" borderId="51" xfId="0" applyFont="1" applyBorder="1" applyAlignment="1">
      <alignment vertical="center"/>
    </xf>
    <xf numFmtId="0" fontId="11" fillId="0" borderId="3" xfId="0" applyFont="1" applyBorder="1"/>
    <xf numFmtId="0" fontId="27" fillId="0" borderId="23" xfId="0" applyFont="1" applyBorder="1" applyAlignment="1">
      <alignment horizontal="center"/>
    </xf>
    <xf numFmtId="0" fontId="27" fillId="0" borderId="4" xfId="0" applyFont="1" applyBorder="1" applyAlignment="1">
      <alignment horizontal="center"/>
    </xf>
    <xf numFmtId="0" fontId="27" fillId="0" borderId="25" xfId="0" applyFont="1" applyBorder="1" applyAlignment="1">
      <alignment horizontal="center"/>
    </xf>
    <xf numFmtId="0" fontId="28" fillId="11" borderId="23" xfId="0" applyFont="1" applyFill="1" applyBorder="1" applyAlignment="1">
      <alignment horizontal="center" vertical="center"/>
    </xf>
    <xf numFmtId="0" fontId="11" fillId="0" borderId="23" xfId="0" applyFont="1" applyBorder="1" applyAlignment="1">
      <alignment horizontal="center" vertical="center"/>
    </xf>
    <xf numFmtId="0" fontId="11" fillId="0" borderId="4" xfId="0" applyFont="1" applyBorder="1" applyAlignment="1">
      <alignment vertical="center"/>
    </xf>
    <xf numFmtId="10" fontId="11" fillId="2" borderId="25" xfId="0" applyNumberFormat="1" applyFont="1" applyFill="1" applyBorder="1" applyAlignment="1" applyProtection="1">
      <alignment horizontal="center" vertical="center"/>
      <protection locked="0"/>
    </xf>
    <xf numFmtId="10" fontId="11" fillId="0" borderId="25" xfId="0" applyNumberFormat="1" applyFont="1" applyBorder="1" applyAlignment="1">
      <alignment horizontal="center" vertical="center"/>
    </xf>
    <xf numFmtId="2" fontId="0" fillId="0" borderId="0" xfId="0" applyNumberFormat="1"/>
    <xf numFmtId="10" fontId="28" fillId="11" borderId="25" xfId="0" applyNumberFormat="1" applyFont="1" applyFill="1" applyBorder="1" applyAlignment="1">
      <alignment horizontal="center" vertical="center"/>
    </xf>
    <xf numFmtId="0" fontId="11" fillId="0" borderId="24" xfId="0" applyFont="1" applyBorder="1" applyAlignment="1">
      <alignment vertical="center"/>
    </xf>
    <xf numFmtId="10" fontId="22" fillId="13" borderId="25" xfId="3" applyNumberFormat="1" applyFont="1" applyFill="1" applyBorder="1" applyAlignment="1" applyProtection="1">
      <alignment horizontal="center" vertical="center"/>
    </xf>
    <xf numFmtId="10" fontId="29" fillId="0" borderId="25" xfId="0" applyNumberFormat="1" applyFont="1" applyBorder="1" applyAlignment="1">
      <alignment horizontal="center" vertical="center"/>
    </xf>
    <xf numFmtId="10" fontId="18" fillId="0" borderId="43" xfId="0" applyNumberFormat="1" applyFont="1" applyBorder="1" applyAlignment="1">
      <alignment horizontal="center" vertical="center"/>
    </xf>
    <xf numFmtId="10" fontId="30" fillId="0" borderId="25" xfId="0" applyNumberFormat="1" applyFont="1" applyBorder="1" applyAlignment="1">
      <alignment horizontal="center" vertical="center"/>
    </xf>
    <xf numFmtId="0" fontId="29" fillId="0" borderId="23" xfId="0" applyFont="1" applyBorder="1" applyAlignment="1">
      <alignment horizontal="center" vertical="center"/>
    </xf>
    <xf numFmtId="0" fontId="29" fillId="0" borderId="4" xfId="0" applyFont="1" applyBorder="1" applyAlignment="1">
      <alignment horizontal="left" vertical="center"/>
    </xf>
    <xf numFmtId="0" fontId="8" fillId="14" borderId="2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10" fillId="14" borderId="25" xfId="0" applyFont="1" applyFill="1" applyBorder="1" applyAlignment="1">
      <alignment horizontal="center" vertical="center" wrapText="1"/>
    </xf>
    <xf numFmtId="10" fontId="8" fillId="14" borderId="4" xfId="0" applyNumberFormat="1" applyFont="1" applyFill="1" applyBorder="1" applyAlignment="1">
      <alignment horizontal="center" vertical="center"/>
    </xf>
    <xf numFmtId="10" fontId="13" fillId="14" borderId="25" xfId="0" applyNumberFormat="1" applyFont="1" applyFill="1" applyBorder="1" applyAlignment="1">
      <alignment horizontal="center" vertical="center"/>
    </xf>
    <xf numFmtId="0" fontId="11" fillId="0" borderId="23" xfId="0" applyFont="1" applyBorder="1" applyAlignment="1">
      <alignment horizontal="center" vertical="center" wrapText="1"/>
    </xf>
    <xf numFmtId="10" fontId="11" fillId="0" borderId="4" xfId="0" applyNumberFormat="1" applyFont="1" applyBorder="1" applyAlignment="1">
      <alignment horizontal="center" vertical="center"/>
    </xf>
    <xf numFmtId="0" fontId="29" fillId="14" borderId="23" xfId="0" applyFont="1" applyFill="1" applyBorder="1" applyAlignment="1">
      <alignment horizontal="center" vertical="center" wrapText="1"/>
    </xf>
    <xf numFmtId="10" fontId="29" fillId="14" borderId="4" xfId="0" applyNumberFormat="1" applyFont="1" applyFill="1" applyBorder="1" applyAlignment="1">
      <alignment horizontal="center" vertical="center"/>
    </xf>
    <xf numFmtId="10" fontId="29" fillId="14" borderId="25" xfId="0" applyNumberFormat="1" applyFont="1" applyFill="1" applyBorder="1" applyAlignment="1">
      <alignment horizontal="center" vertical="center"/>
    </xf>
    <xf numFmtId="10" fontId="11" fillId="0" borderId="53" xfId="0" applyNumberFormat="1" applyFont="1" applyBorder="1" applyAlignment="1">
      <alignment horizontal="center" vertical="center"/>
    </xf>
    <xf numFmtId="0" fontId="29" fillId="0" borderId="23" xfId="0" applyFont="1" applyBorder="1" applyAlignment="1">
      <alignment horizontal="center" vertical="center" wrapText="1"/>
    </xf>
    <xf numFmtId="10" fontId="29" fillId="0" borderId="4" xfId="0" applyNumberFormat="1" applyFont="1" applyBorder="1" applyAlignment="1">
      <alignment horizontal="center" vertical="center"/>
    </xf>
    <xf numFmtId="10" fontId="32" fillId="0" borderId="53" xfId="0" applyNumberFormat="1" applyFont="1" applyBorder="1" applyAlignment="1">
      <alignment horizontal="center" vertical="center"/>
    </xf>
    <xf numFmtId="0" fontId="22" fillId="13" borderId="3" xfId="0" applyFont="1" applyFill="1" applyBorder="1" applyAlignment="1">
      <alignment horizontal="left" vertical="center"/>
    </xf>
    <xf numFmtId="0" fontId="22" fillId="13" borderId="0" xfId="0" applyFont="1" applyFill="1"/>
    <xf numFmtId="0" fontId="22" fillId="13" borderId="51" xfId="0" applyFont="1" applyFill="1" applyBorder="1"/>
    <xf numFmtId="10" fontId="11" fillId="0" borderId="4" xfId="0" applyNumberFormat="1" applyFont="1" applyBorder="1" applyAlignment="1">
      <alignment horizontal="center" vertical="center" wrapText="1"/>
    </xf>
    <xf numFmtId="10" fontId="11" fillId="0" borderId="25" xfId="0" applyNumberFormat="1" applyFont="1" applyBorder="1" applyAlignment="1">
      <alignment horizontal="center" vertical="center" wrapText="1"/>
    </xf>
    <xf numFmtId="0" fontId="29" fillId="14" borderId="28" xfId="0" applyFont="1" applyFill="1" applyBorder="1" applyAlignment="1">
      <alignment horizontal="center" vertical="center" wrapText="1"/>
    </xf>
    <xf numFmtId="10" fontId="29" fillId="14" borderId="29" xfId="0" applyNumberFormat="1" applyFont="1" applyFill="1" applyBorder="1" applyAlignment="1">
      <alignment horizontal="center" vertical="center"/>
    </xf>
    <xf numFmtId="10" fontId="32" fillId="14" borderId="31" xfId="0" applyNumberFormat="1" applyFont="1" applyFill="1" applyBorder="1" applyAlignment="1">
      <alignment horizontal="center" vertical="center"/>
    </xf>
    <xf numFmtId="0" fontId="8" fillId="0" borderId="1" xfId="0" applyFont="1" applyBorder="1"/>
    <xf numFmtId="0" fontId="8" fillId="0" borderId="2" xfId="0" applyFont="1" applyBorder="1"/>
    <xf numFmtId="0" fontId="8" fillId="0" borderId="50" xfId="0" applyFont="1" applyBorder="1"/>
    <xf numFmtId="0" fontId="8" fillId="0" borderId="3" xfId="0" applyFont="1" applyBorder="1"/>
    <xf numFmtId="0" fontId="8" fillId="0" borderId="51" xfId="0" applyFont="1" applyBorder="1"/>
    <xf numFmtId="0" fontId="23" fillId="0" borderId="0" xfId="0" applyFont="1" applyAlignment="1">
      <alignment horizontal="center" vertical="center"/>
    </xf>
    <xf numFmtId="0" fontId="12" fillId="0" borderId="0" xfId="0" applyFont="1" applyAlignment="1">
      <alignment horizontal="center" vertical="center"/>
    </xf>
    <xf numFmtId="0" fontId="7" fillId="11"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29" fillId="11" borderId="4" xfId="0" applyFont="1" applyFill="1" applyBorder="1" applyAlignment="1">
      <alignment horizontal="center" vertical="center" wrapText="1"/>
    </xf>
    <xf numFmtId="0" fontId="7" fillId="15" borderId="42" xfId="0" applyFont="1" applyFill="1" applyBorder="1" applyAlignment="1">
      <alignment horizontal="center" vertical="center" wrapText="1"/>
    </xf>
    <xf numFmtId="0" fontId="7" fillId="15" borderId="55"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5" borderId="43" xfId="0" applyFont="1" applyFill="1" applyBorder="1" applyAlignment="1">
      <alignment horizontal="center" vertical="center" wrapText="1"/>
    </xf>
    <xf numFmtId="1" fontId="5" fillId="0" borderId="45" xfId="0" applyNumberFormat="1" applyFont="1" applyBorder="1" applyAlignment="1">
      <alignment horizontal="center" vertical="center"/>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wrapText="1"/>
    </xf>
    <xf numFmtId="2" fontId="8" fillId="2" borderId="4" xfId="11" applyNumberFormat="1" applyFont="1" applyFill="1" applyBorder="1" applyAlignment="1" applyProtection="1">
      <alignment horizontal="center" vertical="center"/>
      <protection locked="0"/>
    </xf>
    <xf numFmtId="0" fontId="8" fillId="2" borderId="25" xfId="0" applyFont="1" applyFill="1" applyBorder="1" applyAlignment="1" applyProtection="1">
      <alignment vertical="center"/>
      <protection locked="0"/>
    </xf>
    <xf numFmtId="2" fontId="8" fillId="0" borderId="4" xfId="0" applyNumberFormat="1" applyFont="1" applyBorder="1" applyAlignment="1">
      <alignment horizontal="center" vertical="center"/>
    </xf>
    <xf numFmtId="0" fontId="13" fillId="0" borderId="23" xfId="0" applyFont="1" applyBorder="1" applyAlignment="1">
      <alignment horizontal="center" vertical="center"/>
    </xf>
    <xf numFmtId="165" fontId="7" fillId="11" borderId="31" xfId="0" applyNumberFormat="1" applyFont="1" applyFill="1" applyBorder="1" applyAlignment="1">
      <alignment vertical="center"/>
    </xf>
    <xf numFmtId="0" fontId="20" fillId="11" borderId="4" xfId="0" applyFont="1" applyFill="1" applyBorder="1" applyAlignment="1">
      <alignment horizontal="center" vertical="center"/>
    </xf>
    <xf numFmtId="2" fontId="20" fillId="11" borderId="4" xfId="0" applyNumberFormat="1" applyFont="1" applyFill="1" applyBorder="1" applyAlignment="1">
      <alignment horizontal="center" vertical="center"/>
    </xf>
    <xf numFmtId="0" fontId="13" fillId="0" borderId="0" xfId="0" applyFont="1" applyAlignment="1">
      <alignment horizontal="center" vertical="center"/>
    </xf>
    <xf numFmtId="0" fontId="8" fillId="0" borderId="3" xfId="0" applyFont="1" applyBorder="1" applyAlignment="1">
      <alignment horizontal="center" vertical="center"/>
    </xf>
    <xf numFmtId="0" fontId="0" fillId="0" borderId="51" xfId="0" applyBorder="1"/>
    <xf numFmtId="0" fontId="20" fillId="11" borderId="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1" xfId="0" applyFont="1" applyBorder="1" applyAlignment="1">
      <alignment horizontal="center" vertical="center"/>
    </xf>
    <xf numFmtId="0" fontId="7" fillId="11" borderId="4" xfId="0" applyFont="1" applyFill="1" applyBorder="1" applyAlignment="1">
      <alignment horizontal="center" vertical="center"/>
    </xf>
    <xf numFmtId="0" fontId="29" fillId="15" borderId="42" xfId="0" applyFont="1" applyFill="1" applyBorder="1" applyAlignment="1">
      <alignment horizontal="center" vertical="center" wrapText="1"/>
    </xf>
    <xf numFmtId="0" fontId="8" fillId="0" borderId="4" xfId="27" applyFont="1" applyBorder="1" applyAlignment="1" applyProtection="1">
      <alignment horizontal="left" vertical="center" wrapText="1"/>
    </xf>
    <xf numFmtId="0" fontId="8" fillId="0" borderId="4" xfId="27" applyFont="1" applyBorder="1" applyAlignment="1" applyProtection="1">
      <alignment horizontal="center" vertical="center" wrapText="1"/>
    </xf>
    <xf numFmtId="0" fontId="7" fillId="2" borderId="25"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4" fillId="0" borderId="4" xfId="0" applyFont="1" applyBorder="1" applyAlignment="1">
      <alignment horizontal="justify" wrapText="1"/>
    </xf>
    <xf numFmtId="2" fontId="8" fillId="2" borderId="4" xfId="0" applyNumberFormat="1" applyFont="1" applyFill="1" applyBorder="1" applyAlignment="1" applyProtection="1">
      <alignment horizontal="center" vertical="center"/>
      <protection locked="0"/>
    </xf>
    <xf numFmtId="165" fontId="7" fillId="0" borderId="31" xfId="0" applyNumberFormat="1" applyFont="1" applyBorder="1" applyAlignment="1">
      <alignment vertical="center"/>
    </xf>
    <xf numFmtId="0" fontId="20" fillId="11" borderId="4" xfId="0" applyFont="1" applyFill="1" applyBorder="1" applyAlignment="1">
      <alignment horizontal="center"/>
    </xf>
    <xf numFmtId="2" fontId="20" fillId="11" borderId="4" xfId="0" applyNumberFormat="1" applyFont="1" applyFill="1" applyBorder="1" applyAlignment="1">
      <alignment horizontal="center"/>
    </xf>
    <xf numFmtId="0" fontId="9" fillId="0" borderId="2" xfId="0" applyFont="1" applyBorder="1" applyAlignment="1">
      <alignment horizontal="center"/>
    </xf>
    <xf numFmtId="0" fontId="9" fillId="0" borderId="2" xfId="0" applyFont="1" applyBorder="1"/>
    <xf numFmtId="0" fontId="9" fillId="0" borderId="50" xfId="0" applyFont="1" applyBorder="1"/>
    <xf numFmtId="0" fontId="9" fillId="0" borderId="0" xfId="0" applyFont="1" applyAlignment="1">
      <alignment horizontal="center"/>
    </xf>
    <xf numFmtId="0" fontId="9" fillId="0" borderId="0" xfId="0" applyFont="1"/>
    <xf numFmtId="0" fontId="9" fillId="0" borderId="51" xfId="0" applyFont="1" applyBorder="1"/>
    <xf numFmtId="0" fontId="20" fillId="0" borderId="3" xfId="0" applyFont="1" applyBorder="1" applyAlignment="1">
      <alignment horizontal="center" vertical="center"/>
    </xf>
    <xf numFmtId="9" fontId="35" fillId="0" borderId="51" xfId="0" applyNumberFormat="1" applyFont="1" applyBorder="1" applyAlignment="1">
      <alignment horizontal="center" vertical="center"/>
    </xf>
    <xf numFmtId="0" fontId="7" fillId="11" borderId="23" xfId="0"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4" fontId="7" fillId="11" borderId="25" xfId="0" applyNumberFormat="1" applyFont="1" applyFill="1" applyBorder="1" applyAlignment="1">
      <alignment horizontal="center" vertical="center" wrapText="1"/>
    </xf>
    <xf numFmtId="0" fontId="7" fillId="0" borderId="23" xfId="1" applyNumberFormat="1" applyFont="1" applyBorder="1" applyAlignment="1" applyProtection="1">
      <alignment horizontal="center" vertical="center"/>
    </xf>
    <xf numFmtId="0" fontId="18" fillId="0" borderId="4" xfId="0" applyFont="1" applyBorder="1" applyAlignment="1">
      <alignment vertical="center" wrapText="1"/>
    </xf>
    <xf numFmtId="0" fontId="8" fillId="0" borderId="4" xfId="1" applyNumberFormat="1" applyFont="1" applyBorder="1" applyAlignment="1" applyProtection="1">
      <alignment horizontal="center" vertical="center"/>
    </xf>
    <xf numFmtId="4" fontId="8" fillId="2" borderId="4" xfId="1" applyNumberFormat="1" applyFont="1" applyFill="1" applyBorder="1" applyAlignment="1" applyProtection="1">
      <alignment horizontal="center" vertical="center"/>
      <protection locked="0"/>
    </xf>
    <xf numFmtId="4" fontId="8" fillId="0" borderId="4" xfId="1" applyNumberFormat="1" applyFont="1" applyBorder="1" applyAlignment="1" applyProtection="1">
      <alignment horizontal="center" vertical="center"/>
    </xf>
    <xf numFmtId="4" fontId="8" fillId="0" borderId="25" xfId="1" applyNumberFormat="1" applyFont="1" applyBorder="1" applyAlignment="1" applyProtection="1">
      <alignment horizontal="center" vertical="center"/>
    </xf>
    <xf numFmtId="166" fontId="18" fillId="0" borderId="4" xfId="1" applyFont="1" applyBorder="1" applyAlignment="1" applyProtection="1">
      <alignment vertical="center" wrapText="1"/>
    </xf>
    <xf numFmtId="0" fontId="18" fillId="0" borderId="4" xfId="0" applyFont="1" applyBorder="1" applyAlignment="1">
      <alignment wrapText="1"/>
    </xf>
    <xf numFmtId="4" fontId="8" fillId="2" borderId="56" xfId="1" applyNumberFormat="1" applyFont="1" applyFill="1" applyBorder="1" applyAlignment="1" applyProtection="1">
      <alignment horizontal="center" vertical="center"/>
      <protection locked="0"/>
    </xf>
    <xf numFmtId="4" fontId="8" fillId="0" borderId="57" xfId="1" applyNumberFormat="1" applyFont="1" applyBorder="1" applyAlignment="1" applyProtection="1">
      <alignment horizontal="center" vertical="center"/>
    </xf>
    <xf numFmtId="4" fontId="30" fillId="11" borderId="31" xfId="1" applyNumberFormat="1" applyFont="1" applyFill="1" applyBorder="1" applyAlignment="1" applyProtection="1">
      <alignment horizontal="center" vertical="center"/>
    </xf>
    <xf numFmtId="0" fontId="19" fillId="0" borderId="40" xfId="0" applyFont="1" applyBorder="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7" fillId="0" borderId="54" xfId="1" applyNumberFormat="1" applyFont="1" applyBorder="1" applyAlignment="1" applyProtection="1">
      <alignment horizontal="center" vertical="center"/>
    </xf>
    <xf numFmtId="166" fontId="18" fillId="0" borderId="49" xfId="1" applyFont="1" applyBorder="1" applyAlignment="1" applyProtection="1">
      <alignment wrapText="1"/>
    </xf>
    <xf numFmtId="4" fontId="8" fillId="2" borderId="49" xfId="1" applyNumberFormat="1" applyFont="1" applyFill="1" applyBorder="1" applyAlignment="1" applyProtection="1">
      <alignment horizontal="center" vertical="center"/>
      <protection locked="0"/>
    </xf>
    <xf numFmtId="4" fontId="8" fillId="0" borderId="49" xfId="1" applyNumberFormat="1" applyFont="1" applyBorder="1" applyAlignment="1" applyProtection="1">
      <alignment horizontal="center" vertical="center"/>
    </xf>
    <xf numFmtId="4" fontId="30" fillId="11" borderId="25" xfId="1" applyNumberFormat="1" applyFont="1" applyFill="1" applyBorder="1" applyAlignment="1" applyProtection="1">
      <alignment horizontal="center" vertical="center"/>
    </xf>
    <xf numFmtId="1" fontId="8" fillId="0" borderId="25" xfId="0" applyNumberFormat="1" applyFont="1" applyBorder="1" applyAlignment="1">
      <alignment horizontal="center"/>
    </xf>
    <xf numFmtId="0" fontId="7" fillId="0" borderId="31" xfId="0" applyFont="1" applyBorder="1" applyAlignment="1">
      <alignment horizontal="center"/>
    </xf>
    <xf numFmtId="1" fontId="4" fillId="0" borderId="0" xfId="0" applyNumberFormat="1" applyFont="1" applyAlignment="1">
      <alignment horizontal="center"/>
    </xf>
    <xf numFmtId="2" fontId="4" fillId="0" borderId="0" xfId="0" applyNumberFormat="1" applyFont="1" applyAlignment="1">
      <alignment horizontal="center"/>
    </xf>
    <xf numFmtId="4" fontId="4" fillId="0" borderId="0" xfId="0" applyNumberFormat="1" applyFont="1" applyAlignment="1">
      <alignment horizontal="center"/>
    </xf>
    <xf numFmtId="0" fontId="0" fillId="0" borderId="0" xfId="0" applyAlignment="1">
      <alignment horizontal="center"/>
    </xf>
    <xf numFmtId="0" fontId="19" fillId="0" borderId="58" xfId="0" applyFont="1" applyBorder="1" applyAlignment="1">
      <alignment horizontal="left" vertical="center"/>
    </xf>
    <xf numFmtId="1" fontId="19" fillId="0" borderId="40" xfId="0" applyNumberFormat="1" applyFont="1" applyBorder="1" applyAlignment="1">
      <alignment horizontal="center"/>
    </xf>
    <xf numFmtId="0" fontId="19" fillId="0" borderId="40" xfId="0" applyFont="1" applyBorder="1"/>
    <xf numFmtId="0" fontId="4" fillId="0" borderId="40" xfId="0" applyFont="1" applyBorder="1"/>
    <xf numFmtId="1" fontId="4" fillId="0" borderId="40" xfId="0" applyNumberFormat="1" applyFont="1" applyBorder="1" applyAlignment="1">
      <alignment horizontal="center"/>
    </xf>
    <xf numFmtId="2" fontId="4" fillId="0" borderId="40" xfId="0" applyNumberFormat="1" applyFont="1" applyBorder="1" applyAlignment="1">
      <alignment horizontal="center"/>
    </xf>
    <xf numFmtId="4" fontId="4" fillId="0" borderId="59" xfId="0" applyNumberFormat="1" applyFont="1" applyBorder="1" applyAlignment="1">
      <alignment horizontal="center"/>
    </xf>
    <xf numFmtId="0" fontId="19" fillId="0" borderId="3" xfId="0" applyFont="1" applyBorder="1" applyAlignment="1">
      <alignment horizontal="left" vertical="center"/>
    </xf>
    <xf numFmtId="1" fontId="19" fillId="0" borderId="0" xfId="0" applyNumberFormat="1" applyFont="1" applyAlignment="1">
      <alignment horizontal="center"/>
    </xf>
    <xf numFmtId="0" fontId="19" fillId="0" borderId="0" xfId="0" applyFont="1"/>
    <xf numFmtId="4" fontId="4" fillId="0" borderId="51" xfId="0" applyNumberFormat="1" applyFont="1" applyBorder="1" applyAlignment="1">
      <alignment horizontal="center"/>
    </xf>
    <xf numFmtId="1" fontId="19" fillId="0" borderId="0" xfId="0" applyNumberFormat="1" applyFont="1" applyAlignment="1">
      <alignment horizontal="center" vertical="center"/>
    </xf>
    <xf numFmtId="0" fontId="19" fillId="0" borderId="0" xfId="0" applyFont="1" applyAlignment="1">
      <alignment vertical="center"/>
    </xf>
    <xf numFmtId="1" fontId="4" fillId="0" borderId="0" xfId="0" applyNumberFormat="1" applyFont="1" applyAlignment="1">
      <alignment horizontal="center" vertical="center"/>
    </xf>
    <xf numFmtId="2" fontId="4" fillId="0" borderId="0" xfId="0" applyNumberFormat="1" applyFont="1" applyAlignment="1">
      <alignment horizontal="center" vertical="center"/>
    </xf>
    <xf numFmtId="4" fontId="4" fillId="0" borderId="51" xfId="0" applyNumberFormat="1" applyFont="1" applyBorder="1" applyAlignment="1">
      <alignment horizontal="center" vertical="center"/>
    </xf>
    <xf numFmtId="0" fontId="4" fillId="0" borderId="45" xfId="0" applyFont="1" applyBorder="1" applyAlignment="1">
      <alignment horizontal="center" vertical="center"/>
    </xf>
    <xf numFmtId="0" fontId="4" fillId="0" borderId="60" xfId="0" applyFont="1" applyBorder="1" applyAlignment="1">
      <alignment horizontal="left" vertical="center"/>
    </xf>
    <xf numFmtId="1" fontId="4" fillId="0" borderId="60" xfId="0" applyNumberFormat="1" applyFont="1" applyBorder="1" applyAlignment="1">
      <alignment horizontal="center" vertical="center"/>
    </xf>
    <xf numFmtId="2" fontId="4" fillId="0" borderId="60" xfId="0" applyNumberFormat="1" applyFont="1" applyBorder="1" applyAlignment="1">
      <alignment horizontal="center" vertical="center"/>
    </xf>
    <xf numFmtId="4" fontId="4" fillId="0" borderId="53"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4" xfId="9" applyFont="1" applyBorder="1" applyAlignment="1">
      <alignment horizontal="center" vertical="center"/>
    </xf>
    <xf numFmtId="1" fontId="8" fillId="0" borderId="4" xfId="1" applyNumberFormat="1" applyFont="1" applyBorder="1" applyAlignment="1" applyProtection="1">
      <alignment horizontal="center" vertical="center"/>
    </xf>
    <xf numFmtId="0" fontId="19" fillId="8" borderId="4" xfId="27" applyFont="1" applyFill="1" applyBorder="1" applyAlignment="1" applyProtection="1">
      <alignment horizontal="center" vertical="center" wrapText="1"/>
    </xf>
    <xf numFmtId="2" fontId="8" fillId="2" borderId="4" xfId="1" applyNumberFormat="1" applyFont="1" applyFill="1" applyBorder="1" applyAlignment="1" applyProtection="1">
      <alignment horizontal="center" vertical="center"/>
      <protection locked="0"/>
    </xf>
    <xf numFmtId="0" fontId="37" fillId="0" borderId="4" xfId="0" applyFont="1" applyBorder="1" applyAlignment="1">
      <alignment horizontal="center" vertical="center"/>
    </xf>
    <xf numFmtId="0" fontId="8" fillId="0" borderId="23" xfId="0" applyFont="1" applyBorder="1" applyAlignment="1">
      <alignment horizontal="center" vertical="center" wrapText="1"/>
    </xf>
    <xf numFmtId="1" fontId="6" fillId="0" borderId="44" xfId="0" applyNumberFormat="1" applyFont="1" applyBorder="1" applyAlignment="1">
      <alignment horizontal="center" vertical="center"/>
    </xf>
    <xf numFmtId="0" fontId="8" fillId="0" borderId="27" xfId="9" applyFont="1" applyBorder="1" applyAlignment="1">
      <alignment horizontal="center" vertical="center"/>
    </xf>
    <xf numFmtId="0" fontId="8" fillId="8" borderId="4" xfId="27" applyFont="1" applyFill="1" applyBorder="1" applyAlignment="1" applyProtection="1">
      <alignment horizontal="left" vertical="center" wrapText="1"/>
    </xf>
    <xf numFmtId="4" fontId="8" fillId="0" borderId="53" xfId="1" applyNumberFormat="1" applyFont="1" applyBorder="1" applyAlignment="1" applyProtection="1">
      <alignment horizontal="center" vertical="center"/>
    </xf>
    <xf numFmtId="4" fontId="7" fillId="0" borderId="25" xfId="1" applyNumberFormat="1" applyFont="1" applyBorder="1" applyAlignment="1" applyProtection="1">
      <alignment horizontal="center" vertical="center"/>
    </xf>
    <xf numFmtId="2" fontId="20" fillId="11" borderId="62" xfId="0" applyNumberFormat="1" applyFont="1" applyFill="1" applyBorder="1" applyAlignment="1">
      <alignment horizontal="center" vertical="center"/>
    </xf>
    <xf numFmtId="4" fontId="38" fillId="11" borderId="36" xfId="1" applyNumberFormat="1" applyFont="1" applyFill="1" applyBorder="1" applyAlignment="1" applyProtection="1">
      <alignment horizontal="center" vertical="center"/>
    </xf>
    <xf numFmtId="1" fontId="8" fillId="0" borderId="0" xfId="1" applyNumberFormat="1" applyFont="1" applyBorder="1" applyAlignment="1" applyProtection="1">
      <alignment horizontal="center" vertical="center"/>
    </xf>
    <xf numFmtId="2" fontId="8" fillId="0" borderId="0" xfId="1" applyNumberFormat="1" applyFont="1" applyBorder="1" applyAlignment="1" applyProtection="1">
      <alignment horizontal="center" vertical="center"/>
    </xf>
    <xf numFmtId="4" fontId="8" fillId="0" borderId="51" xfId="1" applyNumberFormat="1" applyFont="1" applyBorder="1" applyAlignment="1" applyProtection="1">
      <alignment horizontal="center" vertical="center"/>
    </xf>
    <xf numFmtId="0" fontId="7" fillId="0" borderId="23" xfId="0" applyFont="1" applyBorder="1" applyAlignment="1">
      <alignment horizontal="center" vertical="center"/>
    </xf>
    <xf numFmtId="0" fontId="33" fillId="0" borderId="4" xfId="0" applyFont="1" applyBorder="1" applyAlignment="1">
      <alignment horizontal="center" vertical="center"/>
    </xf>
    <xf numFmtId="1" fontId="33" fillId="0" borderId="4" xfId="0" applyNumberFormat="1" applyFont="1" applyBorder="1" applyAlignment="1">
      <alignment horizontal="center" vertical="center"/>
    </xf>
    <xf numFmtId="0" fontId="7" fillId="0" borderId="4" xfId="0" applyFont="1" applyBorder="1" applyAlignment="1">
      <alignment horizontal="center" vertical="center"/>
    </xf>
    <xf numFmtId="1" fontId="39" fillId="0" borderId="4"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7" fillId="0" borderId="25" xfId="0" applyNumberFormat="1" applyFont="1" applyBorder="1" applyAlignment="1">
      <alignment horizontal="center" vertical="center"/>
    </xf>
    <xf numFmtId="0" fontId="36" fillId="5" borderId="49"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18" fillId="0" borderId="0" xfId="0" applyFont="1" applyAlignment="1">
      <alignment horizontal="left" vertical="center" wrapText="1"/>
    </xf>
    <xf numFmtId="0" fontId="8" fillId="0" borderId="44" xfId="0" applyFont="1" applyBorder="1" applyAlignment="1">
      <alignment horizontal="center" vertical="center" wrapText="1"/>
    </xf>
    <xf numFmtId="1" fontId="40" fillId="0" borderId="23" xfId="0" applyNumberFormat="1" applyFont="1" applyBorder="1" applyAlignment="1">
      <alignment horizontal="center" vertical="center"/>
    </xf>
    <xf numFmtId="4" fontId="7" fillId="0" borderId="31" xfId="1" applyNumberFormat="1" applyFont="1" applyBorder="1" applyAlignment="1" applyProtection="1">
      <alignment horizontal="center" vertical="center"/>
    </xf>
    <xf numFmtId="0" fontId="20" fillId="0" borderId="0" xfId="0" applyFont="1" applyAlignment="1">
      <alignment horizontal="left" vertical="center"/>
    </xf>
    <xf numFmtId="1" fontId="20" fillId="0" borderId="0" xfId="0" applyNumberFormat="1" applyFont="1" applyAlignment="1">
      <alignment horizontal="center" vertical="center"/>
    </xf>
    <xf numFmtId="2" fontId="20" fillId="0" borderId="0" xfId="0" applyNumberFormat="1" applyFont="1" applyAlignment="1">
      <alignment horizontal="center" vertical="center"/>
    </xf>
    <xf numFmtId="4" fontId="20" fillId="0" borderId="51" xfId="1" applyNumberFormat="1" applyFont="1" applyBorder="1" applyAlignment="1" applyProtection="1">
      <alignment horizontal="center" vertical="center"/>
    </xf>
    <xf numFmtId="4" fontId="7" fillId="0" borderId="25" xfId="0" applyNumberFormat="1" applyFont="1" applyBorder="1" applyAlignment="1">
      <alignment horizontal="center" vertical="center" wrapText="1"/>
    </xf>
    <xf numFmtId="0" fontId="8" fillId="0" borderId="54" xfId="0" applyFont="1" applyBorder="1" applyAlignment="1">
      <alignmen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4" fontId="0" fillId="0" borderId="25" xfId="0" applyNumberFormat="1" applyBorder="1" applyAlignment="1">
      <alignment horizontal="center"/>
    </xf>
    <xf numFmtId="0" fontId="5" fillId="0" borderId="2" xfId="0" applyFont="1" applyBorder="1"/>
    <xf numFmtId="0" fontId="4" fillId="0" borderId="2" xfId="0" applyFont="1" applyBorder="1"/>
    <xf numFmtId="0" fontId="4" fillId="0" borderId="50" xfId="0" applyFont="1" applyBorder="1"/>
    <xf numFmtId="0" fontId="4" fillId="0" borderId="3" xfId="0" applyFont="1" applyBorder="1"/>
    <xf numFmtId="0" fontId="4" fillId="0" borderId="51" xfId="0" applyFont="1" applyBorder="1"/>
    <xf numFmtId="0" fontId="41" fillId="0" borderId="0" xfId="0" applyFont="1" applyAlignment="1">
      <alignment vertical="center"/>
    </xf>
    <xf numFmtId="0" fontId="9" fillId="11" borderId="64" xfId="0" applyFont="1" applyFill="1" applyBorder="1" applyAlignment="1">
      <alignment vertical="center"/>
    </xf>
    <xf numFmtId="0" fontId="42" fillId="11" borderId="65" xfId="0" applyFont="1" applyFill="1" applyBorder="1" applyAlignment="1">
      <alignment vertical="center"/>
    </xf>
    <xf numFmtId="0" fontId="23" fillId="11" borderId="65" xfId="0" applyFont="1" applyFill="1" applyBorder="1" applyAlignment="1">
      <alignment vertical="center"/>
    </xf>
    <xf numFmtId="0" fontId="20" fillId="11" borderId="65" xfId="0" applyFont="1" applyFill="1" applyBorder="1" applyAlignment="1">
      <alignment vertical="center"/>
    </xf>
    <xf numFmtId="0" fontId="9" fillId="11" borderId="65" xfId="0" applyFont="1" applyFill="1" applyBorder="1" applyAlignment="1">
      <alignment vertical="center"/>
    </xf>
    <xf numFmtId="0" fontId="12" fillId="11" borderId="41" xfId="0" applyFont="1" applyFill="1" applyBorder="1" applyAlignment="1">
      <alignment horizontal="center" vertical="center" wrapText="1"/>
    </xf>
    <xf numFmtId="0" fontId="8" fillId="11" borderId="54" xfId="0" applyFont="1" applyFill="1" applyBorder="1" applyAlignment="1">
      <alignment horizontal="center" vertical="center" wrapText="1"/>
    </xf>
    <xf numFmtId="0" fontId="11" fillId="11" borderId="57" xfId="0" applyFont="1" applyFill="1" applyBorder="1" applyAlignment="1">
      <alignment horizontal="center" vertical="center" wrapText="1"/>
    </xf>
    <xf numFmtId="0" fontId="8" fillId="11" borderId="54" xfId="0" applyFont="1" applyFill="1" applyBorder="1" applyAlignment="1">
      <alignment horizontal="center" vertical="center"/>
    </xf>
    <xf numFmtId="0" fontId="8" fillId="11" borderId="49" xfId="0" applyFont="1" applyFill="1" applyBorder="1" applyAlignment="1">
      <alignment horizontal="center" vertical="center" wrapText="1"/>
    </xf>
    <xf numFmtId="0" fontId="8" fillId="11" borderId="70" xfId="0" applyFont="1" applyFill="1" applyBorder="1" applyAlignment="1">
      <alignment horizontal="center" vertical="center" wrapText="1"/>
    </xf>
    <xf numFmtId="0" fontId="8" fillId="11" borderId="57" xfId="0" applyFont="1" applyFill="1" applyBorder="1" applyAlignment="1">
      <alignment horizontal="center" vertical="center" wrapText="1"/>
    </xf>
    <xf numFmtId="0" fontId="8" fillId="11" borderId="56"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12" fillId="0" borderId="17" xfId="0" applyFont="1" applyBorder="1" applyAlignment="1">
      <alignment horizontal="center" vertical="center"/>
    </xf>
    <xf numFmtId="0" fontId="4" fillId="0" borderId="18" xfId="0" applyFont="1" applyBorder="1" applyAlignment="1">
      <alignment vertical="center"/>
    </xf>
    <xf numFmtId="1" fontId="4" fillId="0" borderId="47" xfId="0" applyNumberFormat="1" applyFont="1" applyBorder="1" applyAlignment="1">
      <alignment horizontal="center" vertical="center"/>
    </xf>
    <xf numFmtId="1" fontId="4" fillId="0" borderId="17" xfId="0" applyNumberFormat="1" applyFont="1" applyBorder="1" applyAlignment="1">
      <alignment horizontal="center" vertical="center"/>
    </xf>
    <xf numFmtId="4" fontId="4" fillId="0" borderId="18" xfId="0" applyNumberFormat="1" applyFont="1" applyBorder="1" applyAlignment="1">
      <alignment horizontal="center" vertical="center"/>
    </xf>
    <xf numFmtId="4" fontId="4" fillId="0" borderId="19" xfId="0" applyNumberFormat="1" applyFont="1" applyBorder="1" applyAlignment="1">
      <alignment horizontal="center" vertical="center"/>
    </xf>
    <xf numFmtId="4" fontId="4" fillId="0" borderId="17" xfId="0" applyNumberFormat="1" applyFont="1" applyBorder="1" applyAlignment="1">
      <alignment horizontal="center" vertical="center"/>
    </xf>
    <xf numFmtId="166" fontId="12" fillId="0" borderId="18" xfId="1" applyFont="1" applyBorder="1" applyAlignment="1" applyProtection="1">
      <alignment horizontal="center" vertical="center"/>
    </xf>
    <xf numFmtId="166" fontId="12" fillId="0" borderId="20"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18" xfId="1" applyFont="1" applyBorder="1" applyAlignment="1" applyProtection="1">
      <alignment horizontal="center" vertical="center"/>
    </xf>
    <xf numFmtId="166" fontId="12" fillId="0" borderId="21" xfId="1" applyFont="1" applyBorder="1" applyAlignment="1" applyProtection="1">
      <alignment horizontal="center" vertical="center"/>
    </xf>
    <xf numFmtId="166" fontId="12" fillId="11" borderId="22" xfId="1" applyFont="1" applyFill="1" applyBorder="1" applyAlignment="1" applyProtection="1">
      <alignment horizontal="center" vertical="center"/>
    </xf>
    <xf numFmtId="166" fontId="12" fillId="11" borderId="18" xfId="1" applyFont="1" applyFill="1" applyBorder="1" applyAlignment="1" applyProtection="1">
      <alignment horizontal="center" vertical="center"/>
    </xf>
    <xf numFmtId="166" fontId="12" fillId="11" borderId="19" xfId="1" applyFont="1" applyFill="1" applyBorder="1" applyAlignment="1" applyProtection="1">
      <alignment horizontal="center" vertical="center"/>
    </xf>
    <xf numFmtId="164" fontId="4" fillId="0" borderId="21" xfId="2" applyFont="1" applyBorder="1" applyAlignment="1" applyProtection="1">
      <alignment horizontal="right" vertical="center"/>
    </xf>
    <xf numFmtId="1" fontId="4" fillId="0" borderId="43" xfId="0" applyNumberFormat="1" applyFont="1" applyBorder="1" applyAlignment="1">
      <alignment horizontal="center" vertical="center"/>
    </xf>
    <xf numFmtId="1" fontId="4" fillId="0" borderId="23"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24" xfId="0" applyNumberFormat="1" applyFont="1" applyBorder="1" applyAlignment="1">
      <alignment horizontal="center" vertical="center"/>
    </xf>
    <xf numFmtId="4" fontId="4" fillId="0" borderId="23" xfId="0" applyNumberFormat="1" applyFont="1" applyBorder="1" applyAlignment="1">
      <alignment horizontal="center" vertical="center"/>
    </xf>
    <xf numFmtId="166" fontId="12" fillId="0" borderId="4" xfId="1" applyFont="1" applyBorder="1" applyAlignment="1" applyProtection="1">
      <alignment horizontal="center" vertical="center"/>
    </xf>
    <xf numFmtId="166" fontId="12" fillId="0" borderId="25" xfId="1" applyFont="1" applyBorder="1" applyAlignment="1" applyProtection="1">
      <alignment horizontal="center" vertical="center"/>
    </xf>
    <xf numFmtId="166" fontId="4" fillId="0" borderId="23" xfId="1" applyFont="1" applyBorder="1" applyAlignment="1" applyProtection="1">
      <alignment horizontal="center" vertical="center"/>
    </xf>
    <xf numFmtId="166" fontId="4" fillId="0" borderId="4" xfId="1" applyFont="1" applyBorder="1" applyAlignment="1" applyProtection="1">
      <alignment horizontal="center" vertical="center"/>
    </xf>
    <xf numFmtId="166" fontId="12" fillId="0" borderId="26" xfId="1" applyFont="1" applyBorder="1" applyAlignment="1" applyProtection="1">
      <alignment horizontal="center" vertical="center"/>
    </xf>
    <xf numFmtId="4" fontId="4" fillId="0" borderId="27" xfId="0" applyNumberFormat="1" applyFont="1" applyBorder="1" applyAlignment="1">
      <alignment horizontal="center" vertical="center"/>
    </xf>
    <xf numFmtId="166" fontId="4" fillId="0" borderId="24" xfId="1" applyFont="1" applyBorder="1" applyAlignment="1" applyProtection="1">
      <alignment horizontal="center" vertical="center"/>
    </xf>
    <xf numFmtId="164" fontId="4" fillId="0" borderId="26" xfId="2" applyFont="1" applyBorder="1" applyAlignment="1" applyProtection="1">
      <alignment horizontal="right" vertical="center"/>
    </xf>
    <xf numFmtId="0" fontId="4" fillId="0" borderId="29" xfId="0" applyFont="1" applyBorder="1" applyAlignment="1">
      <alignment vertical="center"/>
    </xf>
    <xf numFmtId="1" fontId="4" fillId="0" borderId="36" xfId="0" applyNumberFormat="1" applyFont="1" applyBorder="1" applyAlignment="1">
      <alignment horizontal="center" vertical="center"/>
    </xf>
    <xf numFmtId="1" fontId="4" fillId="0" borderId="28" xfId="0" applyNumberFormat="1" applyFont="1" applyBorder="1" applyAlignment="1">
      <alignment horizontal="center" vertical="center"/>
    </xf>
    <xf numFmtId="4" fontId="4" fillId="0" borderId="29" xfId="0" applyNumberFormat="1" applyFont="1" applyBorder="1" applyAlignment="1">
      <alignment horizontal="center" vertical="center"/>
    </xf>
    <xf numFmtId="4" fontId="4" fillId="0" borderId="35" xfId="0" applyNumberFormat="1" applyFont="1" applyBorder="1" applyAlignment="1">
      <alignment horizontal="center" vertical="center"/>
    </xf>
    <xf numFmtId="4" fontId="4" fillId="0" borderId="28" xfId="0" applyNumberFormat="1" applyFont="1" applyBorder="1" applyAlignment="1">
      <alignment horizontal="center" vertical="center"/>
    </xf>
    <xf numFmtId="166" fontId="12" fillId="0" borderId="29" xfId="1" applyFont="1" applyBorder="1" applyAlignment="1" applyProtection="1">
      <alignment horizontal="center" vertical="center"/>
    </xf>
    <xf numFmtId="166" fontId="12" fillId="0" borderId="31" xfId="1" applyFont="1" applyBorder="1" applyAlignment="1" applyProtection="1">
      <alignment horizontal="center" vertical="center"/>
    </xf>
    <xf numFmtId="166" fontId="4" fillId="0" borderId="28" xfId="1" applyFont="1" applyBorder="1" applyAlignment="1" applyProtection="1">
      <alignment horizontal="center" vertical="center"/>
    </xf>
    <xf numFmtId="166" fontId="4" fillId="0" borderId="29" xfId="1" applyFont="1" applyBorder="1" applyAlignment="1" applyProtection="1">
      <alignment horizontal="center" vertical="center"/>
    </xf>
    <xf numFmtId="166" fontId="12" fillId="0" borderId="32" xfId="1" applyFont="1" applyBorder="1" applyAlignment="1" applyProtection="1">
      <alignment horizontal="center" vertical="center"/>
    </xf>
    <xf numFmtId="166" fontId="12" fillId="11" borderId="33" xfId="1" applyFont="1" applyFill="1" applyBorder="1" applyAlignment="1" applyProtection="1">
      <alignment horizontal="center" vertical="center"/>
    </xf>
    <xf numFmtId="166" fontId="12" fillId="11" borderId="29" xfId="1" applyFont="1" applyFill="1" applyBorder="1" applyAlignment="1" applyProtection="1">
      <alignment horizontal="center" vertical="center"/>
    </xf>
    <xf numFmtId="166" fontId="12" fillId="11" borderId="30" xfId="1" applyFont="1" applyFill="1" applyBorder="1" applyAlignment="1" applyProtection="1">
      <alignment horizontal="center" vertical="center"/>
    </xf>
    <xf numFmtId="164" fontId="4" fillId="0" borderId="32" xfId="2" applyFont="1" applyBorder="1" applyAlignment="1" applyProtection="1">
      <alignment horizontal="right" vertical="center"/>
    </xf>
    <xf numFmtId="1" fontId="20" fillId="11" borderId="34" xfId="0" applyNumberFormat="1" applyFont="1" applyFill="1" applyBorder="1" applyAlignment="1">
      <alignment horizontal="center" vertical="center"/>
    </xf>
    <xf numFmtId="4" fontId="20" fillId="11" borderId="39" xfId="0" applyNumberFormat="1" applyFont="1" applyFill="1" applyBorder="1" applyAlignment="1">
      <alignment horizontal="center" vertical="center"/>
    </xf>
    <xf numFmtId="4" fontId="20" fillId="11" borderId="35" xfId="0" applyNumberFormat="1" applyFont="1" applyFill="1" applyBorder="1" applyAlignment="1">
      <alignment horizontal="center" vertical="center"/>
    </xf>
    <xf numFmtId="4" fontId="20" fillId="11" borderId="34" xfId="0" applyNumberFormat="1" applyFont="1" applyFill="1" applyBorder="1" applyAlignment="1">
      <alignment horizontal="center" vertical="center"/>
    </xf>
    <xf numFmtId="4" fontId="20" fillId="11" borderId="36" xfId="0" applyNumberFormat="1" applyFont="1" applyFill="1" applyBorder="1" applyAlignment="1">
      <alignment horizontal="center" vertical="center"/>
    </xf>
    <xf numFmtId="166" fontId="20" fillId="11" borderId="38" xfId="1" applyFont="1" applyFill="1" applyBorder="1" applyAlignment="1" applyProtection="1">
      <alignment horizontal="center" vertical="center"/>
    </xf>
    <xf numFmtId="4" fontId="20" fillId="11" borderId="38" xfId="0" applyNumberFormat="1" applyFont="1" applyFill="1" applyBorder="1" applyAlignment="1">
      <alignment horizontal="center" vertical="center"/>
    </xf>
    <xf numFmtId="166" fontId="20" fillId="11" borderId="61" xfId="1" applyFont="1" applyFill="1" applyBorder="1" applyAlignment="1" applyProtection="1">
      <alignment horizontal="center" vertical="center"/>
    </xf>
    <xf numFmtId="166" fontId="20" fillId="11" borderId="34" xfId="1" applyFont="1" applyFill="1" applyBorder="1" applyAlignment="1" applyProtection="1">
      <alignment horizontal="center" vertical="center"/>
    </xf>
    <xf numFmtId="164" fontId="20" fillId="17" borderId="9" xfId="2" applyFont="1" applyFill="1" applyBorder="1" applyAlignment="1" applyProtection="1">
      <alignment horizontal="center" vertical="center"/>
    </xf>
    <xf numFmtId="0" fontId="7" fillId="0" borderId="3" xfId="0" applyFont="1" applyBorder="1" applyAlignment="1">
      <alignment vertical="center"/>
    </xf>
    <xf numFmtId="164" fontId="9" fillId="11" borderId="37" xfId="2" applyFont="1" applyFill="1" applyBorder="1" applyAlignment="1" applyProtection="1">
      <alignment vertical="center"/>
    </xf>
    <xf numFmtId="164" fontId="20" fillId="11" borderId="9" xfId="2" applyFont="1" applyFill="1" applyBorder="1" applyAlignment="1" applyProtection="1">
      <alignment vertical="center"/>
    </xf>
    <xf numFmtId="0" fontId="8" fillId="0" borderId="0" xfId="0" applyFont="1" applyAlignment="1">
      <alignment vertical="top"/>
    </xf>
    <xf numFmtId="4" fontId="8" fillId="0" borderId="0" xfId="0" applyNumberFormat="1" applyFont="1" applyAlignment="1">
      <alignment horizontal="center"/>
    </xf>
    <xf numFmtId="0" fontId="5" fillId="0" borderId="1" xfId="0" applyFont="1" applyBorder="1" applyAlignment="1">
      <alignment vertical="center"/>
    </xf>
    <xf numFmtId="0" fontId="8" fillId="0" borderId="2" xfId="0" applyFont="1" applyBorder="1" applyAlignment="1">
      <alignment vertical="center"/>
    </xf>
    <xf numFmtId="4" fontId="8" fillId="0" borderId="2" xfId="0" applyNumberFormat="1" applyFont="1" applyBorder="1" applyAlignment="1">
      <alignment horizontal="center" vertical="center"/>
    </xf>
    <xf numFmtId="4" fontId="8" fillId="0" borderId="2" xfId="0" applyNumberFormat="1" applyFont="1" applyBorder="1" applyAlignment="1">
      <alignment horizontal="center"/>
    </xf>
    <xf numFmtId="4" fontId="8" fillId="0" borderId="50" xfId="0" applyNumberFormat="1" applyFont="1" applyBorder="1" applyAlignment="1">
      <alignment horizontal="center"/>
    </xf>
    <xf numFmtId="0" fontId="5" fillId="0" borderId="3" xfId="0" applyFont="1" applyBorder="1" applyAlignment="1">
      <alignment vertical="center"/>
    </xf>
    <xf numFmtId="4" fontId="8" fillId="0" borderId="0" xfId="0" applyNumberFormat="1" applyFont="1" applyAlignment="1">
      <alignment horizontal="center" vertical="center"/>
    </xf>
    <xf numFmtId="4" fontId="8" fillId="0" borderId="51" xfId="0" applyNumberFormat="1" applyFont="1" applyBorder="1" applyAlignment="1">
      <alignment horizontal="center"/>
    </xf>
    <xf numFmtId="0" fontId="11" fillId="0" borderId="0" xfId="0" applyFont="1"/>
    <xf numFmtId="0" fontId="8" fillId="11" borderId="62" xfId="0" applyFont="1" applyFill="1" applyBorder="1" applyAlignment="1">
      <alignment vertical="center" wrapText="1"/>
    </xf>
    <xf numFmtId="0" fontId="11" fillId="0" borderId="4" xfId="0" applyFont="1" applyBorder="1" applyAlignment="1">
      <alignment horizontal="center" vertical="center" wrapText="1"/>
    </xf>
    <xf numFmtId="0" fontId="11" fillId="0" borderId="70" xfId="0" applyFont="1" applyBorder="1" applyAlignment="1">
      <alignment horizontal="center" vertical="center"/>
    </xf>
    <xf numFmtId="0" fontId="8" fillId="0" borderId="54" xfId="0" applyFont="1" applyBorder="1" applyAlignment="1">
      <alignment horizontal="center" vertical="center"/>
    </xf>
    <xf numFmtId="4" fontId="8" fillId="11" borderId="4" xfId="0" applyNumberFormat="1" applyFont="1" applyFill="1" applyBorder="1" applyAlignment="1">
      <alignment horizontal="center" vertical="center"/>
    </xf>
    <xf numFmtId="4" fontId="8" fillId="0" borderId="4" xfId="0" applyNumberFormat="1" applyFont="1" applyBorder="1" applyAlignment="1">
      <alignment horizontal="center" vertical="center"/>
    </xf>
    <xf numFmtId="4" fontId="8" fillId="0" borderId="25" xfId="0" applyNumberFormat="1" applyFont="1" applyBorder="1" applyAlignment="1">
      <alignment horizontal="center" vertical="center"/>
    </xf>
    <xf numFmtId="166" fontId="8" fillId="0" borderId="4" xfId="0" applyNumberFormat="1" applyFont="1" applyBorder="1" applyAlignment="1">
      <alignment horizontal="center" vertical="center"/>
    </xf>
    <xf numFmtId="0" fontId="8" fillId="0" borderId="49" xfId="0" applyFont="1" applyBorder="1" applyAlignment="1">
      <alignment vertical="center" wrapText="1"/>
    </xf>
    <xf numFmtId="10" fontId="8" fillId="0" borderId="49" xfId="0" applyNumberFormat="1" applyFont="1" applyBorder="1" applyAlignment="1">
      <alignment horizontal="center" vertical="center"/>
    </xf>
    <xf numFmtId="4" fontId="8" fillId="11" borderId="49" xfId="0" applyNumberFormat="1" applyFont="1" applyFill="1" applyBorder="1" applyAlignment="1">
      <alignment horizontal="center" vertical="center"/>
    </xf>
    <xf numFmtId="4" fontId="8" fillId="0" borderId="49" xfId="0" applyNumberFormat="1" applyFont="1" applyBorder="1" applyAlignment="1">
      <alignment horizontal="center" vertical="center"/>
    </xf>
    <xf numFmtId="4" fontId="8" fillId="0" borderId="57" xfId="0" applyNumberFormat="1" applyFont="1" applyBorder="1" applyAlignment="1">
      <alignment horizontal="center" vertical="center"/>
    </xf>
    <xf numFmtId="4" fontId="7" fillId="11" borderId="4" xfId="0" applyNumberFormat="1" applyFont="1" applyFill="1" applyBorder="1" applyAlignment="1">
      <alignment horizontal="center" vertical="center"/>
    </xf>
    <xf numFmtId="4" fontId="7" fillId="11" borderId="25" xfId="0" applyNumberFormat="1" applyFont="1" applyFill="1" applyBorder="1" applyAlignment="1">
      <alignment horizontal="center" vertical="center"/>
    </xf>
    <xf numFmtId="10" fontId="8" fillId="0" borderId="42" xfId="0" applyNumberFormat="1" applyFont="1" applyBorder="1" applyAlignment="1">
      <alignment horizontal="center" vertical="center"/>
    </xf>
    <xf numFmtId="4" fontId="7" fillId="11" borderId="7" xfId="0" applyNumberFormat="1" applyFont="1" applyFill="1" applyBorder="1" applyAlignment="1">
      <alignment horizontal="center" vertical="center"/>
    </xf>
    <xf numFmtId="4" fontId="7" fillId="11" borderId="8" xfId="0" applyNumberFormat="1" applyFont="1" applyFill="1" applyBorder="1" applyAlignment="1">
      <alignment horizontal="center" vertical="center"/>
    </xf>
    <xf numFmtId="0" fontId="8" fillId="0" borderId="23" xfId="0" applyFont="1" applyBorder="1" applyAlignment="1">
      <alignment horizontal="center" vertical="center"/>
    </xf>
    <xf numFmtId="2" fontId="8" fillId="0" borderId="4" xfId="1" applyNumberFormat="1" applyFont="1" applyBorder="1" applyAlignment="1" applyProtection="1">
      <alignment horizontal="center" vertical="center"/>
    </xf>
    <xf numFmtId="10" fontId="8" fillId="0" borderId="4" xfId="3" applyNumberFormat="1" applyFont="1" applyBorder="1" applyAlignment="1" applyProtection="1">
      <alignment horizontal="center" vertical="center"/>
    </xf>
    <xf numFmtId="2" fontId="8" fillId="0" borderId="49" xfId="1" applyNumberFormat="1" applyFont="1" applyBorder="1" applyAlignment="1" applyProtection="1">
      <alignment horizontal="center" vertical="center"/>
    </xf>
    <xf numFmtId="2" fontId="8" fillId="0" borderId="49" xfId="0" applyNumberFormat="1" applyFont="1" applyBorder="1" applyAlignment="1">
      <alignment horizontal="center" vertical="center"/>
    </xf>
    <xf numFmtId="0" fontId="8" fillId="0" borderId="45" xfId="0" applyFont="1" applyBorder="1" applyAlignment="1">
      <alignment vertical="center"/>
    </xf>
    <xf numFmtId="0" fontId="8" fillId="0" borderId="60" xfId="0" applyFont="1" applyBorder="1" applyAlignment="1">
      <alignment vertical="center"/>
    </xf>
    <xf numFmtId="10" fontId="8" fillId="0" borderId="4" xfId="0" applyNumberFormat="1" applyFont="1" applyBorder="1" applyAlignment="1">
      <alignment horizontal="center" vertical="center"/>
    </xf>
    <xf numFmtId="4" fontId="8" fillId="0" borderId="60" xfId="0" applyNumberFormat="1" applyFont="1" applyBorder="1" applyAlignment="1">
      <alignment vertical="center"/>
    </xf>
    <xf numFmtId="0" fontId="8" fillId="0" borderId="58" xfId="0" applyFont="1" applyBorder="1" applyAlignment="1">
      <alignment vertical="center"/>
    </xf>
    <xf numFmtId="0" fontId="8" fillId="0" borderId="40" xfId="0" applyFont="1" applyBorder="1" applyAlignment="1">
      <alignment vertical="center"/>
    </xf>
    <xf numFmtId="4" fontId="8" fillId="0" borderId="40" xfId="0" applyNumberFormat="1" applyFont="1" applyBorder="1" applyAlignment="1">
      <alignment vertical="center"/>
    </xf>
    <xf numFmtId="0" fontId="7" fillId="11" borderId="64" xfId="0" applyFont="1" applyFill="1" applyBorder="1" applyAlignment="1">
      <alignment vertical="center"/>
    </xf>
    <xf numFmtId="0" fontId="7" fillId="11" borderId="65" xfId="0" applyFont="1" applyFill="1" applyBorder="1" applyAlignment="1">
      <alignment vertical="center"/>
    </xf>
    <xf numFmtId="10" fontId="7" fillId="11" borderId="7" xfId="0" applyNumberFormat="1" applyFont="1" applyFill="1" applyBorder="1" applyAlignment="1">
      <alignment horizontal="center" vertical="center"/>
    </xf>
    <xf numFmtId="4" fontId="7" fillId="11" borderId="7" xfId="0" applyNumberFormat="1" applyFont="1" applyFill="1" applyBorder="1" applyAlignment="1">
      <alignment vertical="center"/>
    </xf>
    <xf numFmtId="4" fontId="7" fillId="11" borderId="39" xfId="0" applyNumberFormat="1" applyFont="1" applyFill="1" applyBorder="1" applyAlignment="1">
      <alignment horizontal="center" vertical="center"/>
    </xf>
    <xf numFmtId="4" fontId="7" fillId="11" borderId="36" xfId="0" applyNumberFormat="1" applyFont="1" applyFill="1" applyBorder="1" applyAlignment="1">
      <alignment horizontal="center" vertical="center"/>
    </xf>
    <xf numFmtId="10" fontId="7" fillId="11" borderId="49" xfId="0" applyNumberFormat="1" applyFont="1" applyFill="1" applyBorder="1" applyAlignment="1">
      <alignment horizontal="center" vertical="center"/>
    </xf>
    <xf numFmtId="4" fontId="7" fillId="11" borderId="49" xfId="0" applyNumberFormat="1" applyFont="1" applyFill="1" applyBorder="1" applyAlignment="1">
      <alignment horizontal="center" vertical="center"/>
    </xf>
    <xf numFmtId="4" fontId="7" fillId="11" borderId="12" xfId="0" applyNumberFormat="1" applyFont="1" applyFill="1" applyBorder="1" applyAlignment="1">
      <alignment horizontal="center" vertical="center"/>
    </xf>
    <xf numFmtId="4" fontId="7" fillId="11" borderId="1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4" fontId="20" fillId="11" borderId="25" xfId="0" applyNumberFormat="1" applyFont="1" applyFill="1" applyBorder="1" applyAlignment="1">
      <alignment horizontal="center" vertical="center"/>
    </xf>
    <xf numFmtId="166" fontId="8" fillId="0" borderId="0" xfId="0" applyNumberFormat="1" applyFont="1"/>
    <xf numFmtId="2" fontId="20" fillId="11" borderId="29" xfId="0" applyNumberFormat="1" applyFont="1" applyFill="1" applyBorder="1" applyAlignment="1">
      <alignment horizontal="center" vertical="center"/>
    </xf>
    <xf numFmtId="164" fontId="7" fillId="12" borderId="31" xfId="2" applyFont="1" applyFill="1" applyBorder="1" applyAlignment="1" applyProtection="1">
      <alignment horizontal="center" vertical="center"/>
    </xf>
    <xf numFmtId="0" fontId="43" fillId="0" borderId="0" xfId="0" applyFont="1" applyAlignment="1">
      <alignment vertical="center"/>
    </xf>
    <xf numFmtId="49" fontId="29" fillId="0" borderId="8"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44" fillId="8" borderId="10" xfId="0" applyNumberFormat="1" applyFont="1" applyFill="1" applyBorder="1" applyAlignment="1">
      <alignment horizontal="center" vertical="center"/>
    </xf>
    <xf numFmtId="0" fontId="29" fillId="0" borderId="0" xfId="0" applyFont="1" applyAlignment="1">
      <alignment vertical="center"/>
    </xf>
    <xf numFmtId="0" fontId="30" fillId="8" borderId="3" xfId="0" applyFont="1" applyFill="1" applyBorder="1" applyAlignment="1">
      <alignment horizontal="center" vertical="center"/>
    </xf>
    <xf numFmtId="0" fontId="45" fillId="18" borderId="5" xfId="0" applyFont="1" applyFill="1" applyBorder="1" applyAlignment="1">
      <alignment horizontal="center" vertical="center"/>
    </xf>
    <xf numFmtId="4" fontId="45" fillId="18" borderId="8" xfId="0" applyNumberFormat="1" applyFont="1" applyFill="1" applyBorder="1" applyAlignment="1">
      <alignment vertical="center"/>
    </xf>
    <xf numFmtId="4" fontId="45" fillId="18" borderId="7" xfId="0" applyNumberFormat="1" applyFont="1" applyFill="1" applyBorder="1" applyAlignment="1">
      <alignment vertical="center"/>
    </xf>
    <xf numFmtId="0" fontId="8" fillId="0" borderId="44" xfId="0" applyFont="1" applyBorder="1" applyAlignment="1">
      <alignment horizontal="center" vertical="center"/>
    </xf>
    <xf numFmtId="4" fontId="8" fillId="8" borderId="43" xfId="28" applyNumberFormat="1" applyFont="1" applyFill="1" applyBorder="1" applyAlignment="1" applyProtection="1">
      <alignment vertical="center"/>
    </xf>
    <xf numFmtId="4" fontId="8" fillId="8" borderId="42" xfId="28" applyNumberFormat="1" applyFont="1" applyFill="1" applyBorder="1" applyAlignment="1" applyProtection="1">
      <alignment vertical="center"/>
    </xf>
    <xf numFmtId="10" fontId="18" fillId="0" borderId="4" xfId="0" applyNumberFormat="1" applyFont="1" applyBorder="1" applyAlignment="1">
      <alignment horizontal="center" vertical="center"/>
    </xf>
    <xf numFmtId="4" fontId="8" fillId="8" borderId="25" xfId="28" applyNumberFormat="1" applyFont="1" applyFill="1" applyBorder="1" applyAlignment="1" applyProtection="1">
      <alignment vertical="center"/>
    </xf>
    <xf numFmtId="4" fontId="8" fillId="8" borderId="4" xfId="28" applyNumberFormat="1" applyFont="1" applyFill="1" applyBorder="1" applyAlignment="1" applyProtection="1">
      <alignment vertical="center"/>
    </xf>
    <xf numFmtId="10" fontId="30" fillId="0" borderId="4" xfId="0" applyNumberFormat="1" applyFont="1" applyBorder="1" applyAlignment="1">
      <alignment horizontal="center" vertical="center"/>
    </xf>
    <xf numFmtId="4" fontId="7" fillId="8" borderId="25" xfId="28" applyNumberFormat="1" applyFont="1" applyFill="1" applyBorder="1" applyAlignment="1" applyProtection="1">
      <alignment horizontal="right" vertical="center"/>
    </xf>
    <xf numFmtId="4" fontId="7" fillId="8" borderId="4" xfId="28" applyNumberFormat="1" applyFont="1" applyFill="1" applyBorder="1" applyAlignment="1" applyProtection="1">
      <alignment horizontal="right" vertical="center"/>
    </xf>
    <xf numFmtId="0" fontId="30" fillId="11" borderId="23" xfId="0" applyFont="1" applyFill="1" applyBorder="1" applyAlignment="1">
      <alignment horizontal="center" vertical="center"/>
    </xf>
    <xf numFmtId="0" fontId="30" fillId="11" borderId="4" xfId="0" applyFont="1" applyFill="1" applyBorder="1" applyAlignment="1">
      <alignment vertical="center"/>
    </xf>
    <xf numFmtId="4" fontId="8" fillId="0" borderId="25" xfId="0" applyNumberFormat="1" applyFont="1" applyBorder="1" applyAlignment="1">
      <alignment vertical="center"/>
    </xf>
    <xf numFmtId="4" fontId="8" fillId="0" borderId="4" xfId="0" applyNumberFormat="1" applyFont="1" applyBorder="1" applyAlignment="1">
      <alignment vertical="center"/>
    </xf>
    <xf numFmtId="4" fontId="30" fillId="0" borderId="25" xfId="0" applyNumberFormat="1" applyFont="1" applyBorder="1" applyAlignment="1">
      <alignment vertical="center"/>
    </xf>
    <xf numFmtId="4" fontId="30" fillId="0" borderId="4" xfId="0" applyNumberFormat="1" applyFont="1" applyBorder="1" applyAlignment="1">
      <alignment vertical="center"/>
    </xf>
    <xf numFmtId="10" fontId="30" fillId="11" borderId="4" xfId="0" applyNumberFormat="1" applyFont="1" applyFill="1" applyBorder="1" applyAlignment="1">
      <alignment horizontal="center" vertical="center"/>
    </xf>
    <xf numFmtId="10" fontId="8" fillId="0" borderId="4" xfId="0" applyNumberFormat="1" applyFont="1" applyBorder="1" applyAlignment="1">
      <alignment vertical="center"/>
    </xf>
    <xf numFmtId="4" fontId="8" fillId="8" borderId="25" xfId="0" applyNumberFormat="1" applyFont="1" applyFill="1" applyBorder="1" applyAlignment="1">
      <alignment horizontal="right" vertical="center"/>
    </xf>
    <xf numFmtId="4" fontId="8" fillId="8" borderId="4" xfId="0" applyNumberFormat="1" applyFont="1" applyFill="1" applyBorder="1" applyAlignment="1">
      <alignment horizontal="right" vertical="center"/>
    </xf>
    <xf numFmtId="0" fontId="30" fillId="0" borderId="23" xfId="0" applyFont="1" applyBorder="1" applyAlignment="1">
      <alignment horizontal="center" vertical="center"/>
    </xf>
    <xf numFmtId="10" fontId="30" fillId="0" borderId="4" xfId="0" applyNumberFormat="1" applyFont="1" applyBorder="1" applyAlignment="1">
      <alignment vertical="center"/>
    </xf>
    <xf numFmtId="4" fontId="30" fillId="8" borderId="25" xfId="0" applyNumberFormat="1" applyFont="1" applyFill="1" applyBorder="1" applyAlignment="1">
      <alignment horizontal="right" vertical="center"/>
    </xf>
    <xf numFmtId="4" fontId="30" fillId="8" borderId="4" xfId="0" applyNumberFormat="1" applyFont="1" applyFill="1" applyBorder="1" applyAlignment="1">
      <alignment horizontal="right" vertical="center"/>
    </xf>
    <xf numFmtId="0" fontId="30" fillId="0" borderId="54" xfId="0" applyFont="1" applyBorder="1" applyAlignment="1">
      <alignment vertical="center"/>
    </xf>
    <xf numFmtId="4" fontId="30" fillId="0" borderId="57" xfId="0" applyNumberFormat="1" applyFont="1" applyBorder="1" applyAlignment="1">
      <alignment horizontal="right" vertical="center"/>
    </xf>
    <xf numFmtId="4" fontId="30" fillId="0" borderId="49" xfId="0" applyNumberFormat="1" applyFont="1" applyBorder="1" applyAlignment="1">
      <alignment horizontal="right" vertical="center"/>
    </xf>
    <xf numFmtId="0" fontId="30" fillId="11" borderId="9" xfId="0" applyFont="1" applyFill="1" applyBorder="1" applyAlignment="1">
      <alignment vertical="center"/>
    </xf>
    <xf numFmtId="0" fontId="30" fillId="11" borderId="64" xfId="0" applyFont="1" applyFill="1" applyBorder="1" applyAlignment="1">
      <alignment vertical="center"/>
    </xf>
    <xf numFmtId="0" fontId="30" fillId="11" borderId="65" xfId="0" applyFont="1" applyFill="1" applyBorder="1" applyAlignment="1">
      <alignment vertical="center"/>
    </xf>
    <xf numFmtId="0" fontId="30" fillId="11" borderId="66" xfId="0" applyFont="1" applyFill="1" applyBorder="1" applyAlignment="1">
      <alignment vertical="center"/>
    </xf>
    <xf numFmtId="0" fontId="30" fillId="11" borderId="44" xfId="0" applyFont="1" applyFill="1" applyBorder="1" applyAlignment="1">
      <alignment vertical="center"/>
    </xf>
    <xf numFmtId="0" fontId="30" fillId="11" borderId="42" xfId="0" applyFont="1" applyFill="1" applyBorder="1" applyAlignment="1">
      <alignment vertical="center"/>
    </xf>
    <xf numFmtId="4" fontId="18" fillId="8" borderId="25" xfId="0" applyNumberFormat="1" applyFont="1" applyFill="1" applyBorder="1" applyAlignment="1">
      <alignment vertical="center"/>
    </xf>
    <xf numFmtId="4" fontId="18" fillId="8" borderId="4" xfId="0" applyNumberFormat="1" applyFont="1" applyFill="1" applyBorder="1" applyAlignment="1">
      <alignment vertical="center"/>
    </xf>
    <xf numFmtId="0" fontId="30" fillId="0" borderId="4" xfId="0" applyFont="1" applyBorder="1" applyAlignment="1">
      <alignment vertical="center"/>
    </xf>
    <xf numFmtId="4" fontId="30" fillId="8" borderId="25" xfId="0" applyNumberFormat="1" applyFont="1" applyFill="1" applyBorder="1" applyAlignment="1">
      <alignment vertical="center"/>
    </xf>
    <xf numFmtId="4" fontId="30" fillId="8" borderId="4" xfId="0" applyNumberFormat="1" applyFont="1" applyFill="1" applyBorder="1" applyAlignment="1">
      <alignment vertical="center"/>
    </xf>
    <xf numFmtId="0" fontId="8" fillId="0" borderId="49" xfId="0" applyFont="1" applyBorder="1" applyAlignment="1">
      <alignment vertical="center"/>
    </xf>
    <xf numFmtId="4" fontId="18" fillId="8" borderId="57" xfId="0" applyNumberFormat="1" applyFont="1" applyFill="1" applyBorder="1" applyAlignment="1">
      <alignment vertical="center"/>
    </xf>
    <xf numFmtId="4" fontId="18" fillId="8" borderId="49" xfId="0" applyNumberFormat="1" applyFont="1" applyFill="1" applyBorder="1" applyAlignment="1">
      <alignment vertical="center"/>
    </xf>
    <xf numFmtId="0" fontId="30" fillId="11" borderId="5" xfId="0" applyFont="1" applyFill="1" applyBorder="1" applyAlignment="1">
      <alignment vertical="center"/>
    </xf>
    <xf numFmtId="0" fontId="30" fillId="11" borderId="7" xfId="0" applyFont="1" applyFill="1" applyBorder="1" applyAlignment="1">
      <alignment vertical="center"/>
    </xf>
    <xf numFmtId="4" fontId="30" fillId="11" borderId="8" xfId="0" applyNumberFormat="1" applyFont="1" applyFill="1" applyBorder="1" applyAlignment="1">
      <alignment vertical="center"/>
    </xf>
    <xf numFmtId="4" fontId="30" fillId="11" borderId="7" xfId="0" applyNumberFormat="1" applyFont="1" applyFill="1" applyBorder="1" applyAlignment="1">
      <alignment vertical="center"/>
    </xf>
    <xf numFmtId="0" fontId="29" fillId="0" borderId="24" xfId="0" applyFont="1" applyBorder="1" applyAlignment="1">
      <alignment horizontal="right" vertical="center"/>
    </xf>
    <xf numFmtId="0" fontId="31" fillId="15" borderId="4" xfId="0" applyFont="1" applyFill="1" applyBorder="1" applyAlignment="1">
      <alignment horizontal="center" vertical="center"/>
    </xf>
    <xf numFmtId="0" fontId="12" fillId="15" borderId="4" xfId="0" applyFont="1" applyFill="1" applyBorder="1" applyAlignment="1">
      <alignment horizontal="center" vertical="center"/>
    </xf>
    <xf numFmtId="0" fontId="19" fillId="0" borderId="4" xfId="0" applyFont="1" applyBorder="1" applyAlignment="1">
      <alignment horizontal="center" vertical="center"/>
    </xf>
    <xf numFmtId="10" fontId="31" fillId="0" borderId="4" xfId="0" applyNumberFormat="1" applyFont="1" applyBorder="1" applyAlignment="1">
      <alignment horizontal="center" vertical="center"/>
    </xf>
    <xf numFmtId="0" fontId="31" fillId="0" borderId="4" xfId="0" applyFont="1" applyBorder="1" applyAlignment="1">
      <alignment horizontal="center" vertical="center"/>
    </xf>
    <xf numFmtId="4" fontId="4" fillId="0" borderId="4" xfId="0" applyNumberFormat="1" applyFont="1" applyBorder="1" applyAlignment="1">
      <alignment horizontal="center"/>
    </xf>
    <xf numFmtId="0" fontId="19" fillId="0" borderId="42" xfId="0" applyFont="1" applyBorder="1" applyAlignment="1">
      <alignment horizontal="center" vertical="center"/>
    </xf>
    <xf numFmtId="10" fontId="31" fillId="0" borderId="42" xfId="0" applyNumberFormat="1" applyFont="1" applyBorder="1" applyAlignment="1">
      <alignment horizontal="center" vertical="center"/>
    </xf>
    <xf numFmtId="0" fontId="31" fillId="0" borderId="42" xfId="0" applyFont="1" applyBorder="1" applyAlignment="1">
      <alignment horizontal="center" vertical="center"/>
    </xf>
    <xf numFmtId="10" fontId="46" fillId="8" borderId="4" xfId="0" applyNumberFormat="1" applyFont="1" applyFill="1" applyBorder="1" applyAlignment="1">
      <alignment horizontal="center" vertical="center"/>
    </xf>
    <xf numFmtId="0" fontId="20" fillId="0" borderId="0" xfId="0" applyFont="1" applyAlignment="1">
      <alignment horizontal="center" vertical="center"/>
    </xf>
    <xf numFmtId="0" fontId="6" fillId="0" borderId="0" xfId="0" applyFont="1" applyAlignment="1">
      <alignment horizontal="center" vertical="top"/>
    </xf>
    <xf numFmtId="0" fontId="7"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4" xfId="0" applyFont="1" applyFill="1" applyBorder="1" applyAlignment="1">
      <alignment horizontal="center" vertical="center"/>
    </xf>
    <xf numFmtId="0" fontId="7" fillId="5" borderId="4" xfId="0" applyFont="1" applyFill="1" applyBorder="1" applyAlignment="1">
      <alignment horizontal="center" vertical="center" wrapText="1"/>
    </xf>
    <xf numFmtId="0" fontId="8" fillId="0" borderId="40" xfId="0" applyFont="1" applyBorder="1" applyAlignment="1">
      <alignment horizontal="left"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8" fillId="0" borderId="4" xfId="0" applyFont="1" applyBorder="1" applyAlignment="1">
      <alignment horizontal="left" vertical="center" wrapText="1"/>
    </xf>
    <xf numFmtId="0" fontId="7" fillId="0" borderId="26" xfId="0" applyFont="1" applyBorder="1" applyAlignment="1">
      <alignment horizontal="center" vertical="center"/>
    </xf>
    <xf numFmtId="0" fontId="18" fillId="0" borderId="4" xfId="0" applyFont="1" applyBorder="1" applyAlignment="1">
      <alignment vertical="center"/>
    </xf>
    <xf numFmtId="0" fontId="7" fillId="5" borderId="44" xfId="0" applyFont="1" applyFill="1" applyBorder="1" applyAlignment="1">
      <alignment horizontal="center" vertical="center" wrapText="1"/>
    </xf>
    <xf numFmtId="0" fontId="7" fillId="5" borderId="45" xfId="0" applyFont="1" applyFill="1" applyBorder="1" applyAlignment="1">
      <alignment horizontal="right" vertical="center" wrapText="1"/>
    </xf>
    <xf numFmtId="0" fontId="7" fillId="5" borderId="28" xfId="0" applyFont="1" applyFill="1" applyBorder="1" applyAlignment="1">
      <alignment horizontal="right" vertical="center" wrapText="1"/>
    </xf>
    <xf numFmtId="0" fontId="7" fillId="5" borderId="46"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8" fillId="0" borderId="4" xfId="0" applyFont="1" applyBorder="1" applyAlignment="1">
      <alignment horizontal="left"/>
    </xf>
    <xf numFmtId="0" fontId="4" fillId="0" borderId="4" xfId="0" applyFont="1" applyBorder="1" applyAlignment="1">
      <alignment horizontal="center"/>
    </xf>
    <xf numFmtId="0" fontId="8" fillId="11"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11" borderId="4" xfId="0" applyFont="1" applyFill="1" applyBorder="1" applyAlignment="1">
      <alignment horizontal="center" vertical="center"/>
    </xf>
    <xf numFmtId="0" fontId="4" fillId="0" borderId="4" xfId="0" applyFont="1" applyBorder="1" applyAlignment="1">
      <alignment horizontal="left" vertical="center"/>
    </xf>
    <xf numFmtId="0" fontId="12" fillId="2" borderId="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24" xfId="0" applyFont="1" applyBorder="1" applyAlignment="1">
      <alignment horizontal="left" vertical="center"/>
    </xf>
    <xf numFmtId="0" fontId="4" fillId="0" borderId="4" xfId="0" applyFont="1" applyBorder="1" applyAlignment="1">
      <alignment horizontal="left" vertical="center" wrapText="1"/>
    </xf>
    <xf numFmtId="0" fontId="4" fillId="2" borderId="4" xfId="0" applyFont="1" applyFill="1" applyBorder="1" applyAlignment="1" applyProtection="1">
      <alignment horizontal="left" vertical="center"/>
      <protection locked="0"/>
    </xf>
    <xf numFmtId="2" fontId="4" fillId="9" borderId="4" xfId="0" applyNumberFormat="1" applyFont="1" applyFill="1" applyBorder="1" applyAlignment="1">
      <alignment horizontal="center" vertical="center"/>
    </xf>
    <xf numFmtId="0" fontId="12" fillId="11" borderId="29" xfId="0" applyFont="1" applyFill="1" applyBorder="1" applyAlignment="1">
      <alignment horizontal="center" vertical="center" wrapText="1"/>
    </xf>
    <xf numFmtId="0" fontId="12" fillId="0" borderId="18" xfId="0" applyFont="1" applyBorder="1" applyAlignment="1">
      <alignment horizontal="left" vertical="center"/>
    </xf>
    <xf numFmtId="0" fontId="4" fillId="0" borderId="22" xfId="0" applyFont="1" applyBorder="1" applyAlignment="1">
      <alignment horizontal="center"/>
    </xf>
    <xf numFmtId="0" fontId="4" fillId="0" borderId="29" xfId="0" applyFont="1" applyBorder="1" applyAlignment="1">
      <alignment horizontal="left" vertical="center"/>
    </xf>
    <xf numFmtId="0" fontId="4" fillId="0" borderId="49" xfId="0" applyFont="1" applyBorder="1" applyAlignment="1">
      <alignment horizontal="left" vertical="center"/>
    </xf>
    <xf numFmtId="0" fontId="12" fillId="0" borderId="42" xfId="0" applyFont="1" applyBorder="1" applyAlignment="1">
      <alignment horizontal="left" vertical="center"/>
    </xf>
    <xf numFmtId="0" fontId="26" fillId="11" borderId="15" xfId="0" applyFont="1" applyFill="1" applyBorder="1" applyAlignment="1">
      <alignment horizontal="center" vertical="center"/>
    </xf>
    <xf numFmtId="0" fontId="7" fillId="12" borderId="52" xfId="0" applyFont="1" applyFill="1" applyBorder="1" applyAlignment="1">
      <alignment horizontal="center" wrapText="1"/>
    </xf>
    <xf numFmtId="0" fontId="7" fillId="11" borderId="26" xfId="0" applyFont="1" applyFill="1" applyBorder="1" applyAlignment="1">
      <alignment horizontal="center" vertical="center"/>
    </xf>
    <xf numFmtId="0" fontId="28" fillId="11" borderId="25" xfId="0" applyFont="1" applyFill="1" applyBorder="1" applyAlignment="1">
      <alignment horizontal="left" vertical="center"/>
    </xf>
    <xf numFmtId="0" fontId="28" fillId="11" borderId="23" xfId="0" applyFont="1" applyFill="1" applyBorder="1" applyAlignment="1">
      <alignment horizontal="left" vertical="center"/>
    </xf>
    <xf numFmtId="0" fontId="28" fillId="11" borderId="26" xfId="0" applyFont="1" applyFill="1" applyBorder="1" applyAlignment="1">
      <alignment horizontal="left" vertical="center"/>
    </xf>
    <xf numFmtId="0" fontId="28" fillId="0" borderId="23" xfId="0" applyFont="1" applyBorder="1" applyAlignment="1">
      <alignment horizontal="left" vertical="center"/>
    </xf>
    <xf numFmtId="0" fontId="11" fillId="0" borderId="23" xfId="0" applyFont="1" applyBorder="1" applyAlignment="1">
      <alignment horizontal="left" vertical="center" wrapText="1"/>
    </xf>
    <xf numFmtId="0" fontId="11" fillId="0" borderId="23" xfId="0" applyFont="1" applyBorder="1" applyAlignment="1">
      <alignment horizontal="left" vertical="center"/>
    </xf>
    <xf numFmtId="0" fontId="29" fillId="0" borderId="23" xfId="0" applyFont="1" applyBorder="1" applyAlignment="1">
      <alignment horizontal="left" vertical="center"/>
    </xf>
    <xf numFmtId="0" fontId="31" fillId="14" borderId="21"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8" fillId="11" borderId="26" xfId="0" applyFont="1" applyFill="1" applyBorder="1" applyAlignment="1">
      <alignment horizontal="center" vertical="center"/>
    </xf>
    <xf numFmtId="0" fontId="28" fillId="11" borderId="54" xfId="0" applyFont="1" applyFill="1" applyBorder="1" applyAlignment="1">
      <alignment horizontal="left" vertical="center"/>
    </xf>
    <xf numFmtId="0" fontId="22" fillId="13" borderId="37" xfId="0" applyFont="1" applyFill="1" applyBorder="1" applyAlignment="1">
      <alignment horizontal="justify" wrapText="1"/>
    </xf>
    <xf numFmtId="0" fontId="23" fillId="11" borderId="15" xfId="0" applyFont="1" applyFill="1" applyBorder="1" applyAlignment="1">
      <alignment horizontal="center" vertical="center"/>
    </xf>
    <xf numFmtId="0" fontId="12" fillId="12" borderId="52" xfId="0" applyFont="1" applyFill="1" applyBorder="1" applyAlignment="1">
      <alignment horizontal="center" vertical="center" wrapText="1"/>
    </xf>
    <xf numFmtId="0" fontId="33" fillId="11" borderId="23"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25" xfId="0" applyFont="1" applyFill="1" applyBorder="1" applyAlignment="1">
      <alignment horizontal="center" vertical="center"/>
    </xf>
    <xf numFmtId="0" fontId="7" fillId="15" borderId="4" xfId="0" applyFont="1" applyFill="1" applyBorder="1" applyAlignment="1">
      <alignment horizontal="center" vertical="center" wrapText="1"/>
    </xf>
    <xf numFmtId="0" fontId="20" fillId="0" borderId="28" xfId="0" applyFont="1" applyBorder="1" applyAlignment="1">
      <alignment horizontal="center" vertical="center"/>
    </xf>
    <xf numFmtId="0" fontId="33" fillId="11" borderId="23" xfId="0" applyFont="1" applyFill="1" applyBorder="1" applyAlignment="1">
      <alignment horizontal="center" vertical="center" wrapText="1"/>
    </xf>
    <xf numFmtId="0" fontId="7" fillId="11" borderId="25" xfId="0" applyFont="1" applyFill="1" applyBorder="1" applyAlignment="1">
      <alignment horizontal="center" vertical="center" wrapText="1"/>
    </xf>
    <xf numFmtId="49" fontId="12" fillId="11" borderId="28" xfId="0" applyNumberFormat="1" applyFont="1" applyFill="1" applyBorder="1" applyAlignment="1">
      <alignment horizontal="left" vertical="center" wrapText="1"/>
    </xf>
    <xf numFmtId="0" fontId="20" fillId="0" borderId="15" xfId="0" applyFont="1" applyBorder="1" applyAlignment="1">
      <alignment horizontal="center" vertical="center"/>
    </xf>
    <xf numFmtId="0" fontId="7" fillId="12" borderId="26" xfId="0" applyFont="1" applyFill="1" applyBorder="1" applyAlignment="1">
      <alignment horizontal="center" vertical="center" wrapText="1"/>
    </xf>
    <xf numFmtId="49" fontId="12" fillId="11" borderId="23" xfId="0" applyNumberFormat="1" applyFont="1" applyFill="1" applyBorder="1" applyAlignment="1">
      <alignment horizontal="center" vertical="center" wrapText="1"/>
    </xf>
    <xf numFmtId="0" fontId="24" fillId="11" borderId="23" xfId="0" applyFont="1" applyFill="1" applyBorder="1" applyAlignment="1">
      <alignment horizontal="center" wrapText="1"/>
    </xf>
    <xf numFmtId="0" fontId="24" fillId="11" borderId="28" xfId="0" applyFont="1" applyFill="1" applyBorder="1" applyAlignment="1">
      <alignment horizontal="center" wrapText="1"/>
    </xf>
    <xf numFmtId="0" fontId="0" fillId="0" borderId="3" xfId="0" applyBorder="1" applyAlignment="1">
      <alignment horizontal="center" wrapText="1"/>
    </xf>
    <xf numFmtId="0" fontId="7" fillId="12" borderId="4" xfId="0" applyFont="1" applyFill="1" applyBorder="1" applyAlignment="1">
      <alignment horizontal="center" vertical="center" wrapText="1"/>
    </xf>
    <xf numFmtId="0" fontId="20" fillId="11" borderId="9" xfId="0" applyFont="1" applyFill="1" applyBorder="1" applyAlignment="1">
      <alignment horizontal="center" vertical="center"/>
    </xf>
    <xf numFmtId="0" fontId="7" fillId="12" borderId="52"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4" fillId="0" borderId="26" xfId="0" applyFont="1" applyBorder="1" applyAlignment="1">
      <alignment horizontal="left" vertical="center"/>
    </xf>
    <xf numFmtId="0" fontId="12" fillId="0" borderId="23" xfId="0" applyFont="1" applyBorder="1" applyAlignment="1">
      <alignment horizontal="center" vertical="center"/>
    </xf>
    <xf numFmtId="0" fontId="20" fillId="11" borderId="61" xfId="0" applyFont="1" applyFill="1" applyBorder="1" applyAlignment="1">
      <alignment horizontal="left" vertical="center"/>
    </xf>
    <xf numFmtId="4" fontId="7" fillId="0" borderId="23" xfId="0" applyNumberFormat="1" applyFont="1" applyBorder="1" applyAlignment="1">
      <alignment horizontal="center" vertical="center"/>
    </xf>
    <xf numFmtId="4" fontId="7" fillId="0" borderId="28" xfId="0" applyNumberFormat="1" applyFont="1" applyBorder="1" applyAlignment="1">
      <alignment horizontal="center" vertical="center"/>
    </xf>
    <xf numFmtId="0" fontId="23" fillId="16" borderId="26" xfId="0" applyFont="1" applyFill="1" applyBorder="1" applyAlignment="1">
      <alignment horizontal="center" vertical="center" wrapText="1"/>
    </xf>
    <xf numFmtId="0" fontId="12" fillId="0" borderId="26" xfId="0" applyFont="1" applyBorder="1" applyAlignment="1">
      <alignment horizontal="center" vertical="center"/>
    </xf>
    <xf numFmtId="0" fontId="8" fillId="8" borderId="63" xfId="0" applyFont="1" applyFill="1" applyBorder="1" applyAlignment="1">
      <alignment horizontal="center" vertical="center"/>
    </xf>
    <xf numFmtId="0" fontId="20" fillId="11" borderId="66" xfId="0" applyFont="1" applyFill="1" applyBorder="1" applyAlignment="1">
      <alignment horizontal="center" vertical="center" wrapText="1"/>
    </xf>
    <xf numFmtId="0" fontId="7" fillId="11" borderId="15" xfId="0" applyFont="1" applyFill="1" applyBorder="1" applyAlignment="1">
      <alignment horizontal="center" vertical="center" textRotation="90"/>
    </xf>
    <xf numFmtId="0" fontId="12" fillId="11" borderId="15" xfId="0" applyFont="1" applyFill="1" applyBorder="1" applyAlignment="1">
      <alignment horizontal="center" vertical="center" wrapText="1"/>
    </xf>
    <xf numFmtId="0" fontId="20" fillId="11" borderId="61" xfId="0" applyFont="1" applyFill="1" applyBorder="1" applyAlignment="1">
      <alignment horizontal="center" vertical="center"/>
    </xf>
    <xf numFmtId="0" fontId="20" fillId="11" borderId="15" xfId="0" applyFont="1" applyFill="1" applyBorder="1" applyAlignment="1">
      <alignment horizontal="center" vertical="center" wrapText="1"/>
    </xf>
    <xf numFmtId="0" fontId="12" fillId="11" borderId="67"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41"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8" fillId="11" borderId="45" xfId="0" applyFont="1" applyFill="1" applyBorder="1" applyAlignment="1">
      <alignment horizontal="center" vertical="center" wrapText="1"/>
    </xf>
    <xf numFmtId="0" fontId="19" fillId="11" borderId="68"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1" borderId="48"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8" fillId="11" borderId="21"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8" fillId="0" borderId="15" xfId="0" applyFont="1" applyBorder="1" applyAlignment="1">
      <alignment horizontal="left" vertical="center"/>
    </xf>
    <xf numFmtId="0" fontId="8" fillId="0" borderId="37" xfId="0" applyFont="1" applyBorder="1" applyAlignment="1">
      <alignment horizontal="left" vertical="top" wrapText="1"/>
    </xf>
    <xf numFmtId="0" fontId="4" fillId="0" borderId="3" xfId="0" applyFont="1" applyBorder="1" applyAlignment="1">
      <alignment horizontal="left" vertical="center"/>
    </xf>
    <xf numFmtId="0" fontId="7" fillId="0" borderId="28" xfId="0" applyFont="1" applyBorder="1" applyAlignment="1">
      <alignment horizontal="center" vertical="center" textRotation="91"/>
    </xf>
    <xf numFmtId="0" fontId="20" fillId="11" borderId="37" xfId="0" applyFont="1" applyFill="1" applyBorder="1" applyAlignment="1">
      <alignment horizontal="center" vertical="center" wrapText="1"/>
    </xf>
    <xf numFmtId="0" fontId="20" fillId="11" borderId="9" xfId="0" applyFont="1" applyFill="1" applyBorder="1" applyAlignment="1">
      <alignment horizontal="left" vertical="center"/>
    </xf>
    <xf numFmtId="0" fontId="15" fillId="0" borderId="15" xfId="0" applyFont="1" applyBorder="1" applyAlignment="1">
      <alignment horizontal="left"/>
    </xf>
    <xf numFmtId="0" fontId="20" fillId="11" borderId="9" xfId="0" applyFont="1" applyFill="1" applyBorder="1" applyAlignment="1">
      <alignment horizontal="center" vertical="center" wrapText="1"/>
    </xf>
    <xf numFmtId="0" fontId="20" fillId="11" borderId="15" xfId="0" applyFont="1" applyFill="1" applyBorder="1" applyAlignment="1">
      <alignment horizontal="center" vertical="center"/>
    </xf>
    <xf numFmtId="0" fontId="5" fillId="0" borderId="37" xfId="0" applyFont="1" applyBorder="1" applyAlignment="1">
      <alignment horizontal="left" vertical="center"/>
    </xf>
    <xf numFmtId="0" fontId="7" fillId="0" borderId="21" xfId="0" applyFont="1" applyBorder="1" applyAlignment="1">
      <alignment horizontal="left" vertical="center"/>
    </xf>
    <xf numFmtId="4" fontId="29" fillId="11" borderId="9" xfId="0" applyNumberFormat="1" applyFont="1" applyFill="1" applyBorder="1" applyAlignment="1">
      <alignment horizontal="center" vertical="center" wrapText="1"/>
    </xf>
    <xf numFmtId="0" fontId="7" fillId="11" borderId="71" xfId="0" applyFont="1" applyFill="1" applyBorder="1" applyAlignment="1">
      <alignment horizontal="left" vertical="center" wrapText="1"/>
    </xf>
    <xf numFmtId="0" fontId="7" fillId="11" borderId="21" xfId="0" applyFont="1" applyFill="1" applyBorder="1" applyAlignment="1">
      <alignment horizontal="center" vertical="center"/>
    </xf>
    <xf numFmtId="0" fontId="11" fillId="0" borderId="4" xfId="0" applyFont="1" applyBorder="1" applyAlignment="1">
      <alignment horizontal="center" vertical="center"/>
    </xf>
    <xf numFmtId="4" fontId="11" fillId="0" borderId="25" xfId="0" applyNumberFormat="1" applyFont="1" applyBorder="1" applyAlignment="1">
      <alignment horizontal="center" vertical="center" wrapText="1"/>
    </xf>
    <xf numFmtId="0" fontId="8" fillId="0" borderId="54" xfId="0"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7" fillId="11" borderId="4" xfId="0" applyFont="1" applyFill="1" applyBorder="1" applyAlignment="1">
      <alignment horizontal="left" vertical="center"/>
    </xf>
    <xf numFmtId="0" fontId="8" fillId="0" borderId="12" xfId="0" applyFont="1" applyBorder="1" applyAlignment="1">
      <alignment horizontal="left" vertical="center"/>
    </xf>
    <xf numFmtId="0" fontId="7" fillId="11" borderId="64" xfId="0" applyFont="1" applyFill="1" applyBorder="1" applyAlignment="1">
      <alignment horizontal="left" vertical="center"/>
    </xf>
    <xf numFmtId="0" fontId="7" fillId="11" borderId="52" xfId="0" applyFont="1" applyFill="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4" fontId="8" fillId="0" borderId="25" xfId="0" applyNumberFormat="1" applyFont="1" applyBorder="1" applyAlignment="1">
      <alignment horizontal="center" vertical="center"/>
    </xf>
    <xf numFmtId="0" fontId="8" fillId="0" borderId="23" xfId="0" applyFont="1" applyBorder="1" applyAlignment="1">
      <alignment horizontal="left" vertical="center"/>
    </xf>
    <xf numFmtId="0" fontId="8" fillId="0" borderId="23" xfId="0" applyFont="1" applyBorder="1" applyAlignment="1">
      <alignment horizontal="left" vertical="center" wrapText="1"/>
    </xf>
    <xf numFmtId="0" fontId="8" fillId="0" borderId="54" xfId="0" applyFont="1" applyBorder="1" applyAlignment="1">
      <alignment horizontal="left" vertical="center"/>
    </xf>
    <xf numFmtId="0" fontId="7" fillId="11" borderId="5" xfId="0" applyFont="1" applyFill="1" applyBorder="1" applyAlignment="1">
      <alignment horizontal="left" vertical="center"/>
    </xf>
    <xf numFmtId="4" fontId="8" fillId="0" borderId="53" xfId="0" applyNumberFormat="1" applyFont="1" applyBorder="1" applyAlignment="1">
      <alignment horizontal="center" vertical="center" wrapText="1"/>
    </xf>
    <xf numFmtId="0" fontId="8" fillId="0" borderId="23" xfId="0" applyFont="1" applyBorder="1" applyAlignment="1">
      <alignment vertical="center"/>
    </xf>
    <xf numFmtId="0" fontId="7" fillId="11" borderId="61" xfId="0" applyFont="1" applyFill="1" applyBorder="1" applyAlignment="1">
      <alignment horizontal="left" vertical="center"/>
    </xf>
    <xf numFmtId="0" fontId="7" fillId="11" borderId="41" xfId="0" applyFont="1" applyFill="1" applyBorder="1" applyAlignment="1">
      <alignment horizontal="center" vertical="center"/>
    </xf>
    <xf numFmtId="0" fontId="7" fillId="11" borderId="28" xfId="0" applyFont="1" applyFill="1" applyBorder="1" applyAlignment="1">
      <alignment vertical="center"/>
    </xf>
    <xf numFmtId="4" fontId="7" fillId="12" borderId="29" xfId="0" applyNumberFormat="1" applyFont="1" applyFill="1" applyBorder="1" applyAlignment="1">
      <alignment horizontal="center" vertical="center" wrapText="1"/>
    </xf>
    <xf numFmtId="0" fontId="7" fillId="11" borderId="54" xfId="0" applyFont="1" applyFill="1" applyBorder="1" applyAlignment="1">
      <alignment horizontal="center" vertical="center"/>
    </xf>
    <xf numFmtId="0" fontId="7" fillId="11" borderId="23" xfId="0" applyFont="1" applyFill="1" applyBorder="1" applyAlignment="1">
      <alignment vertical="center"/>
    </xf>
    <xf numFmtId="0" fontId="43" fillId="11" borderId="9" xfId="0" applyFont="1" applyFill="1" applyBorder="1" applyAlignment="1">
      <alignment horizontal="center" vertical="center" wrapText="1"/>
    </xf>
    <xf numFmtId="0" fontId="29" fillId="8" borderId="9" xfId="0" applyFont="1" applyFill="1" applyBorder="1" applyAlignment="1">
      <alignment horizontal="center" vertical="center"/>
    </xf>
    <xf numFmtId="10" fontId="30" fillId="8" borderId="41" xfId="0" applyNumberFormat="1" applyFont="1" applyFill="1" applyBorder="1" applyAlignment="1">
      <alignment horizontal="center" vertical="center"/>
    </xf>
    <xf numFmtId="0" fontId="30" fillId="8" borderId="41" xfId="0" applyFont="1" applyFill="1" applyBorder="1" applyAlignment="1">
      <alignment horizontal="left" vertical="center" wrapText="1"/>
    </xf>
    <xf numFmtId="0" fontId="44" fillId="8" borderId="9" xfId="0" applyFont="1" applyFill="1" applyBorder="1" applyAlignment="1">
      <alignment horizontal="center" vertical="center"/>
    </xf>
    <xf numFmtId="0" fontId="45" fillId="18" borderId="7" xfId="0" applyFont="1" applyFill="1" applyBorder="1" applyAlignment="1">
      <alignment horizontal="left" vertical="center"/>
    </xf>
    <xf numFmtId="0" fontId="8" fillId="0" borderId="42" xfId="0" applyFont="1" applyBorder="1" applyAlignment="1">
      <alignment horizontal="left" vertical="center"/>
    </xf>
    <xf numFmtId="0" fontId="30" fillId="0" borderId="23" xfId="0" applyFont="1" applyBorder="1" applyAlignment="1">
      <alignment horizontal="left" vertical="center" wrapText="1"/>
    </xf>
    <xf numFmtId="0" fontId="30" fillId="11" borderId="25" xfId="0" applyFont="1" applyFill="1" applyBorder="1" applyAlignment="1">
      <alignment horizontal="center" vertical="center"/>
    </xf>
    <xf numFmtId="0" fontId="30" fillId="0" borderId="23" xfId="0" applyFont="1" applyBorder="1" applyAlignment="1">
      <alignment horizontal="left" vertical="center"/>
    </xf>
    <xf numFmtId="0" fontId="30" fillId="11" borderId="4" xfId="0" applyFont="1" applyFill="1" applyBorder="1" applyAlignment="1">
      <alignment horizontal="left" vertical="center" wrapText="1"/>
    </xf>
    <xf numFmtId="0" fontId="7" fillId="0" borderId="4" xfId="0" applyFont="1" applyBorder="1" applyAlignment="1">
      <alignment horizontal="left" vertical="center" wrapText="1"/>
    </xf>
    <xf numFmtId="0" fontId="30" fillId="8" borderId="9" xfId="0" applyFont="1" applyFill="1" applyBorder="1" applyAlignment="1">
      <alignment horizontal="center" vertical="center"/>
    </xf>
    <xf numFmtId="0" fontId="30" fillId="11" borderId="20" xfId="0" applyFont="1" applyFill="1" applyBorder="1" applyAlignment="1">
      <alignment horizontal="center" vertical="center"/>
    </xf>
    <xf numFmtId="0" fontId="20" fillId="15" borderId="4" xfId="0" applyFont="1" applyFill="1" applyBorder="1" applyAlignment="1">
      <alignment horizontal="center" vertical="center" wrapText="1"/>
    </xf>
    <xf numFmtId="0" fontId="29" fillId="0" borderId="27" xfId="0" applyFont="1" applyBorder="1" applyAlignment="1">
      <alignment horizontal="left" vertical="center"/>
    </xf>
    <xf numFmtId="0" fontId="31" fillId="15" borderId="4" xfId="0" applyFont="1" applyFill="1" applyBorder="1" applyAlignment="1">
      <alignment horizontal="center" vertical="center"/>
    </xf>
  </cellXfs>
  <cellStyles count="29">
    <cellStyle name="Excel Built-in Explanatory Text" xfId="28" xr:uid="{00000000-0005-0000-0000-00001E000000}"/>
    <cellStyle name="Excel Built-in Explanatory Text 3" xfId="27" xr:uid="{00000000-0005-0000-0000-00001D000000}"/>
    <cellStyle name="Moeda" xfId="2" builtinId="4"/>
    <cellStyle name="Moeda 8" xfId="4" xr:uid="{00000000-0005-0000-0000-000006000000}"/>
    <cellStyle name="Normal" xfId="0" builtinId="0"/>
    <cellStyle name="Normal 12" xfId="5" xr:uid="{00000000-0005-0000-0000-000007000000}"/>
    <cellStyle name="Normal 2" xfId="6" xr:uid="{00000000-0005-0000-0000-000008000000}"/>
    <cellStyle name="Normal 2 2" xfId="7" xr:uid="{00000000-0005-0000-0000-000009000000}"/>
    <cellStyle name="Normal 2 2 2" xfId="8" xr:uid="{00000000-0005-0000-0000-00000A000000}"/>
    <cellStyle name="Normal 3" xfId="9" xr:uid="{00000000-0005-0000-0000-00000B000000}"/>
    <cellStyle name="Normal 3 3" xfId="10" xr:uid="{00000000-0005-0000-0000-00000C000000}"/>
    <cellStyle name="Normal 4" xfId="11" xr:uid="{00000000-0005-0000-0000-00000D000000}"/>
    <cellStyle name="Normal 7 2" xfId="12" xr:uid="{00000000-0005-0000-0000-00000E000000}"/>
    <cellStyle name="Normal 8" xfId="13" xr:uid="{00000000-0005-0000-0000-00000F000000}"/>
    <cellStyle name="Normal 9" xfId="14" xr:uid="{00000000-0005-0000-0000-000010000000}"/>
    <cellStyle name="Porcentagem" xfId="3" builtinId="5"/>
    <cellStyle name="Porcentagem 12" xfId="15" xr:uid="{00000000-0005-0000-0000-000011000000}"/>
    <cellStyle name="Porcentagem 2" xfId="16" xr:uid="{00000000-0005-0000-0000-000012000000}"/>
    <cellStyle name="Porcentagem 4" xfId="17" xr:uid="{00000000-0005-0000-0000-000013000000}"/>
    <cellStyle name="Porcentagem 4 3" xfId="18" xr:uid="{00000000-0005-0000-0000-000014000000}"/>
    <cellStyle name="Separador de milhares 2 2" xfId="19" xr:uid="{00000000-0005-0000-0000-000015000000}"/>
    <cellStyle name="Separador de milhares 2 2 2" xfId="20" xr:uid="{00000000-0005-0000-0000-000016000000}"/>
    <cellStyle name="Separador de milhares 3" xfId="21" xr:uid="{00000000-0005-0000-0000-000017000000}"/>
    <cellStyle name="Separador de milhares 3 3" xfId="22" xr:uid="{00000000-0005-0000-0000-000018000000}"/>
    <cellStyle name="Separador de milhares 4 3" xfId="23" xr:uid="{00000000-0005-0000-0000-000019000000}"/>
    <cellStyle name="Texto Explicativo 4" xfId="24" xr:uid="{00000000-0005-0000-0000-00001A000000}"/>
    <cellStyle name="Vírgula" xfId="1" builtinId="3"/>
    <cellStyle name="Vírgula 2" xfId="25" xr:uid="{00000000-0005-0000-0000-00001B000000}"/>
    <cellStyle name="Vírgula 4" xfId="26" xr:uid="{00000000-0005-0000-0000-00001C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69696"/>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720</xdr:colOff>
      <xdr:row>1</xdr:row>
      <xdr:rowOff>203040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05720" cy="4698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397080</xdr:colOff>
      <xdr:row>2</xdr:row>
      <xdr:rowOff>25560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95400" y="57240"/>
          <a:ext cx="301680" cy="3301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453960</xdr:colOff>
      <xdr:row>2</xdr:row>
      <xdr:rowOff>130320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142920" y="38160"/>
          <a:ext cx="311040" cy="453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399960</xdr:colOff>
      <xdr:row>2</xdr:row>
      <xdr:rowOff>25560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400" y="57240"/>
          <a:ext cx="304560" cy="330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568440</xdr:colOff>
      <xdr:row>2</xdr:row>
      <xdr:rowOff>205560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5760" cy="5112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453960</xdr:colOff>
      <xdr:row>2</xdr:row>
      <xdr:rowOff>92160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6440" cy="4539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21600</xdr:colOff>
      <xdr:row>2</xdr:row>
      <xdr:rowOff>91440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67320" y="111960"/>
          <a:ext cx="306720" cy="3412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93960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160" y="85680"/>
          <a:ext cx="320760" cy="2941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93960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38160" y="85680"/>
          <a:ext cx="320760" cy="2941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635760</xdr:colOff>
      <xdr:row>2</xdr:row>
      <xdr:rowOff>79560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64600" y="52200"/>
          <a:ext cx="371160" cy="3513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663480</xdr:colOff>
      <xdr:row>2</xdr:row>
      <xdr:rowOff>101520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257040" y="66600"/>
          <a:ext cx="406440" cy="3967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0"/>
  <sheetViews>
    <sheetView showGridLines="0" topLeftCell="G1" zoomScale="115" zoomScaleNormal="115" workbookViewId="0">
      <selection activeCell="L62" sqref="L62"/>
    </sheetView>
  </sheetViews>
  <sheetFormatPr defaultColWidth="8.6640625" defaultRowHeight="14.4" x14ac:dyDescent="0.3"/>
  <cols>
    <col min="1" max="1" width="6.33203125" style="4" customWidth="1"/>
    <col min="2" max="2" width="41.44140625" style="4" customWidth="1"/>
    <col min="3" max="3" width="7.88671875" style="4" customWidth="1"/>
    <col min="4" max="4" width="16.33203125" style="4" customWidth="1"/>
    <col min="5" max="5" width="12.88671875" style="4" customWidth="1"/>
    <col min="6" max="6" width="16.33203125" style="4" customWidth="1"/>
    <col min="7" max="7" width="17.6640625" style="4" customWidth="1"/>
    <col min="8" max="8" width="20" style="5" customWidth="1"/>
    <col min="9" max="10" width="16.33203125" style="4" customWidth="1"/>
    <col min="11" max="12" width="13.88671875" style="5" customWidth="1"/>
    <col min="13" max="13" width="14.33203125" style="5" customWidth="1"/>
    <col min="14" max="14" width="15.44140625" style="4" customWidth="1"/>
    <col min="15" max="15" width="12.88671875" style="4" customWidth="1"/>
    <col min="16" max="16" width="16.44140625" style="4" customWidth="1"/>
    <col min="17" max="17" width="12" style="4" customWidth="1"/>
    <col min="18" max="18" width="10.109375" style="6" customWidth="1"/>
    <col min="19" max="19" width="13.33203125" style="6" customWidth="1"/>
    <col min="20" max="20" width="13.88671875" style="6" customWidth="1"/>
    <col min="21" max="21" width="13.6640625" style="6" customWidth="1"/>
    <col min="22" max="254" width="9.109375" style="4" customWidth="1"/>
    <col min="255" max="255" width="6.33203125" style="4" customWidth="1"/>
    <col min="256" max="256" width="41.44140625" style="4" customWidth="1"/>
    <col min="257" max="257" width="7.88671875" style="4" customWidth="1"/>
    <col min="258" max="258" width="16.33203125" style="4" customWidth="1"/>
    <col min="259" max="259" width="12.88671875" style="4" customWidth="1"/>
    <col min="260" max="261" width="16.33203125" style="4" customWidth="1"/>
    <col min="262" max="262" width="13.33203125" style="4" customWidth="1"/>
    <col min="263" max="264" width="16.33203125" style="4" customWidth="1"/>
    <col min="265" max="266" width="13.88671875" style="4" customWidth="1"/>
    <col min="267" max="267" width="13" style="4" customWidth="1"/>
    <col min="268" max="268" width="13.5546875" style="4" customWidth="1"/>
    <col min="269" max="269" width="12.88671875" style="4" customWidth="1"/>
    <col min="270" max="270" width="14.109375" style="4" customWidth="1"/>
    <col min="271" max="271" width="12" style="4" customWidth="1"/>
    <col min="272" max="272" width="13" style="4" customWidth="1"/>
    <col min="273" max="273" width="11.88671875" style="4" customWidth="1"/>
    <col min="274" max="274" width="13.33203125" style="4" customWidth="1"/>
    <col min="275" max="275" width="12.33203125" style="4" customWidth="1"/>
    <col min="276" max="276" width="12.44140625" style="4" customWidth="1"/>
    <col min="277" max="277" width="10.5546875" style="4" customWidth="1"/>
    <col min="278" max="510" width="9.109375" style="4" customWidth="1"/>
    <col min="511" max="511" width="6.33203125" style="4" customWidth="1"/>
    <col min="512" max="512" width="41.44140625" style="4" customWidth="1"/>
    <col min="513" max="513" width="7.88671875" style="4" customWidth="1"/>
    <col min="514" max="514" width="16.33203125" style="4" customWidth="1"/>
    <col min="515" max="515" width="12.88671875" style="4" customWidth="1"/>
    <col min="516" max="517" width="16.33203125" style="4" customWidth="1"/>
    <col min="518" max="518" width="13.33203125" style="4" customWidth="1"/>
    <col min="519" max="520" width="16.33203125" style="4" customWidth="1"/>
    <col min="521" max="522" width="13.88671875" style="4" customWidth="1"/>
    <col min="523" max="523" width="13" style="4" customWidth="1"/>
    <col min="524" max="524" width="13.5546875" style="4" customWidth="1"/>
    <col min="525" max="525" width="12.88671875" style="4" customWidth="1"/>
    <col min="526" max="526" width="14.109375" style="4" customWidth="1"/>
    <col min="527" max="527" width="12" style="4" customWidth="1"/>
    <col min="528" max="528" width="13" style="4" customWidth="1"/>
    <col min="529" max="529" width="11.88671875" style="4" customWidth="1"/>
    <col min="530" max="530" width="13.33203125" style="4" customWidth="1"/>
    <col min="531" max="531" width="12.33203125" style="4" customWidth="1"/>
    <col min="532" max="532" width="12.44140625" style="4" customWidth="1"/>
    <col min="533" max="533" width="10.5546875" style="4" customWidth="1"/>
    <col min="534" max="766" width="9.109375" style="4" customWidth="1"/>
    <col min="767" max="767" width="6.33203125" style="4" customWidth="1"/>
    <col min="768" max="768" width="41.44140625" style="4" customWidth="1"/>
    <col min="769" max="769" width="7.88671875" style="4" customWidth="1"/>
    <col min="770" max="770" width="16.33203125" style="4" customWidth="1"/>
    <col min="771" max="771" width="12.88671875" style="4" customWidth="1"/>
    <col min="772" max="773" width="16.33203125" style="4" customWidth="1"/>
    <col min="774" max="774" width="13.33203125" style="4" customWidth="1"/>
    <col min="775" max="776" width="16.33203125" style="4" customWidth="1"/>
    <col min="777" max="778" width="13.88671875" style="4" customWidth="1"/>
    <col min="779" max="779" width="13" style="4" customWidth="1"/>
    <col min="780" max="780" width="13.5546875" style="4" customWidth="1"/>
    <col min="781" max="781" width="12.88671875" style="4" customWidth="1"/>
    <col min="782" max="782" width="14.109375" style="4" customWidth="1"/>
    <col min="783" max="783" width="12" style="4" customWidth="1"/>
    <col min="784" max="784" width="13" style="4" customWidth="1"/>
    <col min="785" max="785" width="11.88671875" style="4" customWidth="1"/>
    <col min="786" max="786" width="13.33203125" style="4" customWidth="1"/>
    <col min="787" max="787" width="12.33203125" style="4" customWidth="1"/>
    <col min="788" max="788" width="12.44140625" style="4" customWidth="1"/>
    <col min="789" max="789" width="10.5546875" style="4" customWidth="1"/>
    <col min="790" max="1023" width="9.109375" style="4" customWidth="1"/>
  </cols>
  <sheetData>
    <row r="1" spans="1:21" ht="23.4" x14ac:dyDescent="0.3">
      <c r="A1" s="7"/>
      <c r="B1" s="8" t="str">
        <f>INSTRUÇÕES!B1</f>
        <v>Tribunal Regional Federal da 6ª Região</v>
      </c>
      <c r="S1" s="9"/>
      <c r="T1" s="9"/>
      <c r="U1" s="9"/>
    </row>
    <row r="2" spans="1:21" s="13" customFormat="1" ht="23.4" x14ac:dyDescent="0.3">
      <c r="A2" s="10"/>
      <c r="B2" s="11" t="str">
        <f>INSTRUÇÕES!B2</f>
        <v>Seção Judiciária de Minas Gerais</v>
      </c>
      <c r="C2" s="551" t="s">
        <v>0</v>
      </c>
      <c r="D2" s="551"/>
      <c r="E2" s="551"/>
      <c r="F2" s="551"/>
      <c r="G2" s="551"/>
      <c r="H2" s="551"/>
      <c r="I2" s="551"/>
      <c r="J2" s="551"/>
      <c r="K2" s="551"/>
      <c r="L2" s="551"/>
      <c r="M2" s="551"/>
      <c r="N2" s="551"/>
      <c r="O2" s="551"/>
      <c r="P2" s="551"/>
      <c r="Q2" s="551"/>
      <c r="R2" s="551"/>
      <c r="S2" s="12"/>
      <c r="T2" s="12"/>
      <c r="U2" s="12"/>
    </row>
    <row r="3" spans="1:21" s="13" customFormat="1" ht="23.4" x14ac:dyDescent="0.3">
      <c r="A3" s="10"/>
      <c r="B3" s="14" t="str">
        <f>INSTRUÇÕES!B3</f>
        <v>Subseção Judiciária de Viçosa</v>
      </c>
      <c r="C3" s="551" t="s">
        <v>1</v>
      </c>
      <c r="D3" s="551"/>
      <c r="E3" s="551"/>
      <c r="F3" s="551"/>
      <c r="G3" s="551"/>
      <c r="H3" s="551"/>
      <c r="I3" s="551"/>
      <c r="J3" s="551"/>
      <c r="K3" s="551"/>
      <c r="L3" s="551"/>
      <c r="M3" s="551"/>
      <c r="N3" s="551"/>
      <c r="O3" s="551"/>
      <c r="P3" s="551"/>
      <c r="Q3" s="551"/>
      <c r="R3" s="551"/>
    </row>
    <row r="4" spans="1:21" s="13" customFormat="1" ht="12" customHeight="1" x14ac:dyDescent="0.3">
      <c r="B4" s="14"/>
      <c r="C4" s="3"/>
      <c r="D4" s="3"/>
      <c r="E4" s="3"/>
      <c r="F4" s="3"/>
      <c r="G4" s="3"/>
      <c r="H4" s="3"/>
      <c r="I4" s="3"/>
      <c r="J4" s="3"/>
      <c r="K4" s="3"/>
      <c r="L4" s="3"/>
      <c r="M4" s="3"/>
      <c r="N4" s="3"/>
      <c r="O4" s="3"/>
      <c r="P4" s="3"/>
      <c r="Q4" s="3"/>
      <c r="R4" s="3"/>
    </row>
    <row r="5" spans="1:21" s="19" customFormat="1" ht="27" customHeight="1" x14ac:dyDescent="0.3">
      <c r="A5" s="552" t="s">
        <v>2</v>
      </c>
      <c r="B5" s="552"/>
      <c r="C5" s="552"/>
      <c r="D5" s="2" t="s">
        <v>3</v>
      </c>
      <c r="E5" s="15">
        <f>VLOOKUP(D5,B83:C86,2,FALSE())</f>
        <v>30</v>
      </c>
      <c r="F5" s="16" t="str">
        <f>VLOOKUP(D5,B84:D86,3,FALSE())</f>
        <v>Obs: Desconto atualmente aplicado (30 dias corridos).</v>
      </c>
      <c r="G5" s="17"/>
      <c r="H5" s="6"/>
      <c r="I5" s="17"/>
      <c r="J5" s="18"/>
      <c r="K5" s="18"/>
      <c r="L5" s="18"/>
      <c r="M5" s="18"/>
      <c r="N5" s="18"/>
      <c r="R5" s="20"/>
      <c r="S5" s="20"/>
      <c r="T5" s="20"/>
      <c r="U5" s="20"/>
    </row>
    <row r="6" spans="1:21" s="19" customFormat="1" ht="16.5" customHeight="1" x14ac:dyDescent="0.3">
      <c r="A6" s="18"/>
      <c r="B6" s="18"/>
      <c r="C6" s="18"/>
      <c r="D6" s="18"/>
      <c r="E6" s="18"/>
      <c r="F6" s="18"/>
      <c r="G6" s="18"/>
      <c r="H6" s="18"/>
      <c r="I6" s="18"/>
      <c r="J6" s="18"/>
      <c r="K6" s="18"/>
      <c r="L6" s="18"/>
      <c r="M6" s="18"/>
      <c r="N6" s="18"/>
      <c r="R6" s="20"/>
      <c r="S6" s="20"/>
      <c r="T6" s="20"/>
      <c r="U6" s="20"/>
    </row>
    <row r="7" spans="1:21" s="19" customFormat="1" ht="27" customHeight="1" x14ac:dyDescent="0.3">
      <c r="A7" s="553" t="s">
        <v>4</v>
      </c>
      <c r="B7" s="553"/>
      <c r="C7" s="553"/>
      <c r="D7" s="554" t="s">
        <v>5</v>
      </c>
      <c r="E7" s="555" t="s">
        <v>6</v>
      </c>
      <c r="F7" s="556" t="s">
        <v>7</v>
      </c>
      <c r="G7" s="556" t="s">
        <v>8</v>
      </c>
      <c r="H7" s="554" t="s">
        <v>9</v>
      </c>
      <c r="I7" s="555" t="s">
        <v>10</v>
      </c>
      <c r="J7" s="556" t="s">
        <v>11</v>
      </c>
      <c r="K7" s="557" t="s">
        <v>12</v>
      </c>
      <c r="L7" s="558" t="s">
        <v>13</v>
      </c>
      <c r="M7" s="558" t="s">
        <v>14</v>
      </c>
      <c r="N7" s="559" t="s">
        <v>15</v>
      </c>
      <c r="O7" s="560" t="s">
        <v>16</v>
      </c>
      <c r="P7" s="556" t="s">
        <v>17</v>
      </c>
      <c r="Q7" s="556" t="s">
        <v>18</v>
      </c>
      <c r="R7" s="555" t="s">
        <v>19</v>
      </c>
      <c r="S7" s="561" t="s">
        <v>20</v>
      </c>
      <c r="T7" s="561"/>
      <c r="U7" s="561"/>
    </row>
    <row r="8" spans="1:21" s="19" customFormat="1" ht="27" customHeight="1" x14ac:dyDescent="0.3">
      <c r="A8" s="553"/>
      <c r="B8" s="553"/>
      <c r="C8" s="553"/>
      <c r="D8" s="554"/>
      <c r="E8" s="555"/>
      <c r="F8" s="556"/>
      <c r="G8" s="556"/>
      <c r="H8" s="554"/>
      <c r="I8" s="555"/>
      <c r="J8" s="556"/>
      <c r="K8" s="557"/>
      <c r="L8" s="558"/>
      <c r="M8" s="558"/>
      <c r="N8" s="559"/>
      <c r="O8" s="560"/>
      <c r="P8" s="556"/>
      <c r="Q8" s="556"/>
      <c r="R8" s="555"/>
      <c r="S8" s="561"/>
      <c r="T8" s="561"/>
      <c r="U8" s="561"/>
    </row>
    <row r="9" spans="1:21" s="19" customFormat="1" ht="36.75" customHeight="1" x14ac:dyDescent="0.3">
      <c r="A9" s="553"/>
      <c r="B9" s="553"/>
      <c r="C9" s="553"/>
      <c r="D9" s="554"/>
      <c r="E9" s="555"/>
      <c r="F9" s="556"/>
      <c r="G9" s="556"/>
      <c r="H9" s="554"/>
      <c r="I9" s="555"/>
      <c r="J9" s="556"/>
      <c r="K9" s="557"/>
      <c r="L9" s="558"/>
      <c r="M9" s="558"/>
      <c r="N9" s="559"/>
      <c r="O9" s="560"/>
      <c r="P9" s="556"/>
      <c r="Q9" s="556"/>
      <c r="R9" s="555"/>
      <c r="S9" s="561"/>
      <c r="T9" s="561"/>
      <c r="U9" s="561"/>
    </row>
    <row r="10" spans="1:21" s="19" customFormat="1" ht="55.2" x14ac:dyDescent="0.3">
      <c r="A10" s="21" t="s">
        <v>21</v>
      </c>
      <c r="B10" s="22" t="s">
        <v>22</v>
      </c>
      <c r="C10" s="22" t="s">
        <v>23</v>
      </c>
      <c r="D10" s="23" t="s">
        <v>24</v>
      </c>
      <c r="E10" s="21" t="s">
        <v>25</v>
      </c>
      <c r="F10" s="22" t="s">
        <v>26</v>
      </c>
      <c r="G10" s="22" t="s">
        <v>27</v>
      </c>
      <c r="H10" s="23" t="s">
        <v>28</v>
      </c>
      <c r="I10" s="21" t="s">
        <v>29</v>
      </c>
      <c r="J10" s="22" t="s">
        <v>30</v>
      </c>
      <c r="K10" s="24" t="s">
        <v>30</v>
      </c>
      <c r="L10" s="25" t="s">
        <v>31</v>
      </c>
      <c r="M10" s="25" t="s">
        <v>32</v>
      </c>
      <c r="N10" s="25" t="s">
        <v>33</v>
      </c>
      <c r="O10" s="26" t="s">
        <v>34</v>
      </c>
      <c r="P10" s="22" t="s">
        <v>35</v>
      </c>
      <c r="Q10" s="22" t="s">
        <v>36</v>
      </c>
      <c r="R10" s="21" t="s">
        <v>37</v>
      </c>
      <c r="S10" s="22" t="s">
        <v>38</v>
      </c>
      <c r="T10" s="22" t="s">
        <v>39</v>
      </c>
      <c r="U10" s="24" t="s">
        <v>40</v>
      </c>
    </row>
    <row r="11" spans="1:21" s="19" customFormat="1" ht="15.6" x14ac:dyDescent="0.3">
      <c r="A11" s="27">
        <f>Dados!B7</f>
        <v>2</v>
      </c>
      <c r="B11" s="28" t="str">
        <f>Dados!C7</f>
        <v>Auxiliar Administrativo</v>
      </c>
      <c r="C11" s="29">
        <f>Dados!D7</f>
        <v>200</v>
      </c>
      <c r="D11" s="30">
        <v>0</v>
      </c>
      <c r="E11" s="27" t="s">
        <v>41</v>
      </c>
      <c r="F11" s="29">
        <f>IF(E11="NÃO",0,D11*Dados!$G$33)</f>
        <v>0</v>
      </c>
      <c r="G11" s="31">
        <v>0</v>
      </c>
      <c r="H11" s="30">
        <v>0</v>
      </c>
      <c r="I11" s="32">
        <v>0</v>
      </c>
      <c r="J11" s="31">
        <v>0</v>
      </c>
      <c r="K11" s="33">
        <f>I11+J11</f>
        <v>0</v>
      </c>
      <c r="L11" s="34">
        <v>0</v>
      </c>
      <c r="M11" s="34">
        <v>0</v>
      </c>
      <c r="N11" s="34"/>
      <c r="O11" s="35">
        <f>Resumo!S12</f>
        <v>0</v>
      </c>
      <c r="P11" s="36">
        <f>Resumo!V12</f>
        <v>0</v>
      </c>
      <c r="Q11" s="37">
        <f>Resumo!W12</f>
        <v>9702.4599999999991</v>
      </c>
      <c r="R11" s="27">
        <f>Dados!S7</f>
        <v>1</v>
      </c>
      <c r="S11" s="36">
        <f>ROUND((Dados!M7*Encargos!$H$59*A11),2)</f>
        <v>1234.01</v>
      </c>
      <c r="T11" s="36" t="s">
        <v>42</v>
      </c>
      <c r="U11" s="38">
        <f>SUMIF($R$11:$R$13,5,$Q$11:$Q$13)</f>
        <v>0</v>
      </c>
    </row>
    <row r="12" spans="1:21" s="19" customFormat="1" ht="26.25" customHeight="1" x14ac:dyDescent="0.3">
      <c r="A12" s="39">
        <f>Dados!B8</f>
        <v>1</v>
      </c>
      <c r="B12" s="40" t="str">
        <f>Dados!C8</f>
        <v>Servente de Limpeza  com acúmulo de função Copeira</v>
      </c>
      <c r="C12" s="41">
        <f>Dados!D8</f>
        <v>200</v>
      </c>
      <c r="D12" s="42">
        <v>0</v>
      </c>
      <c r="E12" s="39" t="s">
        <v>41</v>
      </c>
      <c r="F12" s="41">
        <f>IF(E12="NÃO",0,D12*Dados!$G$33)</f>
        <v>0</v>
      </c>
      <c r="G12" s="43">
        <v>0</v>
      </c>
      <c r="H12" s="42">
        <v>0</v>
      </c>
      <c r="I12" s="44">
        <v>0</v>
      </c>
      <c r="J12" s="43">
        <v>0</v>
      </c>
      <c r="K12" s="45">
        <f>I12+J12</f>
        <v>0</v>
      </c>
      <c r="L12" s="46">
        <v>0</v>
      </c>
      <c r="M12" s="46">
        <v>0</v>
      </c>
      <c r="N12" s="46">
        <v>0</v>
      </c>
      <c r="O12" s="47">
        <f>Resumo!S13</f>
        <v>0</v>
      </c>
      <c r="P12" s="15">
        <f>Resumo!V13</f>
        <v>0</v>
      </c>
      <c r="Q12" s="48">
        <f>Resumo!W13</f>
        <v>5507</v>
      </c>
      <c r="R12" s="39">
        <f>Dados!S8</f>
        <v>2</v>
      </c>
      <c r="S12" s="15">
        <f>ROUND((Dados!M8*Encargos!$H$59*A12),2)</f>
        <v>506.95</v>
      </c>
      <c r="T12" s="15" t="s">
        <v>43</v>
      </c>
      <c r="U12" s="49">
        <f>SUMIF($R$11:$R$13,2,$Q$11:$Q$13)</f>
        <v>12049.55</v>
      </c>
    </row>
    <row r="13" spans="1:21" s="19" customFormat="1" ht="33" customHeight="1" x14ac:dyDescent="0.3">
      <c r="A13" s="50">
        <f>Dados!B9</f>
        <v>1</v>
      </c>
      <c r="B13" s="51" t="str">
        <f>Dados!C9</f>
        <v>Servente de Limpeza com adicional de  Insalubridade 40%</v>
      </c>
      <c r="C13" s="52">
        <f>Dados!D9</f>
        <v>200</v>
      </c>
      <c r="D13" s="53">
        <v>0</v>
      </c>
      <c r="E13" s="50" t="s">
        <v>41</v>
      </c>
      <c r="F13" s="52">
        <f>IF(E13="NÃO",0,D13*Dados!$G$33)</f>
        <v>0</v>
      </c>
      <c r="G13" s="54">
        <v>0</v>
      </c>
      <c r="H13" s="53">
        <v>0</v>
      </c>
      <c r="I13" s="55">
        <v>0</v>
      </c>
      <c r="J13" s="54">
        <v>0</v>
      </c>
      <c r="K13" s="56">
        <f>I13+J13</f>
        <v>0</v>
      </c>
      <c r="L13" s="57">
        <v>0</v>
      </c>
      <c r="M13" s="57">
        <v>0</v>
      </c>
      <c r="N13" s="58"/>
      <c r="O13" s="59">
        <f>Resumo!S14</f>
        <v>0</v>
      </c>
      <c r="P13" s="60">
        <f>Resumo!V14</f>
        <v>0</v>
      </c>
      <c r="Q13" s="61">
        <f>Resumo!W14</f>
        <v>6542.55</v>
      </c>
      <c r="R13" s="50">
        <f>Dados!S9</f>
        <v>2</v>
      </c>
      <c r="S13" s="62">
        <f>ROUND((Dados!M9*Encargos!$H$59*A13),2)</f>
        <v>707.06</v>
      </c>
      <c r="T13" s="62" t="s">
        <v>43</v>
      </c>
      <c r="U13" s="63">
        <f>SUMIF($R$11:$R$13,1,$Q$11:$Q$13)</f>
        <v>9702.4599999999991</v>
      </c>
    </row>
    <row r="14" spans="1:21" s="71" customFormat="1" ht="27" customHeight="1" x14ac:dyDescent="0.3">
      <c r="A14" s="562" t="s">
        <v>44</v>
      </c>
      <c r="B14" s="562"/>
      <c r="C14" s="562"/>
      <c r="D14" s="562"/>
      <c r="E14" s="562"/>
      <c r="F14" s="562"/>
      <c r="G14" s="562"/>
      <c r="H14" s="64">
        <f>Resumo!I15</f>
        <v>0</v>
      </c>
      <c r="I14" s="563"/>
      <c r="J14" s="563"/>
      <c r="K14" s="65">
        <f>Resumo!L15</f>
        <v>0</v>
      </c>
      <c r="L14" s="66">
        <f>Resumo!O15</f>
        <v>0</v>
      </c>
      <c r="M14" s="66">
        <f>Resumo!R15</f>
        <v>0</v>
      </c>
      <c r="N14" s="66">
        <f>Resumo!V15</f>
        <v>0</v>
      </c>
      <c r="O14" s="67">
        <f>(H14+K14+L14+M14)</f>
        <v>0</v>
      </c>
      <c r="P14" s="68">
        <f>Resumo!V15</f>
        <v>0</v>
      </c>
      <c r="Q14" s="68">
        <f>SUM(Q11:Q13)</f>
        <v>21752.01</v>
      </c>
      <c r="R14" s="69"/>
      <c r="S14" s="68">
        <f>SUM(S11:S13)</f>
        <v>2448.02</v>
      </c>
      <c r="T14" s="68"/>
      <c r="U14" s="70">
        <f>SUM(U11:U13)</f>
        <v>21752.01</v>
      </c>
    </row>
    <row r="15" spans="1:21" x14ac:dyDescent="0.3">
      <c r="A15" s="72" t="s">
        <v>45</v>
      </c>
      <c r="B15" s="17"/>
      <c r="C15" s="17"/>
      <c r="D15" s="17"/>
      <c r="E15" s="17"/>
      <c r="F15" s="17"/>
      <c r="G15" s="17"/>
      <c r="H15" s="6"/>
      <c r="I15" s="17"/>
      <c r="J15" s="17"/>
    </row>
    <row r="16" spans="1:21" x14ac:dyDescent="0.3">
      <c r="A16" s="16" t="s">
        <v>46</v>
      </c>
      <c r="B16" s="73"/>
      <c r="C16" s="73"/>
      <c r="D16" s="73"/>
      <c r="E16" s="73"/>
      <c r="F16" s="73"/>
      <c r="G16" s="73"/>
      <c r="H16" s="74"/>
      <c r="I16" s="73"/>
      <c r="J16" s="73"/>
    </row>
    <row r="17" spans="1:21" s="71" customFormat="1" ht="27" customHeight="1" x14ac:dyDescent="0.3">
      <c r="A17" s="564" t="s">
        <v>47</v>
      </c>
      <c r="B17" s="564"/>
      <c r="C17" s="1" t="s">
        <v>48</v>
      </c>
      <c r="D17" s="1" t="s">
        <v>49</v>
      </c>
      <c r="E17" s="1" t="s">
        <v>50</v>
      </c>
      <c r="F17" s="1" t="s">
        <v>51</v>
      </c>
      <c r="H17" s="75"/>
      <c r="I17" s="75"/>
      <c r="J17" s="16"/>
      <c r="K17" s="75"/>
      <c r="L17" s="75"/>
      <c r="M17" s="75"/>
      <c r="R17" s="75"/>
      <c r="S17" s="75"/>
      <c r="T17" s="75"/>
      <c r="U17" s="75"/>
    </row>
    <row r="18" spans="1:21" s="71" customFormat="1" ht="13.8" x14ac:dyDescent="0.3">
      <c r="A18" s="564"/>
      <c r="B18" s="564"/>
      <c r="C18" s="76">
        <v>220</v>
      </c>
      <c r="D18" s="76">
        <v>10</v>
      </c>
      <c r="E18" s="76">
        <v>25</v>
      </c>
      <c r="F18" s="77">
        <f>ROUND((D18/VLOOKUP(C18,$B$89:$C$95,2,FALSE())+E18/60/VLOOKUP(C18,$B$89:$C$95,2,FALSE())),2)</f>
        <v>1.18</v>
      </c>
      <c r="H18" s="75"/>
      <c r="I18" s="75"/>
      <c r="J18" s="16"/>
      <c r="K18" s="75"/>
      <c r="L18" s="75"/>
      <c r="M18" s="75"/>
      <c r="R18" s="75"/>
      <c r="S18" s="75"/>
      <c r="T18" s="75"/>
      <c r="U18" s="75"/>
    </row>
    <row r="19" spans="1:21" s="71" customFormat="1" ht="22.5" customHeight="1" x14ac:dyDescent="0.3">
      <c r="A19" s="565" t="s">
        <v>52</v>
      </c>
      <c r="B19" s="565"/>
      <c r="C19" s="565"/>
      <c r="D19" s="565"/>
      <c r="E19" s="565"/>
      <c r="F19" s="565"/>
      <c r="G19" s="17"/>
      <c r="H19" s="6"/>
      <c r="I19" s="17"/>
      <c r="J19" s="16"/>
      <c r="K19" s="75"/>
      <c r="L19" s="75"/>
      <c r="M19" s="75"/>
      <c r="R19" s="75"/>
      <c r="S19" s="75"/>
      <c r="T19" s="75"/>
      <c r="U19" s="75"/>
    </row>
    <row r="20" spans="1:21" s="71" customFormat="1" ht="22.5" customHeight="1" x14ac:dyDescent="0.3">
      <c r="A20" s="565"/>
      <c r="B20" s="565"/>
      <c r="C20" s="565"/>
      <c r="D20" s="565"/>
      <c r="E20" s="565"/>
      <c r="F20" s="565"/>
      <c r="G20" s="17"/>
      <c r="H20" s="78"/>
      <c r="I20" s="17"/>
      <c r="J20" s="16"/>
      <c r="K20" s="75"/>
      <c r="L20" s="75"/>
      <c r="M20" s="75"/>
      <c r="R20" s="75"/>
      <c r="S20" s="75"/>
      <c r="T20" s="75"/>
      <c r="U20" s="75"/>
    </row>
    <row r="21" spans="1:21" x14ac:dyDescent="0.3">
      <c r="A21" s="16" t="s">
        <v>53</v>
      </c>
      <c r="B21" s="17"/>
      <c r="C21" s="17"/>
      <c r="D21" s="17"/>
      <c r="E21" s="17"/>
      <c r="F21" s="17"/>
      <c r="G21" s="17"/>
      <c r="H21" s="6"/>
      <c r="I21" s="17"/>
      <c r="J21" s="17"/>
    </row>
    <row r="22" spans="1:21" ht="17.25" customHeight="1" x14ac:dyDescent="0.3">
      <c r="A22" s="17"/>
      <c r="B22" s="17"/>
      <c r="C22" s="17"/>
      <c r="D22" s="17"/>
      <c r="E22" s="17"/>
      <c r="F22" s="17"/>
      <c r="G22" s="17"/>
      <c r="H22" s="6"/>
      <c r="I22" s="17"/>
      <c r="J22" s="17"/>
      <c r="N22" s="79"/>
      <c r="O22" s="80"/>
      <c r="P22" s="80"/>
    </row>
    <row r="23" spans="1:21" ht="27" customHeight="1" x14ac:dyDescent="0.3">
      <c r="A23" s="566" t="s">
        <v>54</v>
      </c>
      <c r="B23" s="567" t="s">
        <v>55</v>
      </c>
      <c r="C23" s="567"/>
      <c r="D23" s="567"/>
      <c r="E23" s="567"/>
      <c r="F23" s="568" t="s">
        <v>56</v>
      </c>
      <c r="G23" s="568"/>
      <c r="H23" s="568"/>
      <c r="I23" s="569" t="s">
        <v>57</v>
      </c>
      <c r="J23" s="569"/>
      <c r="K23" s="569"/>
      <c r="L23" s="570" t="s">
        <v>58</v>
      </c>
      <c r="M23" s="570"/>
      <c r="N23" s="570"/>
      <c r="O23" s="570"/>
      <c r="U23" s="4"/>
    </row>
    <row r="24" spans="1:21" ht="39" customHeight="1" x14ac:dyDescent="0.3">
      <c r="A24" s="566"/>
      <c r="B24" s="564" t="s">
        <v>59</v>
      </c>
      <c r="C24" s="564"/>
      <c r="D24" s="564"/>
      <c r="E24" s="1" t="s">
        <v>60</v>
      </c>
      <c r="F24" s="1" t="s">
        <v>61</v>
      </c>
      <c r="G24" s="1" t="s">
        <v>62</v>
      </c>
      <c r="H24" s="84" t="s">
        <v>63</v>
      </c>
      <c r="I24" s="569"/>
      <c r="J24" s="569"/>
      <c r="K24" s="569"/>
      <c r="L24" s="81" t="s">
        <v>64</v>
      </c>
      <c r="M24" s="82" t="s">
        <v>65</v>
      </c>
      <c r="N24" s="82" t="s">
        <v>66</v>
      </c>
      <c r="O24" s="83" t="s">
        <v>67</v>
      </c>
      <c r="U24" s="17"/>
    </row>
    <row r="25" spans="1:21" ht="42.75" customHeight="1" x14ac:dyDescent="0.3">
      <c r="A25" s="85">
        <v>1</v>
      </c>
      <c r="B25" s="571" t="str">
        <f>Insumos!B8</f>
        <v>Água sanitária galão de 5 litros, composição do produto:
hipoclorito de sódio 2,5%, hidróxido de sódio e veículo,teor de cloro ativo entre 2,0 e 2,5% p/p.</v>
      </c>
      <c r="C25" s="571"/>
      <c r="D25" s="571"/>
      <c r="E25" s="15" t="str">
        <f>Insumos!C8</f>
        <v>galão</v>
      </c>
      <c r="F25" s="87" t="str">
        <f>Insumos!D8</f>
        <v>Santa Clara</v>
      </c>
      <c r="G25" s="88">
        <f t="shared" ref="G25:G57" si="0">L25</f>
        <v>2</v>
      </c>
      <c r="H25" s="89">
        <f>G25*Insumos!G8</f>
        <v>30.46</v>
      </c>
      <c r="I25" s="572" t="str">
        <f t="shared" ref="I25:I57" si="1">IF(G25&lt;L25,"Fornecimento inferior ao estimado mensalmente",IF(G25=L25,"Fornecimento igual ao estimado mensalmente",IF(G25&gt;L25,"Fornecimento superior ao estimado mensalmente",)))</f>
        <v>Fornecimento igual ao estimado mensalmente</v>
      </c>
      <c r="J25" s="572"/>
      <c r="K25" s="572"/>
      <c r="L25" s="90">
        <f t="shared" ref="L25:L57" si="2">M25/O25</f>
        <v>2</v>
      </c>
      <c r="M25" s="91">
        <f>Insumos!E8</f>
        <v>2</v>
      </c>
      <c r="N25" s="92" t="str">
        <f>Insumos!F8</f>
        <v>Mensal</v>
      </c>
      <c r="O25" s="93">
        <f t="shared" ref="O25:O57" si="3">IF(N25="MENSAL",1,IF(N25="BIMESTRAL",2,IF(N25="TRIMESTRAL",3,IF(N25="QUADRIMESTRAL",4,IF(N25="SEMESTRAL",6,IF(N25="ANUAL",12,IF(N25="BIENAL",24,"")))))))</f>
        <v>1</v>
      </c>
    </row>
    <row r="26" spans="1:21" ht="42" customHeight="1" x14ac:dyDescent="0.3">
      <c r="A26" s="94">
        <v>2</v>
      </c>
      <c r="B26" s="573" t="str">
        <f>Insumos!B9</f>
        <v>Álcool Etílico Limpeza De Ambientes - Álcool Etílico Limpeza De Ambientes Tipo: Hidratado , Aplicação: Produto Limpeza Doméstica , Características Adicionais: Incolor , Concentração: 46% - Litro</v>
      </c>
      <c r="C26" s="573"/>
      <c r="D26" s="573"/>
      <c r="E26" s="15" t="str">
        <f>Insumos!C9</f>
        <v>Unid.</v>
      </c>
      <c r="F26" s="87" t="str">
        <f>Insumos!D9</f>
        <v>Facilita</v>
      </c>
      <c r="G26" s="88">
        <f t="shared" si="0"/>
        <v>4</v>
      </c>
      <c r="H26" s="89">
        <f>G26*Insumos!G9</f>
        <v>29.52</v>
      </c>
      <c r="I26" s="572" t="str">
        <f t="shared" si="1"/>
        <v>Fornecimento igual ao estimado mensalmente</v>
      </c>
      <c r="J26" s="572"/>
      <c r="K26" s="572"/>
      <c r="L26" s="90">
        <f t="shared" si="2"/>
        <v>4</v>
      </c>
      <c r="M26" s="91">
        <f>Insumos!E9</f>
        <v>4</v>
      </c>
      <c r="N26" s="92" t="str">
        <f>Insumos!F9</f>
        <v>Mensal</v>
      </c>
      <c r="O26" s="93">
        <f t="shared" si="3"/>
        <v>1</v>
      </c>
    </row>
    <row r="27" spans="1:21" ht="66" customHeight="1" x14ac:dyDescent="0.3">
      <c r="A27" s="94">
        <v>3</v>
      </c>
      <c r="B27" s="573" t="str">
        <f>Insumos!B10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73"/>
      <c r="D27" s="573"/>
      <c r="E27" s="15" t="str">
        <f>Insumos!C10</f>
        <v>galão</v>
      </c>
      <c r="F27" s="87" t="str">
        <f>Insumos!D10</f>
        <v>Asseptgel</v>
      </c>
      <c r="G27" s="88">
        <f t="shared" si="0"/>
        <v>1</v>
      </c>
      <c r="H27" s="89">
        <f>G27*Insumos!G10</f>
        <v>57.39</v>
      </c>
      <c r="I27" s="572" t="str">
        <f t="shared" si="1"/>
        <v>Fornecimento igual ao estimado mensalmente</v>
      </c>
      <c r="J27" s="572"/>
      <c r="K27" s="572"/>
      <c r="L27" s="90">
        <f t="shared" si="2"/>
        <v>1</v>
      </c>
      <c r="M27" s="91">
        <f>Insumos!E10</f>
        <v>1</v>
      </c>
      <c r="N27" s="92" t="str">
        <f>Insumos!F10</f>
        <v>Mensal</v>
      </c>
      <c r="O27" s="93">
        <f t="shared" si="3"/>
        <v>1</v>
      </c>
    </row>
    <row r="28" spans="1:21" ht="39" customHeight="1" x14ac:dyDescent="0.3">
      <c r="A28" s="85">
        <v>4</v>
      </c>
      <c r="B28" s="573" t="str">
        <f>Insumos!B11</f>
        <v>Balde plástico, reforçado, com alça, em polipropileno, alta resistência, com capacidade para 20 litros. o produto deverá conter todos os dados de identificação e procedência do produto, o registro nos órgãos competentes, com prazo de validade.</v>
      </c>
      <c r="C28" s="573"/>
      <c r="D28" s="573"/>
      <c r="E28" s="15" t="str">
        <f>Insumos!C11</f>
        <v>Unid.</v>
      </c>
      <c r="F28" s="87">
        <f>Insumos!D11</f>
        <v>0</v>
      </c>
      <c r="G28" s="88">
        <f t="shared" si="0"/>
        <v>0.33333333333333331</v>
      </c>
      <c r="H28" s="89">
        <f>G28*Insumos!G11</f>
        <v>8.793333333333333</v>
      </c>
      <c r="I28" s="572" t="str">
        <f t="shared" si="1"/>
        <v>Fornecimento igual ao estimado mensalmente</v>
      </c>
      <c r="J28" s="572"/>
      <c r="K28" s="572"/>
      <c r="L28" s="90">
        <f t="shared" si="2"/>
        <v>0.33333333333333331</v>
      </c>
      <c r="M28" s="91">
        <f>Insumos!E11</f>
        <v>4</v>
      </c>
      <c r="N28" s="92" t="str">
        <f>Insumos!F11</f>
        <v>Anual</v>
      </c>
      <c r="O28" s="93">
        <f t="shared" si="3"/>
        <v>12</v>
      </c>
    </row>
    <row r="29" spans="1:21" ht="37.5" customHeight="1" x14ac:dyDescent="0.3">
      <c r="A29" s="94">
        <v>5</v>
      </c>
      <c r="B29" s="573" t="str">
        <f>Insumos!B12</f>
        <v>Desentupidor Pia: Tipo: Sanfonado, Com Alto Poder De Sucção. Material: Borracha Flexível, Composto Por Polipropileno E Borracha Termoplástica. Plástico Resistente, Cabo Longo, mínimo 20 CM.</v>
      </c>
      <c r="C29" s="573"/>
      <c r="D29" s="573"/>
      <c r="E29" s="15" t="str">
        <f>Insumos!C12</f>
        <v>Unid.</v>
      </c>
      <c r="F29" s="87" t="str">
        <f>Insumos!D12</f>
        <v>Oliveira e Azevedo</v>
      </c>
      <c r="G29" s="88">
        <f t="shared" si="0"/>
        <v>8.3333333333333329E-2</v>
      </c>
      <c r="H29" s="89">
        <f>G29*Insumos!G12</f>
        <v>0.86749999999999994</v>
      </c>
      <c r="I29" s="572" t="str">
        <f t="shared" si="1"/>
        <v>Fornecimento igual ao estimado mensalmente</v>
      </c>
      <c r="J29" s="572"/>
      <c r="K29" s="572"/>
      <c r="L29" s="90">
        <f t="shared" si="2"/>
        <v>8.3333333333333329E-2</v>
      </c>
      <c r="M29" s="91">
        <f>Insumos!E12</f>
        <v>1</v>
      </c>
      <c r="N29" s="92" t="str">
        <f>Insumos!F12</f>
        <v>Anual</v>
      </c>
      <c r="O29" s="93">
        <f t="shared" si="3"/>
        <v>12</v>
      </c>
    </row>
    <row r="30" spans="1:21" ht="27.75" customHeight="1" x14ac:dyDescent="0.3">
      <c r="A30" s="94">
        <v>6</v>
      </c>
      <c r="B30" s="573" t="str">
        <f>Insumos!B13</f>
        <v>Desentupidor Vaso Sanitário Material: Borracha Flexível, Comprimento Cabo: 50 CM, Altura: 10 CM, Cor: Preta , Diâmetro: 16 CM, MaterialCabo: Madeira</v>
      </c>
      <c r="C30" s="573"/>
      <c r="D30" s="573"/>
      <c r="E30" s="15" t="str">
        <f>Insumos!C13</f>
        <v>Unid.</v>
      </c>
      <c r="F30" s="87" t="str">
        <f>Insumos!D13</f>
        <v>Canada</v>
      </c>
      <c r="G30" s="88">
        <f t="shared" si="0"/>
        <v>8.3333333333333329E-2</v>
      </c>
      <c r="H30" s="89">
        <f>G30*Insumos!G13</f>
        <v>0.92333333333333334</v>
      </c>
      <c r="I30" s="572" t="str">
        <f t="shared" si="1"/>
        <v>Fornecimento igual ao estimado mensalmente</v>
      </c>
      <c r="J30" s="572"/>
      <c r="K30" s="572"/>
      <c r="L30" s="90">
        <f t="shared" si="2"/>
        <v>8.3333333333333329E-2</v>
      </c>
      <c r="M30" s="91">
        <f>Insumos!E13</f>
        <v>1</v>
      </c>
      <c r="N30" s="92" t="str">
        <f>Insumos!F13</f>
        <v>Anual</v>
      </c>
      <c r="O30" s="93">
        <f t="shared" si="3"/>
        <v>12</v>
      </c>
    </row>
    <row r="31" spans="1:21" ht="15.75" customHeight="1" x14ac:dyDescent="0.3">
      <c r="A31" s="85">
        <v>7</v>
      </c>
      <c r="B31" s="573" t="str">
        <f>Insumos!B14</f>
        <v>Desinfetante concentrado líquido. Aroma floral. Embalagem com 5 litros.</v>
      </c>
      <c r="C31" s="573"/>
      <c r="D31" s="573"/>
      <c r="E31" s="15" t="str">
        <f>Insumos!C14</f>
        <v>galão</v>
      </c>
      <c r="F31" s="87" t="str">
        <f>Insumos!D14</f>
        <v>Mirax Floral Bouquet</v>
      </c>
      <c r="G31" s="88">
        <f t="shared" si="0"/>
        <v>3</v>
      </c>
      <c r="H31" s="89">
        <f>G31*Insumos!G14</f>
        <v>134.37</v>
      </c>
      <c r="I31" s="572" t="str">
        <f t="shared" si="1"/>
        <v>Fornecimento igual ao estimado mensalmente</v>
      </c>
      <c r="J31" s="572"/>
      <c r="K31" s="572"/>
      <c r="L31" s="90">
        <f t="shared" si="2"/>
        <v>3</v>
      </c>
      <c r="M31" s="91">
        <f>Insumos!E14</f>
        <v>3</v>
      </c>
      <c r="N31" s="92" t="str">
        <f>Insumos!F14</f>
        <v>Mensal</v>
      </c>
      <c r="O31" s="93">
        <f t="shared" si="3"/>
        <v>1</v>
      </c>
    </row>
    <row r="32" spans="1:21" ht="41.25" customHeight="1" x14ac:dyDescent="0.3">
      <c r="A32" s="94">
        <v>8</v>
      </c>
      <c r="B32" s="573" t="str">
        <f>Insumos!B15</f>
        <v>Detergente clorado - detergente clorado para limpeza e desinfeção de pisos, paredes e superfícies fixas em geral. composição: hidróxido de sódio, hidróxido de sódio, alcalinizante e veículo. 05 Litros</v>
      </c>
      <c r="C32" s="573"/>
      <c r="D32" s="573"/>
      <c r="E32" s="15" t="str">
        <f>Insumos!C15</f>
        <v>galão</v>
      </c>
      <c r="F32" s="87">
        <f>Insumos!D15</f>
        <v>0</v>
      </c>
      <c r="G32" s="88">
        <f t="shared" si="0"/>
        <v>2</v>
      </c>
      <c r="H32" s="89">
        <f>G32*Insumos!G15</f>
        <v>91.8</v>
      </c>
      <c r="I32" s="572" t="str">
        <f t="shared" si="1"/>
        <v>Fornecimento igual ao estimado mensalmente</v>
      </c>
      <c r="J32" s="572"/>
      <c r="K32" s="572"/>
      <c r="L32" s="90">
        <f t="shared" si="2"/>
        <v>2</v>
      </c>
      <c r="M32" s="91">
        <f>Insumos!E15</f>
        <v>2</v>
      </c>
      <c r="N32" s="92" t="str">
        <f>Insumos!F15</f>
        <v>Mensal</v>
      </c>
      <c r="O32" s="93">
        <f t="shared" si="3"/>
        <v>1</v>
      </c>
    </row>
    <row r="33" spans="1:15" ht="53.25" customHeight="1" x14ac:dyDescent="0.3">
      <c r="A33" s="94">
        <v>9</v>
      </c>
      <c r="B33" s="573" t="str">
        <f>Insumos!B16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3" s="573"/>
      <c r="D33" s="573"/>
      <c r="E33" s="15" t="str">
        <f>Insumos!C16</f>
        <v>Unid.</v>
      </c>
      <c r="F33" s="87" t="str">
        <f>Insumos!D16</f>
        <v>Limpol</v>
      </c>
      <c r="G33" s="88">
        <f t="shared" si="0"/>
        <v>5</v>
      </c>
      <c r="H33" s="89">
        <f>G33*Insumos!G16</f>
        <v>14.950000000000001</v>
      </c>
      <c r="I33" s="572" t="str">
        <f t="shared" si="1"/>
        <v>Fornecimento igual ao estimado mensalmente</v>
      </c>
      <c r="J33" s="572"/>
      <c r="K33" s="572"/>
      <c r="L33" s="90">
        <f t="shared" si="2"/>
        <v>5</v>
      </c>
      <c r="M33" s="91">
        <f>Insumos!E16</f>
        <v>5</v>
      </c>
      <c r="N33" s="92" t="str">
        <f>Insumos!F16</f>
        <v>Mensal</v>
      </c>
      <c r="O33" s="93">
        <f t="shared" si="3"/>
        <v>1</v>
      </c>
    </row>
    <row r="34" spans="1:15" ht="27" customHeight="1" x14ac:dyDescent="0.3">
      <c r="A34" s="85">
        <v>10</v>
      </c>
      <c r="B34" s="573" t="str">
        <f>Insumos!B17</f>
        <v>Escova para lavar multiuso, oval, base plástica e cerdas de escova para lavar multiuso, oval, base plástica e cerdas de nylon.</v>
      </c>
      <c r="C34" s="573"/>
      <c r="D34" s="573"/>
      <c r="E34" s="15" t="str">
        <f>Insumos!C17</f>
        <v>Unid.</v>
      </c>
      <c r="F34" s="87" t="str">
        <f>Insumos!D17</f>
        <v>Condor</v>
      </c>
      <c r="G34" s="88">
        <f t="shared" si="0"/>
        <v>8.3333333333333329E-2</v>
      </c>
      <c r="H34" s="89">
        <f>G34*Insumos!G17</f>
        <v>0.46416666666666667</v>
      </c>
      <c r="I34" s="572" t="str">
        <f t="shared" si="1"/>
        <v>Fornecimento igual ao estimado mensalmente</v>
      </c>
      <c r="J34" s="572"/>
      <c r="K34" s="572"/>
      <c r="L34" s="90">
        <f t="shared" si="2"/>
        <v>8.3333333333333329E-2</v>
      </c>
      <c r="M34" s="91">
        <f>Insumos!E17</f>
        <v>1</v>
      </c>
      <c r="N34" s="92" t="str">
        <f>Insumos!F17</f>
        <v>Anual</v>
      </c>
      <c r="O34" s="93">
        <f t="shared" si="3"/>
        <v>12</v>
      </c>
    </row>
    <row r="35" spans="1:15" ht="39" customHeight="1" x14ac:dyDescent="0.3">
      <c r="A35" s="94">
        <v>11</v>
      </c>
      <c r="B35" s="573" t="str">
        <f>Insumos!B18</f>
        <v>Esponja Para Lavagem De Louças E Limpeza Em Geral, Dupla Face Sintética, Um Lado Em Espuma Poliuretano E Outro Em Fibra Sintética Abrasiva, Antibacteriana, Formato Retangular, Medindo Aproximadamente 110mm X 75mm X 20mm De Espessura. Pacote com 4 unidades.</v>
      </c>
      <c r="C35" s="573"/>
      <c r="D35" s="573"/>
      <c r="E35" s="15" t="str">
        <f>Insumos!C18</f>
        <v>pacote</v>
      </c>
      <c r="F35" s="87" t="str">
        <f>Insumos!D18</f>
        <v>Scotch-Brite</v>
      </c>
      <c r="G35" s="88">
        <f t="shared" si="0"/>
        <v>6</v>
      </c>
      <c r="H35" s="89">
        <f>G35*Insumos!G18</f>
        <v>38.400000000000006</v>
      </c>
      <c r="I35" s="572" t="str">
        <f t="shared" si="1"/>
        <v>Fornecimento igual ao estimado mensalmente</v>
      </c>
      <c r="J35" s="572"/>
      <c r="K35" s="572"/>
      <c r="L35" s="90">
        <f t="shared" si="2"/>
        <v>6</v>
      </c>
      <c r="M35" s="91">
        <f>Insumos!E18</f>
        <v>6</v>
      </c>
      <c r="N35" s="92" t="str">
        <f>Insumos!F18</f>
        <v>Mensal</v>
      </c>
      <c r="O35" s="93">
        <f t="shared" si="3"/>
        <v>1</v>
      </c>
    </row>
    <row r="36" spans="1:15" ht="53.25" customHeight="1" x14ac:dyDescent="0.3">
      <c r="A36" s="94">
        <v>12</v>
      </c>
      <c r="B36" s="573" t="str">
        <f>Insumos!B19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6" s="573"/>
      <c r="D36" s="573"/>
      <c r="E36" s="15" t="str">
        <f>Insumos!C19</f>
        <v>Unid.</v>
      </c>
      <c r="F36" s="87" t="str">
        <f>Insumos!D19</f>
        <v>Intextil</v>
      </c>
      <c r="G36" s="88">
        <f t="shared" si="0"/>
        <v>3</v>
      </c>
      <c r="H36" s="89">
        <f>G36*Insumos!G19</f>
        <v>12.84</v>
      </c>
      <c r="I36" s="572" t="str">
        <f t="shared" si="1"/>
        <v>Fornecimento igual ao estimado mensalmente</v>
      </c>
      <c r="J36" s="572"/>
      <c r="K36" s="572"/>
      <c r="L36" s="90">
        <f t="shared" si="2"/>
        <v>3</v>
      </c>
      <c r="M36" s="91">
        <f>Insumos!E19</f>
        <v>3</v>
      </c>
      <c r="N36" s="92" t="str">
        <f>Insumos!F19</f>
        <v>Mensal</v>
      </c>
      <c r="O36" s="93">
        <f t="shared" si="3"/>
        <v>1</v>
      </c>
    </row>
    <row r="37" spans="1:15" ht="39" customHeight="1" x14ac:dyDescent="0.3">
      <c r="A37" s="85">
        <v>13</v>
      </c>
      <c r="B37" s="573" t="str">
        <f>Insumos!B20</f>
        <v>Esponja de LÃ DE AÇO, composição básica: aço carbono abrasivo, p/ limpeza em geral, acondicionada em embalagem plástica original do fabricante, peso líquido aproximado de 60g, pacote c/ 08 unidades</v>
      </c>
      <c r="C37" s="573"/>
      <c r="D37" s="573"/>
      <c r="E37" s="15" t="str">
        <f>Insumos!C20</f>
        <v>pacote</v>
      </c>
      <c r="F37" s="87" t="str">
        <f>Insumos!D20</f>
        <v>Bombril</v>
      </c>
      <c r="G37" s="88">
        <f t="shared" si="0"/>
        <v>2</v>
      </c>
      <c r="H37" s="89">
        <f>G37*Insumos!G20</f>
        <v>5.88</v>
      </c>
      <c r="I37" s="572" t="str">
        <f t="shared" si="1"/>
        <v>Fornecimento igual ao estimado mensalmente</v>
      </c>
      <c r="J37" s="572"/>
      <c r="K37" s="572"/>
      <c r="L37" s="90">
        <f t="shared" si="2"/>
        <v>2</v>
      </c>
      <c r="M37" s="91">
        <f>Insumos!E20</f>
        <v>2</v>
      </c>
      <c r="N37" s="92" t="str">
        <f>Insumos!F20</f>
        <v>Mensal</v>
      </c>
      <c r="O37" s="93">
        <f t="shared" si="3"/>
        <v>1</v>
      </c>
    </row>
    <row r="38" spans="1:15" x14ac:dyDescent="0.3">
      <c r="A38" s="94">
        <v>14</v>
      </c>
      <c r="B38" s="573" t="str">
        <f>Insumos!B21</f>
        <v>Limpa vidro 500ml (Veja ou similar)</v>
      </c>
      <c r="C38" s="573"/>
      <c r="D38" s="573"/>
      <c r="E38" s="15" t="str">
        <f>Insumos!C21</f>
        <v>Unid.</v>
      </c>
      <c r="F38" s="87" t="str">
        <f>Insumos!D21</f>
        <v>Veja</v>
      </c>
      <c r="G38" s="88">
        <f t="shared" si="0"/>
        <v>2</v>
      </c>
      <c r="H38" s="89">
        <f>G38*Insumos!G21</f>
        <v>19.8</v>
      </c>
      <c r="I38" s="572" t="str">
        <f t="shared" si="1"/>
        <v>Fornecimento igual ao estimado mensalmente</v>
      </c>
      <c r="J38" s="572"/>
      <c r="K38" s="572"/>
      <c r="L38" s="90">
        <f t="shared" si="2"/>
        <v>2</v>
      </c>
      <c r="M38" s="91">
        <f>Insumos!E21</f>
        <v>2</v>
      </c>
      <c r="N38" s="92" t="str">
        <f>Insumos!F21</f>
        <v>Mensal</v>
      </c>
      <c r="O38" s="93">
        <f t="shared" si="3"/>
        <v>1</v>
      </c>
    </row>
    <row r="39" spans="1:15" ht="53.25" customHeight="1" x14ac:dyDescent="0.3">
      <c r="A39" s="94">
        <v>15</v>
      </c>
      <c r="B39" s="573" t="str">
        <f>Insumos!B22</f>
        <v>Luva Segurança Com Forro. Material: 100% Látex Nitrílico , Tamanho: M ou G ,Aplicação: Manuseio Reagente Químico E Radioativo , Características Adicionais: Com Forro, Sem Talco, Pulso Com Bainha , Modelo: Palma Antiderrapante, Cor: Verde, Tipo: Ambidestra</v>
      </c>
      <c r="C39" s="573"/>
      <c r="D39" s="573"/>
      <c r="E39" s="15" t="str">
        <f>Insumos!C22</f>
        <v>Par</v>
      </c>
      <c r="F39" s="87" t="str">
        <f>Insumos!D22</f>
        <v>Bettanin</v>
      </c>
      <c r="G39" s="88">
        <f t="shared" si="0"/>
        <v>4</v>
      </c>
      <c r="H39" s="89">
        <f>G39*Insumos!G22</f>
        <v>53.52</v>
      </c>
      <c r="I39" s="572" t="str">
        <f t="shared" si="1"/>
        <v>Fornecimento igual ao estimado mensalmente</v>
      </c>
      <c r="J39" s="572"/>
      <c r="K39" s="572"/>
      <c r="L39" s="90">
        <f t="shared" si="2"/>
        <v>4</v>
      </c>
      <c r="M39" s="91">
        <f>Insumos!E22</f>
        <v>4</v>
      </c>
      <c r="N39" s="92" t="str">
        <f>Insumos!F22</f>
        <v>Mensal</v>
      </c>
      <c r="O39" s="93">
        <f t="shared" si="3"/>
        <v>1</v>
      </c>
    </row>
    <row r="40" spans="1:15" ht="27" customHeight="1" x14ac:dyDescent="0.3">
      <c r="A40" s="85">
        <v>16</v>
      </c>
      <c r="B40" s="573" t="str">
        <f>Insumos!B23</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40" s="573"/>
      <c r="D40" s="573"/>
      <c r="E40" s="15" t="str">
        <f>Insumos!C23</f>
        <v>Unid.</v>
      </c>
      <c r="F40" s="87" t="str">
        <f>Insumos!D23</f>
        <v>Veja</v>
      </c>
      <c r="G40" s="88">
        <f t="shared" si="0"/>
        <v>15</v>
      </c>
      <c r="H40" s="89">
        <f>G40*Insumos!G23</f>
        <v>76.2</v>
      </c>
      <c r="I40" s="572" t="str">
        <f t="shared" si="1"/>
        <v>Fornecimento igual ao estimado mensalmente</v>
      </c>
      <c r="J40" s="572"/>
      <c r="K40" s="572"/>
      <c r="L40" s="90">
        <f t="shared" si="2"/>
        <v>15</v>
      </c>
      <c r="M40" s="91">
        <f>Insumos!E23</f>
        <v>15</v>
      </c>
      <c r="N40" s="92" t="str">
        <f>Insumos!F23</f>
        <v>Mensal</v>
      </c>
      <c r="O40" s="93">
        <f t="shared" si="3"/>
        <v>1</v>
      </c>
    </row>
    <row r="41" spans="1:15" x14ac:dyDescent="0.3">
      <c r="A41" s="94">
        <v>17</v>
      </c>
      <c r="B41" s="573" t="str">
        <f>Insumos!B24</f>
        <v>Pá p/ lixo em plástico resistente c/ cabo de madeira de 60cm de altura na vertical.</v>
      </c>
      <c r="C41" s="573"/>
      <c r="D41" s="573"/>
      <c r="E41" s="15" t="str">
        <f>Insumos!C24</f>
        <v>Unid.</v>
      </c>
      <c r="F41" s="87" t="str">
        <f>Insumos!D24</f>
        <v>Bettanin</v>
      </c>
      <c r="G41" s="88">
        <f t="shared" si="0"/>
        <v>8.3333333333333329E-2</v>
      </c>
      <c r="H41" s="89">
        <f>G41*Insumos!G24</f>
        <v>1.0908333333333333</v>
      </c>
      <c r="I41" s="572" t="str">
        <f t="shared" si="1"/>
        <v>Fornecimento igual ao estimado mensalmente</v>
      </c>
      <c r="J41" s="572"/>
      <c r="K41" s="572"/>
      <c r="L41" s="90">
        <f t="shared" si="2"/>
        <v>8.3333333333333329E-2</v>
      </c>
      <c r="M41" s="91">
        <f>Insumos!E24</f>
        <v>1</v>
      </c>
      <c r="N41" s="92" t="str">
        <f>Insumos!F24</f>
        <v>Anual</v>
      </c>
      <c r="O41" s="93">
        <f t="shared" si="3"/>
        <v>12</v>
      </c>
    </row>
    <row r="42" spans="1:15" x14ac:dyDescent="0.3">
      <c r="A42" s="94">
        <v>18</v>
      </c>
      <c r="B42" s="573" t="str">
        <f>Insumos!B25</f>
        <v>Pano de copa aberto 100% dimensões mínimas 40x60cm</v>
      </c>
      <c r="C42" s="573"/>
      <c r="D42" s="573"/>
      <c r="E42" s="15" t="str">
        <f>Insumos!C25</f>
        <v>Unid.</v>
      </c>
      <c r="F42" s="87" t="str">
        <f>Insumos!D25</f>
        <v>Karsten</v>
      </c>
      <c r="G42" s="88">
        <f t="shared" si="0"/>
        <v>4</v>
      </c>
      <c r="H42" s="89">
        <f>G42*Insumos!G25</f>
        <v>40</v>
      </c>
      <c r="I42" s="572" t="str">
        <f t="shared" si="1"/>
        <v>Fornecimento igual ao estimado mensalmente</v>
      </c>
      <c r="J42" s="572"/>
      <c r="K42" s="572"/>
      <c r="L42" s="90">
        <f t="shared" si="2"/>
        <v>4</v>
      </c>
      <c r="M42" s="91">
        <f>Insumos!E25</f>
        <v>4</v>
      </c>
      <c r="N42" s="92" t="str">
        <f>Insumos!F25</f>
        <v>Mensal</v>
      </c>
      <c r="O42" s="93">
        <f t="shared" si="3"/>
        <v>1</v>
      </c>
    </row>
    <row r="43" spans="1:15" ht="42" customHeight="1" x14ac:dyDescent="0.3">
      <c r="A43" s="85">
        <v>19</v>
      </c>
      <c r="B43" s="573" t="str">
        <f>Insumos!B26</f>
        <v>Papel higiênico branco, folha dupla, de alta qualidade, com dimensões 10cm X 30m, com a marca do fabricante e indicação na embalagem, absorvente e resistente, fardo com 12 rolos de 30 metros. Tipo Neve ou de melhor qualidade.</v>
      </c>
      <c r="C43" s="573"/>
      <c r="D43" s="573"/>
      <c r="E43" s="15" t="str">
        <f>Insumos!C26</f>
        <v>Fardo com 12 rolos</v>
      </c>
      <c r="F43" s="87" t="str">
        <f>Insumos!D26</f>
        <v>Neve</v>
      </c>
      <c r="G43" s="88">
        <f t="shared" si="0"/>
        <v>10</v>
      </c>
      <c r="H43" s="89">
        <f>G43*Insumos!G26</f>
        <v>161.1</v>
      </c>
      <c r="I43" s="572" t="str">
        <f t="shared" si="1"/>
        <v>Fornecimento igual ao estimado mensalmente</v>
      </c>
      <c r="J43" s="572"/>
      <c r="K43" s="572"/>
      <c r="L43" s="90">
        <f t="shared" si="2"/>
        <v>10</v>
      </c>
      <c r="M43" s="91">
        <f>Insumos!E26</f>
        <v>10</v>
      </c>
      <c r="N43" s="92" t="str">
        <f>Insumos!F26</f>
        <v>Mensal</v>
      </c>
      <c r="O43" s="93">
        <f t="shared" si="3"/>
        <v>1</v>
      </c>
    </row>
    <row r="44" spans="1:15" ht="42" customHeight="1" x14ac:dyDescent="0.3">
      <c r="A44" s="94">
        <v>20</v>
      </c>
      <c r="B44" s="573" t="str">
        <f>Insumos!B27</f>
        <v>Papel Toalha Interfolhado, 2 dobras, 100% fibras celulósicas, branco extra luxo, sem pintas ou outros tipos de sujidades, boa qualidade , medindo aproximadamente 23cm x 23 cm , acondicionado em caixa c/1000 folhas.</v>
      </c>
      <c r="C44" s="573"/>
      <c r="D44" s="573"/>
      <c r="E44" s="15" t="str">
        <f>Insumos!C27</f>
        <v>pacote</v>
      </c>
      <c r="F44" s="87" t="str">
        <f>Insumos!D27</f>
        <v>Economy (Jofel) ou similar</v>
      </c>
      <c r="G44" s="88">
        <f t="shared" si="0"/>
        <v>25</v>
      </c>
      <c r="H44" s="89">
        <f>G44*Insumos!G27</f>
        <v>572.25</v>
      </c>
      <c r="I44" s="572" t="str">
        <f t="shared" si="1"/>
        <v>Fornecimento igual ao estimado mensalmente</v>
      </c>
      <c r="J44" s="572"/>
      <c r="K44" s="572"/>
      <c r="L44" s="90">
        <f t="shared" si="2"/>
        <v>25</v>
      </c>
      <c r="M44" s="91">
        <f>Insumos!E27</f>
        <v>25</v>
      </c>
      <c r="N44" s="92" t="str">
        <f>Insumos!F27</f>
        <v>Mensal</v>
      </c>
      <c r="O44" s="93">
        <f t="shared" si="3"/>
        <v>1</v>
      </c>
    </row>
    <row r="45" spans="1:15" ht="27" customHeight="1" x14ac:dyDescent="0.3">
      <c r="A45" s="94">
        <v>21</v>
      </c>
      <c r="B45" s="573" t="str">
        <f>Insumos!B28</f>
        <v>Pedra sanitária c/ 25g - com suporte para fixar no vaso sanitário. Desinfetante sanitário em pedra 25 g</v>
      </c>
      <c r="C45" s="573"/>
      <c r="D45" s="573"/>
      <c r="E45" s="15" t="str">
        <f>Insumos!C28</f>
        <v>Unid.</v>
      </c>
      <c r="F45" s="87" t="str">
        <f>Insumos!D28</f>
        <v>Harpic, Pato</v>
      </c>
      <c r="G45" s="88">
        <f t="shared" si="0"/>
        <v>30</v>
      </c>
      <c r="H45" s="89">
        <f>G45*Insumos!G28</f>
        <v>72.300000000000011</v>
      </c>
      <c r="I45" s="572" t="str">
        <f t="shared" si="1"/>
        <v>Fornecimento igual ao estimado mensalmente</v>
      </c>
      <c r="J45" s="572"/>
      <c r="K45" s="572"/>
      <c r="L45" s="90">
        <f t="shared" si="2"/>
        <v>30</v>
      </c>
      <c r="M45" s="91">
        <f>Insumos!E28</f>
        <v>30</v>
      </c>
      <c r="N45" s="92" t="str">
        <f>Insumos!F28</f>
        <v>Mensal</v>
      </c>
      <c r="O45" s="93">
        <f t="shared" si="3"/>
        <v>1</v>
      </c>
    </row>
    <row r="46" spans="1:15" ht="39.75" customHeight="1" x14ac:dyDescent="0.3">
      <c r="A46" s="85">
        <v>22</v>
      </c>
      <c r="B46" s="573" t="str">
        <f>Insumos!B29</f>
        <v>Rodo Plástico e borracha dupla expandida de 60cm, resistente e durável, que puxa e seca a água, feita em EVA e cepo em polipropileno com garras pontiagudas nas laterais para melhor fixar panos de chão.</v>
      </c>
      <c r="C46" s="573"/>
      <c r="D46" s="573"/>
      <c r="E46" s="15" t="str">
        <f>Insumos!C29</f>
        <v>Unid.</v>
      </c>
      <c r="F46" s="87" t="str">
        <f>Insumos!D29</f>
        <v>Brubalar</v>
      </c>
      <c r="G46" s="88">
        <f t="shared" si="0"/>
        <v>0.5</v>
      </c>
      <c r="H46" s="89">
        <f>G46*Insumos!G29</f>
        <v>12.835000000000001</v>
      </c>
      <c r="I46" s="572" t="str">
        <f t="shared" si="1"/>
        <v>Fornecimento igual ao estimado mensalmente</v>
      </c>
      <c r="J46" s="572"/>
      <c r="K46" s="572"/>
      <c r="L46" s="90">
        <f t="shared" si="2"/>
        <v>0.5</v>
      </c>
      <c r="M46" s="91">
        <f>Insumos!E29</f>
        <v>6</v>
      </c>
      <c r="N46" s="92" t="str">
        <f>Insumos!F29</f>
        <v>Anual</v>
      </c>
      <c r="O46" s="93">
        <f t="shared" si="3"/>
        <v>12</v>
      </c>
    </row>
    <row r="47" spans="1:15" x14ac:dyDescent="0.3">
      <c r="A47" s="94">
        <v>23</v>
      </c>
      <c r="B47" s="573" t="str">
        <f>Insumos!B30</f>
        <v>Sabão em barra glicerinado - cor neutra. Pacote com 5 de 200g cada unidade.</v>
      </c>
      <c r="C47" s="573"/>
      <c r="D47" s="573"/>
      <c r="E47" s="15" t="str">
        <f>Insumos!C30</f>
        <v>pacote</v>
      </c>
      <c r="F47" s="87" t="str">
        <f>Insumos!D30</f>
        <v>Minuano</v>
      </c>
      <c r="G47" s="88">
        <f t="shared" si="0"/>
        <v>0.5</v>
      </c>
      <c r="H47" s="89">
        <f>G47*Insumos!G30</f>
        <v>6</v>
      </c>
      <c r="I47" s="572" t="str">
        <f t="shared" si="1"/>
        <v>Fornecimento igual ao estimado mensalmente</v>
      </c>
      <c r="J47" s="572"/>
      <c r="K47" s="572"/>
      <c r="L47" s="90">
        <f t="shared" si="2"/>
        <v>0.5</v>
      </c>
      <c r="M47" s="91">
        <f>Insumos!E30</f>
        <v>1</v>
      </c>
      <c r="N47" s="92" t="str">
        <f>Insumos!F30</f>
        <v>Bimestral</v>
      </c>
      <c r="O47" s="93">
        <f t="shared" si="3"/>
        <v>2</v>
      </c>
    </row>
    <row r="48" spans="1:15" ht="54.75" customHeight="1" x14ac:dyDescent="0.3">
      <c r="A48" s="94">
        <v>24</v>
      </c>
      <c r="B48" s="573" t="str">
        <f>Insumos!B31</f>
        <v>Sabão em Pó – Caixa de 0,8 a 1Kg. Sabão em pó, convencional, de primeira linha. Para lavar roupas e limpeza em geral.</v>
      </c>
      <c r="C48" s="573"/>
      <c r="D48" s="573"/>
      <c r="E48" s="15" t="str">
        <f>Insumos!C31</f>
        <v>cx.</v>
      </c>
      <c r="F48" s="87" t="str">
        <f>Insumos!D31</f>
        <v>Omo ou similar</v>
      </c>
      <c r="G48" s="88">
        <f t="shared" si="0"/>
        <v>2</v>
      </c>
      <c r="H48" s="89">
        <f>G48*Insumos!G31</f>
        <v>31.2</v>
      </c>
      <c r="I48" s="572" t="str">
        <f t="shared" si="1"/>
        <v>Fornecimento igual ao estimado mensalmente</v>
      </c>
      <c r="J48" s="572"/>
      <c r="K48" s="572"/>
      <c r="L48" s="90">
        <f t="shared" si="2"/>
        <v>2</v>
      </c>
      <c r="M48" s="91">
        <f>Insumos!E31</f>
        <v>2</v>
      </c>
      <c r="N48" s="92" t="str">
        <f>Insumos!F31</f>
        <v>Mensal</v>
      </c>
      <c r="O48" s="93">
        <f t="shared" si="3"/>
        <v>1</v>
      </c>
    </row>
    <row r="49" spans="1:21" ht="27" customHeight="1" x14ac:dyDescent="0.3">
      <c r="A49" s="85">
        <v>25</v>
      </c>
      <c r="B49" s="573" t="str">
        <f>Insumos!B32</f>
        <v>Sabonete líquido Concentrado, cremoso perolizado, pronto pra uso, aroma erva-doce, lavanda ou similar, galão de 05 litros.</v>
      </c>
      <c r="C49" s="573"/>
      <c r="D49" s="573"/>
      <c r="E49" s="15" t="str">
        <f>Insumos!C32</f>
        <v>galão</v>
      </c>
      <c r="F49" s="87" t="str">
        <f>Insumos!D32</f>
        <v>Nobre, Start, Ikebana</v>
      </c>
      <c r="G49" s="88">
        <f t="shared" si="0"/>
        <v>2</v>
      </c>
      <c r="H49" s="89">
        <f>G49*Insumos!G32</f>
        <v>47.52</v>
      </c>
      <c r="I49" s="572" t="str">
        <f t="shared" si="1"/>
        <v>Fornecimento igual ao estimado mensalmente</v>
      </c>
      <c r="J49" s="572"/>
      <c r="K49" s="572"/>
      <c r="L49" s="90">
        <f t="shared" si="2"/>
        <v>2</v>
      </c>
      <c r="M49" s="91">
        <f>Insumos!E32</f>
        <v>2</v>
      </c>
      <c r="N49" s="92" t="str">
        <f>Insumos!F32</f>
        <v>Mensal</v>
      </c>
      <c r="O49" s="93">
        <f t="shared" si="3"/>
        <v>1</v>
      </c>
    </row>
    <row r="50" spans="1:21" ht="27" customHeight="1" x14ac:dyDescent="0.3">
      <c r="A50" s="94">
        <v>26</v>
      </c>
      <c r="B50" s="573" t="str">
        <f>Insumos!B33</f>
        <v>Saco de Algodão Tipo: Alvejado, Tamanho: 60 X 80 CM, Cor: Branco, Características Adicionais: Dupla Face</v>
      </c>
      <c r="C50" s="573"/>
      <c r="D50" s="573"/>
      <c r="E50" s="15" t="str">
        <f>Insumos!C33</f>
        <v>Unid.</v>
      </c>
      <c r="F50" s="87" t="str">
        <f>Insumos!D33</f>
        <v>Santa Margarida</v>
      </c>
      <c r="G50" s="88">
        <f t="shared" si="0"/>
        <v>8</v>
      </c>
      <c r="H50" s="89">
        <f>G50*Insumos!G33</f>
        <v>65.84</v>
      </c>
      <c r="I50" s="572" t="str">
        <f t="shared" si="1"/>
        <v>Fornecimento igual ao estimado mensalmente</v>
      </c>
      <c r="J50" s="572"/>
      <c r="K50" s="572"/>
      <c r="L50" s="90">
        <f t="shared" si="2"/>
        <v>8</v>
      </c>
      <c r="M50" s="91">
        <f>Insumos!E33</f>
        <v>16</v>
      </c>
      <c r="N50" s="92" t="str">
        <f>Insumos!F33</f>
        <v>Bimestral</v>
      </c>
      <c r="O50" s="93">
        <f t="shared" si="3"/>
        <v>2</v>
      </c>
    </row>
    <row r="51" spans="1:21" ht="40.5" customHeight="1" x14ac:dyDescent="0.3">
      <c r="A51" s="94">
        <v>27</v>
      </c>
      <c r="B51" s="573" t="str">
        <f>Insumos!B34</f>
        <v>Saco de lixo 20 litros, reforçado, capacidade nominal de 20 litros, cor preta, medindo no minimo 50cm x60cm, com espessura mínima de 7,0micras, embalagem contendo 100 unidades.</v>
      </c>
      <c r="C51" s="573"/>
      <c r="D51" s="573"/>
      <c r="E51" s="15" t="str">
        <f>Insumos!C34</f>
        <v>pacote</v>
      </c>
      <c r="F51" s="87" t="str">
        <f>Insumos!D34</f>
        <v>Polisac</v>
      </c>
      <c r="G51" s="88">
        <f t="shared" si="0"/>
        <v>2</v>
      </c>
      <c r="H51" s="89">
        <f>G51*Insumos!G34</f>
        <v>32.979999999999997</v>
      </c>
      <c r="I51" s="572" t="str">
        <f t="shared" si="1"/>
        <v>Fornecimento igual ao estimado mensalmente</v>
      </c>
      <c r="J51" s="572"/>
      <c r="K51" s="572"/>
      <c r="L51" s="90">
        <f t="shared" si="2"/>
        <v>2</v>
      </c>
      <c r="M51" s="91">
        <f>Insumos!E34</f>
        <v>2</v>
      </c>
      <c r="N51" s="92" t="str">
        <f>Insumos!F34</f>
        <v>Mensal</v>
      </c>
      <c r="O51" s="93">
        <f t="shared" si="3"/>
        <v>1</v>
      </c>
    </row>
    <row r="52" spans="1:21" ht="42" customHeight="1" x14ac:dyDescent="0.3">
      <c r="A52" s="85">
        <v>28</v>
      </c>
      <c r="B52" s="573" t="str">
        <f>Insumos!B35</f>
        <v>Saco plástico reforçado para lixo em polietileno, com capacidade de 100 litros, com estanqueidade suficiente para que não haja vazamento de lixo líquido. com espessura mínima de 10 micra, na cor preta. Pacote com 100 unidades.</v>
      </c>
      <c r="C52" s="573"/>
      <c r="D52" s="573"/>
      <c r="E52" s="15" t="str">
        <f>Insumos!C35</f>
        <v>pacote</v>
      </c>
      <c r="F52" s="87" t="str">
        <f>Insumos!D35</f>
        <v>Polisac</v>
      </c>
      <c r="G52" s="88">
        <f t="shared" si="0"/>
        <v>1</v>
      </c>
      <c r="H52" s="89">
        <f>G52*Insumos!G35</f>
        <v>60.16</v>
      </c>
      <c r="I52" s="572" t="str">
        <f t="shared" si="1"/>
        <v>Fornecimento igual ao estimado mensalmente</v>
      </c>
      <c r="J52" s="572"/>
      <c r="K52" s="572"/>
      <c r="L52" s="90">
        <f t="shared" si="2"/>
        <v>1</v>
      </c>
      <c r="M52" s="91">
        <f>Insumos!E35</f>
        <v>1</v>
      </c>
      <c r="N52" s="92" t="str">
        <f>Insumos!F35</f>
        <v>Mensal</v>
      </c>
      <c r="O52" s="93">
        <f t="shared" si="3"/>
        <v>1</v>
      </c>
    </row>
    <row r="53" spans="1:21" ht="27" customHeight="1" x14ac:dyDescent="0.3">
      <c r="A53" s="94">
        <v>29</v>
      </c>
      <c r="B53" s="573" t="str">
        <f>Insumos!B36</f>
        <v>Vassoura Material Cerdas: Pêlo Sintético, Comprimento Cepa: 60 CM, Tipo Cabo: Reforçado, Material Cabo: Madeira</v>
      </c>
      <c r="C53" s="573"/>
      <c r="D53" s="573"/>
      <c r="E53" s="15" t="str">
        <f>Insumos!C36</f>
        <v>Unid.</v>
      </c>
      <c r="F53" s="87" t="str">
        <f>Insumos!D36</f>
        <v>Brubalar</v>
      </c>
      <c r="G53" s="88">
        <f t="shared" si="0"/>
        <v>8.3333333333333329E-2</v>
      </c>
      <c r="H53" s="89">
        <f>G53*Insumos!G36</f>
        <v>1.5183333333333331</v>
      </c>
      <c r="I53" s="572" t="str">
        <f t="shared" si="1"/>
        <v>Fornecimento igual ao estimado mensalmente</v>
      </c>
      <c r="J53" s="572"/>
      <c r="K53" s="572"/>
      <c r="L53" s="90">
        <f t="shared" si="2"/>
        <v>8.3333333333333329E-2</v>
      </c>
      <c r="M53" s="91">
        <f>Insumos!E36</f>
        <v>1</v>
      </c>
      <c r="N53" s="92" t="str">
        <f>Insumos!F36</f>
        <v>Anual</v>
      </c>
      <c r="O53" s="93">
        <f t="shared" si="3"/>
        <v>12</v>
      </c>
    </row>
    <row r="54" spans="1:21" ht="42" customHeight="1" x14ac:dyDescent="0.3">
      <c r="A54" s="94">
        <v>30</v>
      </c>
      <c r="B54" s="573" t="str">
        <f>Insumos!B37</f>
        <v>Vassoura Material Cerdas: Piaçava, Aplicação: Limpeza, Material Cepa: Madeira, Comprimento Cepa: 40 CM, Comprimento Cerdas: 13 CM, Largura Cepa: 5 CM, Altura Cepa: 4 CM, Material Cabo: Madeira</v>
      </c>
      <c r="C54" s="573"/>
      <c r="D54" s="573"/>
      <c r="E54" s="15" t="str">
        <f>Insumos!C37</f>
        <v>Unid.</v>
      </c>
      <c r="F54" s="87" t="str">
        <f>Insumos!D37</f>
        <v>Noviça</v>
      </c>
      <c r="G54" s="88">
        <f t="shared" si="0"/>
        <v>0.16666666666666666</v>
      </c>
      <c r="H54" s="89">
        <f>G54*Insumos!G37</f>
        <v>3.0166666666666666</v>
      </c>
      <c r="I54" s="572" t="str">
        <f t="shared" si="1"/>
        <v>Fornecimento igual ao estimado mensalmente</v>
      </c>
      <c r="J54" s="572"/>
      <c r="K54" s="572"/>
      <c r="L54" s="90">
        <f t="shared" si="2"/>
        <v>0.16666666666666666</v>
      </c>
      <c r="M54" s="91">
        <f>Insumos!E37</f>
        <v>2</v>
      </c>
      <c r="N54" s="92" t="str">
        <f>Insumos!F37</f>
        <v>Anual</v>
      </c>
      <c r="O54" s="93">
        <f t="shared" si="3"/>
        <v>12</v>
      </c>
    </row>
    <row r="55" spans="1:21" ht="27" customHeight="1" x14ac:dyDescent="0.3">
      <c r="A55" s="85">
        <v>31</v>
      </c>
      <c r="B55" s="573" t="str">
        <f>Insumos!B38</f>
        <v>Escova Sanitária Redonda em plástico Branco contendo 01 escova para vaso sanitário e 01 suporte redondo: Branco Tamanho: 14 x 42 cm</v>
      </c>
      <c r="C55" s="573"/>
      <c r="D55" s="573"/>
      <c r="E55" s="15" t="str">
        <f>Insumos!C38</f>
        <v>Unid.</v>
      </c>
      <c r="F55" s="87" t="str">
        <f>Insumos!D38</f>
        <v>Limpamania</v>
      </c>
      <c r="G55" s="88">
        <f t="shared" si="0"/>
        <v>0.5</v>
      </c>
      <c r="H55" s="89">
        <f>G55*Insumos!G38</f>
        <v>8.0549999999999997</v>
      </c>
      <c r="I55" s="572" t="str">
        <f t="shared" si="1"/>
        <v>Fornecimento igual ao estimado mensalmente</v>
      </c>
      <c r="J55" s="572"/>
      <c r="K55" s="572"/>
      <c r="L55" s="90">
        <f t="shared" si="2"/>
        <v>0.5</v>
      </c>
      <c r="M55" s="91">
        <f>Insumos!E38</f>
        <v>1</v>
      </c>
      <c r="N55" s="92" t="str">
        <f>Insumos!F38</f>
        <v>Bimestral</v>
      </c>
      <c r="O55" s="93">
        <f t="shared" si="3"/>
        <v>2</v>
      </c>
    </row>
    <row r="56" spans="1:21" x14ac:dyDescent="0.3">
      <c r="A56" s="94">
        <v>32</v>
      </c>
      <c r="B56" s="573" t="str">
        <f>Insumos!B39</f>
        <v>Rodo limpa vidros com cabo extensor</v>
      </c>
      <c r="C56" s="573"/>
      <c r="D56" s="573"/>
      <c r="E56" s="15" t="str">
        <f>Insumos!C39</f>
        <v>Unid.</v>
      </c>
      <c r="F56" s="87">
        <f>Insumos!D39</f>
        <v>0</v>
      </c>
      <c r="G56" s="88">
        <f t="shared" si="0"/>
        <v>0.33333333333333331</v>
      </c>
      <c r="H56" s="89">
        <f>G56*Insumos!G39</f>
        <v>10.633333333333333</v>
      </c>
      <c r="I56" s="572" t="str">
        <f t="shared" si="1"/>
        <v>Fornecimento igual ao estimado mensalmente</v>
      </c>
      <c r="J56" s="572"/>
      <c r="K56" s="572"/>
      <c r="L56" s="90">
        <f t="shared" si="2"/>
        <v>0.33333333333333331</v>
      </c>
      <c r="M56" s="91">
        <f>Insumos!E39</f>
        <v>4</v>
      </c>
      <c r="N56" s="92" t="str">
        <f>Insumos!F39</f>
        <v>Anual</v>
      </c>
      <c r="O56" s="93">
        <f t="shared" si="3"/>
        <v>12</v>
      </c>
    </row>
    <row r="57" spans="1:21" ht="27" customHeight="1" x14ac:dyDescent="0.3">
      <c r="A57" s="94">
        <v>33</v>
      </c>
      <c r="B57" s="573" t="str">
        <f>Insumos!B40</f>
        <v>Mangueira para jardim, com 50 metros de extensão, antitorção, com engate de torneira e esguicho</v>
      </c>
      <c r="C57" s="573"/>
      <c r="D57" s="573"/>
      <c r="E57" s="15" t="str">
        <f>Insumos!C40</f>
        <v>Unid.</v>
      </c>
      <c r="F57" s="87" t="str">
        <f>Insumos!D40</f>
        <v>Tramontina</v>
      </c>
      <c r="G57" s="88">
        <f t="shared" si="0"/>
        <v>8.3333333333333329E-2</v>
      </c>
      <c r="H57" s="89">
        <f>G57*Insumos!G40</f>
        <v>12.415833333333333</v>
      </c>
      <c r="I57" s="572" t="str">
        <f t="shared" si="1"/>
        <v>Fornecimento igual ao estimado mensalmente</v>
      </c>
      <c r="J57" s="572"/>
      <c r="K57" s="572"/>
      <c r="L57" s="90">
        <f t="shared" si="2"/>
        <v>8.3333333333333329E-2</v>
      </c>
      <c r="M57" s="91">
        <f>Insumos!E40</f>
        <v>1</v>
      </c>
      <c r="N57" s="92" t="str">
        <f>Insumos!F40</f>
        <v>Anual</v>
      </c>
      <c r="O57" s="93">
        <f t="shared" si="3"/>
        <v>12</v>
      </c>
    </row>
    <row r="58" spans="1:21" ht="27" customHeight="1" x14ac:dyDescent="0.3">
      <c r="A58" s="574" t="s">
        <v>68</v>
      </c>
      <c r="B58" s="574"/>
      <c r="C58" s="574"/>
      <c r="D58" s="574"/>
      <c r="E58" s="574"/>
      <c r="F58" s="574"/>
      <c r="G58" s="574"/>
      <c r="H58" s="95">
        <f>ROUND(SUM(H25:H57),2)</f>
        <v>1715.09</v>
      </c>
      <c r="I58" s="71"/>
      <c r="J58" s="71"/>
      <c r="K58" s="4"/>
      <c r="L58" s="4"/>
      <c r="M58" s="4"/>
      <c r="N58" s="80"/>
      <c r="O58" s="80"/>
    </row>
    <row r="59" spans="1:21" ht="27" customHeight="1" x14ac:dyDescent="0.3">
      <c r="A59" s="575" t="s">
        <v>69</v>
      </c>
      <c r="B59" s="575"/>
      <c r="C59" s="575"/>
      <c r="D59" s="575"/>
      <c r="E59" s="575"/>
      <c r="F59" s="575"/>
      <c r="G59" s="96">
        <f>Dados!G42</f>
        <v>0.03</v>
      </c>
      <c r="H59" s="97">
        <f>ROUND((H58*G59),2)</f>
        <v>51.45</v>
      </c>
      <c r="I59" s="71"/>
      <c r="J59" s="71"/>
      <c r="K59" s="4"/>
      <c r="L59" s="4"/>
      <c r="M59" s="4"/>
      <c r="N59" s="80"/>
      <c r="O59" s="80"/>
    </row>
    <row r="60" spans="1:21" ht="27" customHeight="1" x14ac:dyDescent="0.3">
      <c r="A60" s="575" t="s">
        <v>70</v>
      </c>
      <c r="B60" s="575"/>
      <c r="C60" s="575"/>
      <c r="D60" s="575"/>
      <c r="E60" s="575"/>
      <c r="F60" s="575"/>
      <c r="G60" s="96">
        <f>Dados!G43</f>
        <v>6.7900000000000002E-2</v>
      </c>
      <c r="H60" s="97">
        <f>ROUND((SUM(H58:H59)*G60),2)</f>
        <v>119.95</v>
      </c>
      <c r="I60" s="71"/>
      <c r="J60" s="71"/>
      <c r="K60" s="4"/>
      <c r="L60" s="4"/>
      <c r="M60" s="4"/>
      <c r="N60" s="80"/>
      <c r="O60" s="80"/>
    </row>
    <row r="61" spans="1:21" ht="27" customHeight="1" x14ac:dyDescent="0.3">
      <c r="A61" s="575" t="s">
        <v>71</v>
      </c>
      <c r="B61" s="575"/>
      <c r="C61" s="575"/>
      <c r="D61" s="575"/>
      <c r="E61" s="575"/>
      <c r="F61" s="575"/>
      <c r="G61" s="96">
        <f>Dados!G54</f>
        <v>0.1225</v>
      </c>
      <c r="H61" s="97">
        <f>ROUND((H62*G61),2)</f>
        <v>263.36</v>
      </c>
      <c r="I61" s="71"/>
      <c r="J61" s="71"/>
      <c r="K61" s="4"/>
      <c r="L61" s="4"/>
      <c r="M61" s="4"/>
      <c r="N61" s="80"/>
      <c r="O61" s="80"/>
    </row>
    <row r="62" spans="1:21" ht="27" customHeight="1" x14ac:dyDescent="0.3">
      <c r="A62" s="576" t="s">
        <v>72</v>
      </c>
      <c r="B62" s="576"/>
      <c r="C62" s="576"/>
      <c r="D62" s="576"/>
      <c r="E62" s="576"/>
      <c r="F62" s="576"/>
      <c r="G62" s="576"/>
      <c r="H62" s="98">
        <f>ROUND((SUM(H58:H60)/(1-G61)),2)</f>
        <v>2149.85</v>
      </c>
      <c r="I62" s="71"/>
      <c r="J62" s="71"/>
      <c r="K62" s="4"/>
      <c r="L62" s="4"/>
      <c r="M62" s="4"/>
      <c r="N62" s="80"/>
      <c r="O62" s="80"/>
    </row>
    <row r="63" spans="1:21" ht="27" customHeight="1" x14ac:dyDescent="0.3">
      <c r="A63" s="75"/>
      <c r="B63" s="80"/>
      <c r="C63" s="80"/>
      <c r="D63" s="80"/>
      <c r="E63" s="80"/>
      <c r="F63" s="80"/>
      <c r="G63" s="75"/>
      <c r="H63" s="99"/>
      <c r="I63" s="80"/>
      <c r="J63" s="80"/>
      <c r="K63" s="4"/>
      <c r="L63" s="4"/>
      <c r="M63" s="4"/>
      <c r="N63" s="80"/>
      <c r="O63" s="80"/>
    </row>
    <row r="64" spans="1:21" ht="27" customHeight="1" x14ac:dyDescent="0.3">
      <c r="A64" s="566" t="s">
        <v>54</v>
      </c>
      <c r="B64" s="577" t="s">
        <v>73</v>
      </c>
      <c r="C64" s="577"/>
      <c r="D64" s="577"/>
      <c r="E64" s="577"/>
      <c r="F64" s="578" t="s">
        <v>56</v>
      </c>
      <c r="G64" s="578"/>
      <c r="H64" s="578"/>
      <c r="I64" s="569" t="s">
        <v>57</v>
      </c>
      <c r="J64" s="569"/>
      <c r="K64" s="569"/>
      <c r="L64" s="579" t="s">
        <v>58</v>
      </c>
      <c r="M64" s="579"/>
      <c r="N64" s="579"/>
      <c r="O64" s="579"/>
      <c r="U64" s="4"/>
    </row>
    <row r="65" spans="1:21" ht="36" customHeight="1" x14ac:dyDescent="0.3">
      <c r="A65" s="566"/>
      <c r="B65" s="564" t="s">
        <v>59</v>
      </c>
      <c r="C65" s="564"/>
      <c r="D65" s="564"/>
      <c r="E65" s="1" t="s">
        <v>60</v>
      </c>
      <c r="F65" s="1" t="s">
        <v>61</v>
      </c>
      <c r="G65" s="1" t="s">
        <v>62</v>
      </c>
      <c r="H65" s="84" t="s">
        <v>63</v>
      </c>
      <c r="I65" s="569"/>
      <c r="J65" s="569"/>
      <c r="K65" s="569"/>
      <c r="L65" s="81" t="s">
        <v>64</v>
      </c>
      <c r="M65" s="82" t="s">
        <v>65</v>
      </c>
      <c r="N65" s="82" t="s">
        <v>66</v>
      </c>
      <c r="O65" s="83" t="s">
        <v>67</v>
      </c>
      <c r="U65" s="4"/>
    </row>
    <row r="66" spans="1:21" ht="39.75" customHeight="1" x14ac:dyDescent="0.3">
      <c r="A66" s="39">
        <v>1</v>
      </c>
      <c r="B66" s="580" t="str">
        <f>Insumos!B48</f>
        <v>Desentupidor Pia: Tipo: Sanfonado, Com Alto Poder De Sucção. Material: Borracha Flexível, Composto Por Polipropileno E Borracha Termoplástica. Plástico Resistente, Cabo Longo, mínimo 20 CM.</v>
      </c>
      <c r="C66" s="580"/>
      <c r="D66" s="580"/>
      <c r="E66" s="15" t="str">
        <f>Insumos!C48</f>
        <v>unidade</v>
      </c>
      <c r="F66" s="87" t="str">
        <f>Insumos!D48</f>
        <v>Oliveira e Azevedo</v>
      </c>
      <c r="G66" s="88">
        <f t="shared" ref="G66:G74" si="4">L66</f>
        <v>8.3333333333333329E-2</v>
      </c>
      <c r="H66" s="89">
        <f>G66*Insumos!G48</f>
        <v>0.86749999999999994</v>
      </c>
      <c r="I66" s="572" t="str">
        <f t="shared" ref="I66:I74" si="5">IF(G66&lt;L66,"Fornecimento inferior ao estimado mensalmente",IF(G66=L66,"Fornecimento igual ao estimado mensalmente",IF(G66&gt;L66,"Fornecimento superior ao estimado mensalmente",)))</f>
        <v>Fornecimento igual ao estimado mensalmente</v>
      </c>
      <c r="J66" s="572"/>
      <c r="K66" s="572"/>
      <c r="L66" s="90">
        <f t="shared" ref="L66:L74" si="6">M66/O66</f>
        <v>8.3333333333333329E-2</v>
      </c>
      <c r="M66" s="41">
        <f>Insumos!E48</f>
        <v>1</v>
      </c>
      <c r="N66" s="41" t="str">
        <f>Insumos!F48</f>
        <v>Anual</v>
      </c>
      <c r="O66" s="93">
        <f t="shared" ref="O66:O74" si="7">IF(N66="MENSAL",1,IF(N66="BIMESTRAL",2,IF(N66="TRIMESTRAL",3,IF(N66="QUADRIMESTRAL",4,IF(N66="SEMESTRAL",6,IF(N66="ANUAL",12,IF(N66="BIENAL",24,"")))))))</f>
        <v>12</v>
      </c>
    </row>
    <row r="67" spans="1:21" ht="54" customHeight="1" x14ac:dyDescent="0.3">
      <c r="A67" s="39">
        <v>2</v>
      </c>
      <c r="B67" s="580" t="str">
        <f>Insumos!B49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7" s="580"/>
      <c r="D67" s="580"/>
      <c r="E67" s="15" t="str">
        <f>Insumos!C49</f>
        <v>unidade</v>
      </c>
      <c r="F67" s="87" t="str">
        <f>Insumos!D49</f>
        <v>Limpol</v>
      </c>
      <c r="G67" s="88">
        <f t="shared" si="4"/>
        <v>10</v>
      </c>
      <c r="H67" s="89">
        <f>G67*Insumos!G49</f>
        <v>29.900000000000002</v>
      </c>
      <c r="I67" s="572" t="str">
        <f t="shared" si="5"/>
        <v>Fornecimento igual ao estimado mensalmente</v>
      </c>
      <c r="J67" s="572"/>
      <c r="K67" s="572"/>
      <c r="L67" s="90">
        <f t="shared" si="6"/>
        <v>10</v>
      </c>
      <c r="M67" s="41">
        <f>Insumos!E49</f>
        <v>10</v>
      </c>
      <c r="N67" s="41" t="str">
        <f>Insumos!F49</f>
        <v>Mensal</v>
      </c>
      <c r="O67" s="93">
        <f t="shared" si="7"/>
        <v>1</v>
      </c>
    </row>
    <row r="68" spans="1:21" ht="39.75" customHeight="1" x14ac:dyDescent="0.3">
      <c r="A68" s="39">
        <v>3</v>
      </c>
      <c r="B68" s="580" t="str">
        <f>Insumos!B50</f>
        <v>Esponja Para Lavagem De Louças E Limpeza Em Geral, Dupla Face Sintética, Um Lado Em Espuma Poliuretano E Outro Em Fibra Sintética Abrasiva, Antibacteriana, Formato Retangular, Medindo Aproximadamente 110mm X 75mm X 20mm De Espessura. Pacote com 4 unidades.</v>
      </c>
      <c r="C68" s="580"/>
      <c r="D68" s="580"/>
      <c r="E68" s="15" t="str">
        <f>Insumos!C50</f>
        <v>pacote</v>
      </c>
      <c r="F68" s="87" t="str">
        <f>Insumos!D50</f>
        <v>Scotch-brite</v>
      </c>
      <c r="G68" s="88">
        <f t="shared" si="4"/>
        <v>5</v>
      </c>
      <c r="H68" s="89">
        <f>G68*Insumos!G50</f>
        <v>32</v>
      </c>
      <c r="I68" s="572" t="str">
        <f t="shared" si="5"/>
        <v>Fornecimento igual ao estimado mensalmente</v>
      </c>
      <c r="J68" s="572"/>
      <c r="K68" s="572"/>
      <c r="L68" s="90">
        <f t="shared" si="6"/>
        <v>5</v>
      </c>
      <c r="M68" s="41">
        <f>Insumos!E50</f>
        <v>5</v>
      </c>
      <c r="N68" s="41" t="str">
        <f>Insumos!F50</f>
        <v>Mensal</v>
      </c>
      <c r="O68" s="93">
        <f t="shared" si="7"/>
        <v>1</v>
      </c>
    </row>
    <row r="69" spans="1:21" x14ac:dyDescent="0.3">
      <c r="A69" s="39">
        <v>4</v>
      </c>
      <c r="B69" s="580" t="str">
        <f>Insumos!B51</f>
        <v>Guadarnapo de papel branco, folha simples - 33x30 cm/pct 50 folhas</v>
      </c>
      <c r="C69" s="580"/>
      <c r="D69" s="580"/>
      <c r="E69" s="15" t="str">
        <f>Insumos!C51</f>
        <v>pacote</v>
      </c>
      <c r="F69" s="87">
        <f>Insumos!D51</f>
        <v>0</v>
      </c>
      <c r="G69" s="88">
        <f t="shared" si="4"/>
        <v>4</v>
      </c>
      <c r="H69" s="89">
        <f>G69*Insumos!G51</f>
        <v>23.8</v>
      </c>
      <c r="I69" s="572" t="str">
        <f t="shared" si="5"/>
        <v>Fornecimento igual ao estimado mensalmente</v>
      </c>
      <c r="J69" s="572"/>
      <c r="K69" s="572"/>
      <c r="L69" s="90">
        <f t="shared" si="6"/>
        <v>4</v>
      </c>
      <c r="M69" s="41">
        <f>Insumos!E51</f>
        <v>4</v>
      </c>
      <c r="N69" s="41" t="str">
        <f>Insumos!F51</f>
        <v>Mensal</v>
      </c>
      <c r="O69" s="93">
        <f t="shared" si="7"/>
        <v>1</v>
      </c>
    </row>
    <row r="70" spans="1:21" ht="27" customHeight="1" x14ac:dyDescent="0.3">
      <c r="A70" s="39">
        <v>5</v>
      </c>
      <c r="B70" s="580" t="str">
        <f>Insumos!B52</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0" s="580"/>
      <c r="D70" s="580"/>
      <c r="E70" s="15" t="str">
        <f>Insumos!C52</f>
        <v>unid.</v>
      </c>
      <c r="F70" s="87" t="str">
        <f>Insumos!D52</f>
        <v>Veja</v>
      </c>
      <c r="G70" s="88">
        <f t="shared" si="4"/>
        <v>2</v>
      </c>
      <c r="H70" s="89">
        <f>G70*Insumos!G52</f>
        <v>10.16</v>
      </c>
      <c r="I70" s="572" t="str">
        <f t="shared" si="5"/>
        <v>Fornecimento igual ao estimado mensalmente</v>
      </c>
      <c r="J70" s="572"/>
      <c r="K70" s="572"/>
      <c r="L70" s="90">
        <f t="shared" si="6"/>
        <v>2</v>
      </c>
      <c r="M70" s="41">
        <f>Insumos!E52</f>
        <v>2</v>
      </c>
      <c r="N70" s="41" t="str">
        <f>Insumos!F52</f>
        <v>Mensal</v>
      </c>
      <c r="O70" s="93">
        <f t="shared" si="7"/>
        <v>1</v>
      </c>
    </row>
    <row r="71" spans="1:21" x14ac:dyDescent="0.3">
      <c r="A71" s="39">
        <v>6</v>
      </c>
      <c r="B71" s="580" t="str">
        <f>Insumos!B53</f>
        <v>Pano de copa aberto 100% dimensões mínimas 40x60cm</v>
      </c>
      <c r="C71" s="580"/>
      <c r="D71" s="580"/>
      <c r="E71" s="15" t="str">
        <f>Insumos!C53</f>
        <v>unidade</v>
      </c>
      <c r="F71" s="87" t="str">
        <f>Insumos!D53</f>
        <v>Karsten</v>
      </c>
      <c r="G71" s="88">
        <f t="shared" si="4"/>
        <v>3</v>
      </c>
      <c r="H71" s="89">
        <f>G71*Insumos!G53</f>
        <v>30</v>
      </c>
      <c r="I71" s="572" t="str">
        <f t="shared" si="5"/>
        <v>Fornecimento igual ao estimado mensalmente</v>
      </c>
      <c r="J71" s="572"/>
      <c r="K71" s="572"/>
      <c r="L71" s="90">
        <f t="shared" si="6"/>
        <v>3</v>
      </c>
      <c r="M71" s="41">
        <f>Insumos!E53</f>
        <v>6</v>
      </c>
      <c r="N71" s="41" t="str">
        <f>Insumos!F53</f>
        <v>Bimestral</v>
      </c>
      <c r="O71" s="93">
        <f t="shared" si="7"/>
        <v>2</v>
      </c>
    </row>
    <row r="72" spans="1:21" ht="67.5" customHeight="1" x14ac:dyDescent="0.3">
      <c r="A72" s="39">
        <v>7</v>
      </c>
      <c r="B72" s="580" t="str">
        <f>Insumos!B54</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v>
      </c>
      <c r="C72" s="580"/>
      <c r="D72" s="580"/>
      <c r="E72" s="15" t="str">
        <f>Insumos!C54</f>
        <v>unidade</v>
      </c>
      <c r="F72" s="87" t="str">
        <f>Insumos!D54</f>
        <v>Delta, Pérola</v>
      </c>
      <c r="G72" s="88">
        <f t="shared" si="4"/>
        <v>1</v>
      </c>
      <c r="H72" s="89">
        <f>G72*Insumos!G54</f>
        <v>19.170000000000002</v>
      </c>
      <c r="I72" s="572" t="str">
        <f t="shared" si="5"/>
        <v>Fornecimento igual ao estimado mensalmente</v>
      </c>
      <c r="J72" s="572"/>
      <c r="K72" s="572"/>
      <c r="L72" s="90">
        <f t="shared" si="6"/>
        <v>1</v>
      </c>
      <c r="M72" s="41">
        <f>Insumos!E54</f>
        <v>1</v>
      </c>
      <c r="N72" s="41" t="str">
        <f>Insumos!F54</f>
        <v>Mensal</v>
      </c>
      <c r="O72" s="93">
        <f t="shared" si="7"/>
        <v>1</v>
      </c>
    </row>
    <row r="73" spans="1:21" ht="93.75" customHeight="1" x14ac:dyDescent="0.3">
      <c r="A73" s="39">
        <v>8</v>
      </c>
      <c r="B73" s="580" t="str">
        <f>Insumos!B55</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v>
      </c>
      <c r="C73" s="580"/>
      <c r="D73" s="580"/>
      <c r="E73" s="15" t="str">
        <f>Insumos!C55</f>
        <v>unidade</v>
      </c>
      <c r="F73" s="87" t="str">
        <f>Insumos!D55</f>
        <v>Zero Cal, Linea</v>
      </c>
      <c r="G73" s="88">
        <f t="shared" si="4"/>
        <v>0.33333333333333331</v>
      </c>
      <c r="H73" s="89">
        <f>G73*Insumos!G55</f>
        <v>2.6399999999999997</v>
      </c>
      <c r="I73" s="572" t="str">
        <f t="shared" si="5"/>
        <v>Fornecimento igual ao estimado mensalmente</v>
      </c>
      <c r="J73" s="572"/>
      <c r="K73" s="572"/>
      <c r="L73" s="90">
        <f t="shared" si="6"/>
        <v>0.33333333333333331</v>
      </c>
      <c r="M73" s="41">
        <f>Insumos!E55</f>
        <v>1</v>
      </c>
      <c r="N73" s="41" t="str">
        <f>Insumos!F55</f>
        <v>Trimestral</v>
      </c>
      <c r="O73" s="93">
        <f t="shared" si="7"/>
        <v>3</v>
      </c>
    </row>
    <row r="74" spans="1:21" ht="106.5" customHeight="1" x14ac:dyDescent="0.3">
      <c r="A74" s="39">
        <v>9</v>
      </c>
      <c r="B74" s="580" t="str">
        <f>Insumos!B56</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74" s="580"/>
      <c r="D74" s="580"/>
      <c r="E74" s="15" t="str">
        <f>Insumos!C56</f>
        <v>unidade</v>
      </c>
      <c r="F74" s="87" t="str">
        <f>Insumos!D56</f>
        <v>3 Corações Gourmet, Orfeu, pilão</v>
      </c>
      <c r="G74" s="88">
        <f t="shared" si="4"/>
        <v>3</v>
      </c>
      <c r="H74" s="89">
        <f>G74*Insumos!G56</f>
        <v>88.59</v>
      </c>
      <c r="I74" s="572" t="str">
        <f t="shared" si="5"/>
        <v>Fornecimento igual ao estimado mensalmente</v>
      </c>
      <c r="J74" s="572"/>
      <c r="K74" s="572"/>
      <c r="L74" s="90">
        <f t="shared" si="6"/>
        <v>3</v>
      </c>
      <c r="M74" s="41">
        <f>Insumos!E56</f>
        <v>3</v>
      </c>
      <c r="N74" s="41" t="str">
        <f>Insumos!F56</f>
        <v>Mensal</v>
      </c>
      <c r="O74" s="93">
        <f t="shared" si="7"/>
        <v>1</v>
      </c>
    </row>
    <row r="75" spans="1:21" ht="27" customHeight="1" x14ac:dyDescent="0.3">
      <c r="A75" s="566" t="s">
        <v>68</v>
      </c>
      <c r="B75" s="566"/>
      <c r="C75" s="566"/>
      <c r="D75" s="566"/>
      <c r="E75" s="566"/>
      <c r="F75" s="566"/>
      <c r="G75" s="566"/>
      <c r="H75" s="100">
        <f>SUM(H66:H74)</f>
        <v>237.12749999999997</v>
      </c>
      <c r="I75" s="71"/>
      <c r="J75" s="71"/>
      <c r="K75" s="4"/>
      <c r="L75" s="80"/>
      <c r="M75" s="80"/>
      <c r="N75" s="80"/>
      <c r="U75" s="4"/>
    </row>
    <row r="76" spans="1:21" ht="27" customHeight="1" x14ac:dyDescent="0.3">
      <c r="A76" s="575" t="s">
        <v>69</v>
      </c>
      <c r="B76" s="575"/>
      <c r="C76" s="575"/>
      <c r="D76" s="575"/>
      <c r="E76" s="575"/>
      <c r="F76" s="575"/>
      <c r="G76" s="96">
        <f>Dados!$G$42</f>
        <v>0.03</v>
      </c>
      <c r="H76" s="97">
        <f>ROUND((H75*G76),2)</f>
        <v>7.11</v>
      </c>
      <c r="I76" s="80"/>
      <c r="J76" s="80"/>
      <c r="K76" s="4"/>
      <c r="L76" s="80"/>
      <c r="M76" s="80"/>
      <c r="N76" s="80"/>
      <c r="U76" s="4"/>
    </row>
    <row r="77" spans="1:21" ht="27" customHeight="1" x14ac:dyDescent="0.3">
      <c r="A77" s="575" t="s">
        <v>70</v>
      </c>
      <c r="B77" s="575"/>
      <c r="C77" s="575"/>
      <c r="D77" s="575"/>
      <c r="E77" s="575"/>
      <c r="F77" s="575"/>
      <c r="G77" s="96">
        <f>Dados!$G$43</f>
        <v>6.7900000000000002E-2</v>
      </c>
      <c r="H77" s="97">
        <f>ROUND((SUM(H75:H76)*G77),2)</f>
        <v>16.579999999999998</v>
      </c>
      <c r="I77" s="80"/>
      <c r="J77" s="80"/>
      <c r="K77" s="4"/>
      <c r="L77" s="80"/>
      <c r="M77" s="80"/>
      <c r="N77" s="80"/>
      <c r="U77" s="4"/>
    </row>
    <row r="78" spans="1:21" ht="27" customHeight="1" x14ac:dyDescent="0.3">
      <c r="A78" s="575" t="s">
        <v>71</v>
      </c>
      <c r="B78" s="575"/>
      <c r="C78" s="575"/>
      <c r="D78" s="575"/>
      <c r="E78" s="575"/>
      <c r="F78" s="575"/>
      <c r="G78" s="96">
        <f>Dados!$G$54</f>
        <v>0.1225</v>
      </c>
      <c r="H78" s="97">
        <f>ROUND((H79*G78),2)</f>
        <v>36.409999999999997</v>
      </c>
      <c r="I78" s="80"/>
      <c r="J78" s="80"/>
      <c r="K78" s="4"/>
      <c r="L78" s="80"/>
      <c r="M78" s="80"/>
      <c r="N78" s="80"/>
      <c r="U78" s="4"/>
    </row>
    <row r="79" spans="1:21" ht="27" customHeight="1" x14ac:dyDescent="0.3">
      <c r="A79" s="576" t="s">
        <v>74</v>
      </c>
      <c r="B79" s="576"/>
      <c r="C79" s="576"/>
      <c r="D79" s="576"/>
      <c r="E79" s="576"/>
      <c r="F79" s="576"/>
      <c r="G79" s="576"/>
      <c r="H79" s="98">
        <f>ROUND((SUM(H75:H77)/(1-G78)),2)</f>
        <v>297.23</v>
      </c>
      <c r="I79" s="80"/>
      <c r="J79" s="80"/>
      <c r="K79" s="4"/>
      <c r="L79" s="80"/>
      <c r="M79" s="80"/>
      <c r="N79" s="80"/>
      <c r="U79" s="4"/>
    </row>
    <row r="80" spans="1:21" ht="27" customHeight="1" x14ac:dyDescent="0.3">
      <c r="A80" s="75"/>
      <c r="B80" s="80"/>
      <c r="C80" s="80"/>
      <c r="D80" s="80"/>
      <c r="E80" s="80"/>
      <c r="F80" s="80"/>
      <c r="G80" s="75"/>
      <c r="H80" s="99"/>
      <c r="I80" s="80"/>
      <c r="J80" s="80"/>
      <c r="K80" s="4"/>
      <c r="L80" s="80"/>
      <c r="M80" s="80"/>
      <c r="N80" s="80"/>
      <c r="U80" s="4"/>
    </row>
    <row r="81" spans="2:21" ht="27" customHeight="1" x14ac:dyDescent="0.3">
      <c r="L81" s="4"/>
      <c r="M81" s="4"/>
      <c r="P81" s="6"/>
      <c r="Q81" s="6"/>
      <c r="U81" s="4"/>
    </row>
    <row r="83" spans="2:21" ht="27" customHeight="1" x14ac:dyDescent="0.3">
      <c r="B83" s="581" t="s">
        <v>75</v>
      </c>
      <c r="C83" s="581"/>
    </row>
    <row r="84" spans="2:21" ht="27" customHeight="1" x14ac:dyDescent="0.3">
      <c r="B84" s="101" t="s">
        <v>76</v>
      </c>
      <c r="C84" s="102">
        <v>22</v>
      </c>
      <c r="D84" s="4" t="s">
        <v>77</v>
      </c>
    </row>
    <row r="85" spans="2:21" ht="27" customHeight="1" x14ac:dyDescent="0.3">
      <c r="B85" s="101" t="s">
        <v>3</v>
      </c>
      <c r="C85" s="103">
        <v>30</v>
      </c>
      <c r="D85" s="4" t="s">
        <v>78</v>
      </c>
    </row>
    <row r="86" spans="2:21" ht="27" customHeight="1" x14ac:dyDescent="0.3">
      <c r="B86" s="101" t="s">
        <v>79</v>
      </c>
      <c r="C86" s="103" t="s">
        <v>80</v>
      </c>
      <c r="D86" s="4" t="s">
        <v>81</v>
      </c>
    </row>
    <row r="88" spans="2:21" ht="27" customHeight="1" x14ac:dyDescent="0.3">
      <c r="B88" s="101" t="s">
        <v>82</v>
      </c>
      <c r="C88" s="101" t="s">
        <v>83</v>
      </c>
    </row>
    <row r="89" spans="2:21" ht="27" customHeight="1" x14ac:dyDescent="0.3">
      <c r="B89" s="101">
        <v>220</v>
      </c>
      <c r="C89" s="101">
        <v>8.8000000000000007</v>
      </c>
    </row>
    <row r="90" spans="2:21" ht="27" customHeight="1" x14ac:dyDescent="0.3">
      <c r="B90" s="101">
        <v>200</v>
      </c>
      <c r="C90" s="101">
        <v>8</v>
      </c>
    </row>
    <row r="91" spans="2:21" ht="27" customHeight="1" x14ac:dyDescent="0.3">
      <c r="B91" s="101">
        <v>180</v>
      </c>
      <c r="C91" s="101">
        <v>7.2</v>
      </c>
    </row>
    <row r="92" spans="2:21" ht="27" customHeight="1" x14ac:dyDescent="0.3">
      <c r="B92" s="101">
        <v>150</v>
      </c>
      <c r="C92" s="101">
        <v>6</v>
      </c>
    </row>
    <row r="93" spans="2:21" ht="27" customHeight="1" x14ac:dyDescent="0.3">
      <c r="B93" s="101">
        <v>120</v>
      </c>
      <c r="C93" s="101">
        <v>4.8</v>
      </c>
    </row>
    <row r="94" spans="2:21" ht="27" customHeight="1" x14ac:dyDescent="0.3">
      <c r="B94" s="101">
        <v>100</v>
      </c>
      <c r="C94" s="101">
        <v>4</v>
      </c>
    </row>
    <row r="95" spans="2:21" ht="27" customHeight="1" x14ac:dyDescent="0.3">
      <c r="B95" s="101">
        <v>75</v>
      </c>
      <c r="C95" s="101">
        <v>3</v>
      </c>
    </row>
    <row r="97" spans="2:2" ht="27" customHeight="1" x14ac:dyDescent="0.3">
      <c r="B97" s="101" t="s">
        <v>84</v>
      </c>
    </row>
    <row r="98" spans="2:2" ht="27" customHeight="1" x14ac:dyDescent="0.3">
      <c r="B98" s="104">
        <v>0</v>
      </c>
    </row>
    <row r="99" spans="2:2" ht="27" customHeight="1" x14ac:dyDescent="0.3">
      <c r="B99" s="104">
        <v>1</v>
      </c>
    </row>
    <row r="100" spans="2:2" ht="27" customHeight="1" x14ac:dyDescent="0.3">
      <c r="B100" s="104">
        <v>2</v>
      </c>
    </row>
  </sheetData>
  <sheetProtection algorithmName="SHA-512" hashValue="FvXHrgyV4c+ywe4vEQR/iKXyW+mdpqCnnCahZA20+tyRJRvHVCj6WhkO49dwmoucz0nitOvhI9ot5OczDtzDDw==" saltValue="bqjakmFrOkrysc/y8jxxJw==" spinCount="100000" sheet="1" objects="1" scenarios="1"/>
  <mergeCells count="131">
    <mergeCell ref="A78:F78"/>
    <mergeCell ref="A79:G79"/>
    <mergeCell ref="B83:C83"/>
    <mergeCell ref="B72:D72"/>
    <mergeCell ref="I72:K72"/>
    <mergeCell ref="B73:D73"/>
    <mergeCell ref="I73:K73"/>
    <mergeCell ref="B74:D74"/>
    <mergeCell ref="I74:K74"/>
    <mergeCell ref="A75:G75"/>
    <mergeCell ref="A76:F76"/>
    <mergeCell ref="A77:F77"/>
    <mergeCell ref="B67:D67"/>
    <mergeCell ref="I67:K67"/>
    <mergeCell ref="B68:D68"/>
    <mergeCell ref="I68:K68"/>
    <mergeCell ref="B69:D69"/>
    <mergeCell ref="I69:K69"/>
    <mergeCell ref="B70:D70"/>
    <mergeCell ref="I70:K70"/>
    <mergeCell ref="B71:D71"/>
    <mergeCell ref="I71:K71"/>
    <mergeCell ref="A61:F61"/>
    <mergeCell ref="A62:G62"/>
    <mergeCell ref="A64:A65"/>
    <mergeCell ref="B64:E64"/>
    <mergeCell ref="F64:H64"/>
    <mergeCell ref="I64:K65"/>
    <mergeCell ref="L64:O64"/>
    <mergeCell ref="B65:D65"/>
    <mergeCell ref="B66:D66"/>
    <mergeCell ref="I66:K66"/>
    <mergeCell ref="B55:D55"/>
    <mergeCell ref="I55:K55"/>
    <mergeCell ref="B56:D56"/>
    <mergeCell ref="I56:K56"/>
    <mergeCell ref="B57:D57"/>
    <mergeCell ref="I57:K57"/>
    <mergeCell ref="A58:G58"/>
    <mergeCell ref="A59:F59"/>
    <mergeCell ref="A60:F60"/>
    <mergeCell ref="B50:D50"/>
    <mergeCell ref="I50:K50"/>
    <mergeCell ref="B51:D51"/>
    <mergeCell ref="I51:K51"/>
    <mergeCell ref="B52:D52"/>
    <mergeCell ref="I52:K52"/>
    <mergeCell ref="B53:D53"/>
    <mergeCell ref="I53:K53"/>
    <mergeCell ref="B54:D54"/>
    <mergeCell ref="I54:K54"/>
    <mergeCell ref="B45:D45"/>
    <mergeCell ref="I45:K45"/>
    <mergeCell ref="B46:D46"/>
    <mergeCell ref="I46:K46"/>
    <mergeCell ref="B47:D47"/>
    <mergeCell ref="I47:K47"/>
    <mergeCell ref="B48:D48"/>
    <mergeCell ref="I48:K48"/>
    <mergeCell ref="B49:D49"/>
    <mergeCell ref="I49:K49"/>
    <mergeCell ref="B40:D40"/>
    <mergeCell ref="I40:K40"/>
    <mergeCell ref="B41:D41"/>
    <mergeCell ref="I41:K41"/>
    <mergeCell ref="B42:D42"/>
    <mergeCell ref="I42:K42"/>
    <mergeCell ref="B43:D43"/>
    <mergeCell ref="I43:K43"/>
    <mergeCell ref="B44:D44"/>
    <mergeCell ref="I44:K44"/>
    <mergeCell ref="B35:D35"/>
    <mergeCell ref="I35:K35"/>
    <mergeCell ref="B36:D36"/>
    <mergeCell ref="I36:K36"/>
    <mergeCell ref="B37:D37"/>
    <mergeCell ref="I37:K37"/>
    <mergeCell ref="B38:D38"/>
    <mergeCell ref="I38:K38"/>
    <mergeCell ref="B39:D39"/>
    <mergeCell ref="I39:K39"/>
    <mergeCell ref="B30:D30"/>
    <mergeCell ref="I30:K30"/>
    <mergeCell ref="B31:D31"/>
    <mergeCell ref="I31:K31"/>
    <mergeCell ref="B32:D32"/>
    <mergeCell ref="I32:K32"/>
    <mergeCell ref="B33:D33"/>
    <mergeCell ref="I33:K33"/>
    <mergeCell ref="B34:D34"/>
    <mergeCell ref="I34:K34"/>
    <mergeCell ref="B25:D25"/>
    <mergeCell ref="I25:K25"/>
    <mergeCell ref="B26:D26"/>
    <mergeCell ref="I26:K26"/>
    <mergeCell ref="B27:D27"/>
    <mergeCell ref="I27:K27"/>
    <mergeCell ref="B28:D28"/>
    <mergeCell ref="I28:K28"/>
    <mergeCell ref="B29:D29"/>
    <mergeCell ref="I29:K29"/>
    <mergeCell ref="S7:U9"/>
    <mergeCell ref="A14:G14"/>
    <mergeCell ref="I14:J14"/>
    <mergeCell ref="A17:B18"/>
    <mergeCell ref="A19:F20"/>
    <mergeCell ref="A23:A24"/>
    <mergeCell ref="B23:E23"/>
    <mergeCell ref="F23:H23"/>
    <mergeCell ref="I23:K24"/>
    <mergeCell ref="L23:O23"/>
    <mergeCell ref="B24:D24"/>
    <mergeCell ref="C2:R2"/>
    <mergeCell ref="C3:R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s>
  <conditionalFormatting sqref="I25:I57 I66:I74">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6">
    <dataValidation type="list" allowBlank="1" showInputMessage="1" showErrorMessage="1" sqref="N25:N57" xr:uid="{00000000-0002-0000-0000-000000000000}">
      <formula1>"Mensal,Bimestral,Trimestral,Quadrimestral,Semestral,Anual,Bienal"</formula1>
      <formula2>0</formula2>
    </dataValidation>
    <dataValidation type="list" allowBlank="1" showInputMessage="1" showErrorMessage="1" sqref="C18" xr:uid="{00000000-0002-0000-0000-000001000000}">
      <formula1>$B$89:$B$95</formula1>
      <formula2>0</formula2>
    </dataValidation>
    <dataValidation type="list" allowBlank="1" showInputMessage="1" showErrorMessage="1" sqref="D11" xr:uid="{00000000-0002-0000-0000-000002000000}">
      <formula1>$B$98:$B$100</formula1>
      <formula2>0</formula2>
    </dataValidation>
    <dataValidation type="list" allowBlank="1" showInputMessage="1" showErrorMessage="1" sqref="D5" xr:uid="{00000000-0002-0000-0000-000003000000}">
      <formula1>$B$84:$B$86</formula1>
      <formula2>0</formula2>
    </dataValidation>
    <dataValidation type="list" allowBlank="1" showInputMessage="1" showErrorMessage="1" sqref="D12:D13" xr:uid="{00000000-0002-0000-0000-000004000000}">
      <formula1>$B$98:$B$99</formula1>
      <formula2>0</formula2>
    </dataValidation>
    <dataValidation type="list" allowBlank="1" showInputMessage="1" showErrorMessage="1" sqref="E11:E13" xr:uid="{00000000-0002-0000-0000-000005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8"/>
  <sheetViews>
    <sheetView showGridLines="0" view="pageBreakPreview" topLeftCell="A7" zoomScale="60" zoomScaleNormal="100" workbookViewId="0">
      <selection activeCell="L10" sqref="L10"/>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9" width="12.5546875" style="431" customWidth="1"/>
    <col min="10" max="10" width="13.88671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67" t="s">
        <v>550</v>
      </c>
      <c r="B4" s="667"/>
      <c r="C4" s="667"/>
      <c r="D4" s="667"/>
      <c r="E4" s="667"/>
      <c r="F4" s="667"/>
      <c r="G4" s="667"/>
      <c r="H4" s="667"/>
      <c r="I4" s="667"/>
      <c r="J4" s="667"/>
    </row>
    <row r="5" spans="1:10" ht="19.5" customHeight="1" x14ac:dyDescent="0.3">
      <c r="A5" s="668" t="s">
        <v>286</v>
      </c>
      <c r="B5" s="668"/>
      <c r="C5" s="668"/>
      <c r="D5" s="668"/>
      <c r="E5" s="668"/>
      <c r="F5" s="668"/>
      <c r="G5" s="668"/>
      <c r="H5" s="668"/>
      <c r="I5" s="668"/>
      <c r="J5" s="668"/>
    </row>
    <row r="6" spans="1:10" s="4" customFormat="1" ht="36" customHeight="1" x14ac:dyDescent="0.3">
      <c r="A6" s="669" t="str">
        <f>Dados!A4</f>
        <v>Sindicato utilizado - SINSERTH x SINTAPPI. Vigência: 01/04/2025 à 31/03/2026. Sendo a data base da categoria 1 de abril. Com número de registro no MTE MG001973/2025.</v>
      </c>
      <c r="B6" s="669"/>
      <c r="C6" s="669"/>
      <c r="D6" s="669"/>
      <c r="E6" s="669"/>
      <c r="F6" s="669"/>
      <c r="G6" s="669"/>
      <c r="H6" s="669"/>
      <c r="I6" s="669"/>
      <c r="J6" s="669"/>
    </row>
    <row r="7" spans="1:10" ht="19.5" customHeight="1" x14ac:dyDescent="0.3">
      <c r="A7" s="670" t="str">
        <f>Dados!C7</f>
        <v>Auxiliar Administrativo</v>
      </c>
      <c r="B7" s="670"/>
      <c r="C7" s="670"/>
      <c r="D7" s="670"/>
      <c r="E7" s="670"/>
      <c r="F7" s="671" t="s">
        <v>551</v>
      </c>
      <c r="G7" s="671" t="s">
        <v>552</v>
      </c>
      <c r="H7" s="671" t="s">
        <v>553</v>
      </c>
      <c r="I7" s="671" t="s">
        <v>554</v>
      </c>
      <c r="J7" s="671" t="s">
        <v>555</v>
      </c>
    </row>
    <row r="8" spans="1:10" ht="19.5" customHeight="1" x14ac:dyDescent="0.3">
      <c r="A8" s="672" t="s">
        <v>556</v>
      </c>
      <c r="B8" s="672"/>
      <c r="C8" s="672"/>
      <c r="D8" s="672"/>
      <c r="E8" s="441" t="s">
        <v>454</v>
      </c>
      <c r="F8" s="671"/>
      <c r="G8" s="671"/>
      <c r="H8" s="671"/>
      <c r="I8" s="671"/>
      <c r="J8" s="671"/>
    </row>
    <row r="9" spans="1:10" ht="19.5" customHeight="1" x14ac:dyDescent="0.3">
      <c r="A9" s="673" t="s">
        <v>557</v>
      </c>
      <c r="B9" s="673"/>
      <c r="C9" s="673"/>
      <c r="D9" s="673"/>
      <c r="E9" s="673"/>
      <c r="F9" s="673"/>
      <c r="G9" s="673"/>
      <c r="H9" s="673"/>
      <c r="I9" s="673"/>
      <c r="J9" s="673"/>
    </row>
    <row r="10" spans="1:10" ht="24" customHeight="1" x14ac:dyDescent="0.3">
      <c r="A10" s="177" t="s">
        <v>455</v>
      </c>
      <c r="B10" s="674" t="s">
        <v>558</v>
      </c>
      <c r="C10" s="674"/>
      <c r="D10" s="442" t="s">
        <v>559</v>
      </c>
      <c r="E10" s="443" t="s">
        <v>560</v>
      </c>
      <c r="F10" s="675" t="s">
        <v>458</v>
      </c>
      <c r="G10" s="675"/>
      <c r="H10" s="675"/>
      <c r="I10" s="675"/>
      <c r="J10" s="675"/>
    </row>
    <row r="11" spans="1:10" ht="19.5" customHeight="1" x14ac:dyDescent="0.3">
      <c r="A11" s="676">
        <v>1</v>
      </c>
      <c r="B11" s="677" t="str">
        <f>A7</f>
        <v>Auxiliar Administrativo</v>
      </c>
      <c r="C11" s="677"/>
      <c r="D11" s="41">
        <f>Dados!$D$7</f>
        <v>200</v>
      </c>
      <c r="E11" s="445">
        <f>Dados!$E$7</f>
        <v>2048</v>
      </c>
      <c r="F11" s="446">
        <f>ROUND(E11/220*D11,2)</f>
        <v>1861.82</v>
      </c>
      <c r="G11" s="446">
        <f>F11</f>
        <v>1861.82</v>
      </c>
      <c r="H11" s="446"/>
      <c r="I11" s="446"/>
      <c r="J11" s="447"/>
    </row>
    <row r="12" spans="1:10" ht="19.5" customHeight="1" x14ac:dyDescent="0.3">
      <c r="A12" s="676"/>
      <c r="B12" s="678" t="s">
        <v>561</v>
      </c>
      <c r="C12" s="678"/>
      <c r="D12" s="448">
        <f>Dados!G8</f>
        <v>0</v>
      </c>
      <c r="E12" s="445">
        <f>Dados!$G$26</f>
        <v>1621</v>
      </c>
      <c r="F12" s="446">
        <f>D12*E12</f>
        <v>0</v>
      </c>
      <c r="G12" s="446">
        <f>F12</f>
        <v>0</v>
      </c>
      <c r="H12" s="446"/>
      <c r="I12" s="446"/>
      <c r="J12" s="447">
        <f>F12</f>
        <v>0</v>
      </c>
    </row>
    <row r="13" spans="1:10" ht="21.75" customHeight="1" x14ac:dyDescent="0.3">
      <c r="A13" s="676"/>
      <c r="B13" s="449" t="s">
        <v>562</v>
      </c>
      <c r="C13" s="450">
        <f>Dados!$I$7</f>
        <v>0</v>
      </c>
      <c r="D13" s="450">
        <f>Dados!$J$7</f>
        <v>0</v>
      </c>
      <c r="E13" s="451">
        <f>Dados!$K$7</f>
        <v>0</v>
      </c>
      <c r="F13" s="452">
        <f>ROUND((E13*D13*C13),2)</f>
        <v>0</v>
      </c>
      <c r="G13" s="452">
        <f>F13</f>
        <v>0</v>
      </c>
      <c r="H13" s="452"/>
      <c r="I13" s="452"/>
      <c r="J13" s="453"/>
    </row>
    <row r="14" spans="1:10" ht="19.5" customHeight="1" x14ac:dyDescent="0.3">
      <c r="A14" s="676"/>
      <c r="B14" s="679" t="s">
        <v>563</v>
      </c>
      <c r="C14" s="679"/>
      <c r="D14" s="679"/>
      <c r="E14" s="679"/>
      <c r="F14" s="454">
        <f>SUM(F11:F13)</f>
        <v>1861.82</v>
      </c>
      <c r="G14" s="454">
        <f>SUM(G11:G13)</f>
        <v>1861.82</v>
      </c>
      <c r="H14" s="454">
        <f>SUM(H11:H13)</f>
        <v>0</v>
      </c>
      <c r="I14" s="454">
        <f>SUM(I11:I13)</f>
        <v>0</v>
      </c>
      <c r="J14" s="455">
        <f>SUM(J11:J13)</f>
        <v>0</v>
      </c>
    </row>
    <row r="15" spans="1:10" ht="19.5" customHeight="1" x14ac:dyDescent="0.3">
      <c r="A15" s="676"/>
      <c r="B15" s="680" t="s">
        <v>564</v>
      </c>
      <c r="C15" s="680"/>
      <c r="D15" s="680"/>
      <c r="E15" s="456">
        <f>Encargos!$C$57</f>
        <v>0.76400000000000001</v>
      </c>
      <c r="F15" s="446">
        <f>ROUND((E15*F14),2)</f>
        <v>1422.43</v>
      </c>
      <c r="G15" s="446">
        <f>F15</f>
        <v>1422.43</v>
      </c>
      <c r="H15" s="446"/>
      <c r="I15" s="446"/>
      <c r="J15" s="447">
        <f>ROUND((E15*J14),2)</f>
        <v>0</v>
      </c>
    </row>
    <row r="16" spans="1:10" ht="19.5" customHeight="1" x14ac:dyDescent="0.3">
      <c r="A16" s="681" t="s">
        <v>565</v>
      </c>
      <c r="B16" s="681"/>
      <c r="C16" s="681"/>
      <c r="D16" s="681"/>
      <c r="E16" s="681"/>
      <c r="F16" s="457">
        <f>SUM(F14:F15)</f>
        <v>3284.25</v>
      </c>
      <c r="G16" s="457">
        <f>SUM(G14:G15)</f>
        <v>3284.25</v>
      </c>
      <c r="H16" s="457">
        <f>SUM(H14:H15)</f>
        <v>0</v>
      </c>
      <c r="I16" s="457">
        <f>SUM(I14:I15)</f>
        <v>0</v>
      </c>
      <c r="J16" s="458">
        <f>SUM(J14:J15)</f>
        <v>0</v>
      </c>
    </row>
    <row r="17" spans="1:12" ht="19.5" customHeight="1" x14ac:dyDescent="0.3">
      <c r="A17" s="682" t="s">
        <v>566</v>
      </c>
      <c r="B17" s="682"/>
      <c r="C17" s="682"/>
      <c r="D17" s="682"/>
      <c r="E17" s="682"/>
      <c r="F17" s="682"/>
      <c r="G17" s="682"/>
      <c r="H17" s="682"/>
      <c r="I17" s="682"/>
      <c r="J17" s="682"/>
    </row>
    <row r="18" spans="1:12" ht="19.5" customHeight="1" x14ac:dyDescent="0.3">
      <c r="A18" s="683" t="s">
        <v>567</v>
      </c>
      <c r="B18" s="683"/>
      <c r="C18" s="15" t="s">
        <v>457</v>
      </c>
      <c r="D18" s="684" t="s">
        <v>568</v>
      </c>
      <c r="E18" s="684"/>
      <c r="F18" s="685" t="s">
        <v>458</v>
      </c>
      <c r="G18" s="685"/>
      <c r="H18" s="685"/>
      <c r="I18" s="685"/>
      <c r="J18" s="685"/>
    </row>
    <row r="19" spans="1:12" ht="19.5" customHeight="1" x14ac:dyDescent="0.3">
      <c r="A19" s="686" t="s">
        <v>569</v>
      </c>
      <c r="B19" s="686"/>
      <c r="C19" s="234"/>
      <c r="D19" s="234"/>
      <c r="E19" s="234"/>
      <c r="F19" s="446">
        <f>Dados!$N$7</f>
        <v>49.96</v>
      </c>
      <c r="G19" s="446">
        <f>F19</f>
        <v>49.96</v>
      </c>
      <c r="H19" s="446"/>
      <c r="I19" s="446"/>
      <c r="J19" s="447"/>
    </row>
    <row r="20" spans="1:12" ht="19.5" customHeight="1" x14ac:dyDescent="0.3">
      <c r="A20" s="686" t="s">
        <v>570</v>
      </c>
      <c r="B20" s="686"/>
      <c r="C20" s="234"/>
      <c r="D20" s="234"/>
      <c r="E20" s="234"/>
      <c r="F20" s="446">
        <f>Dados!$G$29</f>
        <v>5.27</v>
      </c>
      <c r="G20" s="446">
        <f>F20</f>
        <v>5.27</v>
      </c>
      <c r="H20" s="446"/>
      <c r="I20" s="446"/>
      <c r="J20" s="447"/>
    </row>
    <row r="21" spans="1:12" ht="23.25" customHeight="1" x14ac:dyDescent="0.3">
      <c r="A21" s="687" t="s">
        <v>216</v>
      </c>
      <c r="B21" s="687"/>
      <c r="C21" s="234"/>
      <c r="D21" s="234"/>
      <c r="E21" s="234"/>
      <c r="F21" s="446">
        <f>Dados!G30</f>
        <v>0</v>
      </c>
      <c r="G21" s="446">
        <f>F21</f>
        <v>0</v>
      </c>
      <c r="H21" s="446"/>
      <c r="I21" s="446"/>
      <c r="J21" s="447"/>
    </row>
    <row r="22" spans="1:12" ht="19.5" customHeight="1" x14ac:dyDescent="0.3">
      <c r="A22" s="686" t="s">
        <v>217</v>
      </c>
      <c r="B22" s="686"/>
      <c r="C22" s="460">
        <f>Dados!$G$33</f>
        <v>22</v>
      </c>
      <c r="D22" s="460">
        <f>Dados!$G$32</f>
        <v>2</v>
      </c>
      <c r="E22" s="234">
        <f>Dados!$G$31</f>
        <v>3</v>
      </c>
      <c r="F22" s="446">
        <f>IF(ROUND((E22*D22*C22)-(F11*Dados!$G$34),2)&lt;0,0,ROUND((E22*D22*C22)-(F11*Dados!$G$34),2))</f>
        <v>20.29</v>
      </c>
      <c r="G22" s="446">
        <f>F22</f>
        <v>20.29</v>
      </c>
      <c r="H22" s="446"/>
      <c r="I22" s="446">
        <f>F22</f>
        <v>20.29</v>
      </c>
      <c r="J22" s="447"/>
    </row>
    <row r="23" spans="1:12" ht="19.5" customHeight="1" x14ac:dyDescent="0.3">
      <c r="A23" s="686" t="s">
        <v>226</v>
      </c>
      <c r="B23" s="686"/>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86" t="s">
        <v>571</v>
      </c>
      <c r="B24" s="686"/>
      <c r="C24" s="460"/>
      <c r="D24" s="234"/>
      <c r="E24" s="234"/>
      <c r="F24" s="446"/>
      <c r="G24" s="446"/>
      <c r="H24" s="446"/>
      <c r="I24" s="446"/>
      <c r="J24" s="447"/>
      <c r="L24" s="71"/>
    </row>
    <row r="25" spans="1:12" ht="19.5" customHeight="1" x14ac:dyDescent="0.3">
      <c r="A25" s="686" t="s">
        <v>572</v>
      </c>
      <c r="B25" s="686"/>
      <c r="C25" s="460"/>
      <c r="D25" s="234"/>
      <c r="E25" s="234"/>
      <c r="F25" s="446"/>
      <c r="G25" s="446"/>
      <c r="H25" s="446"/>
      <c r="I25" s="446"/>
      <c r="J25" s="447"/>
    </row>
    <row r="26" spans="1:12" ht="19.5" customHeight="1" x14ac:dyDescent="0.3">
      <c r="A26" s="686" t="s">
        <v>573</v>
      </c>
      <c r="B26" s="686"/>
      <c r="C26" s="460"/>
      <c r="D26" s="234"/>
      <c r="E26" s="234"/>
      <c r="F26" s="446"/>
      <c r="G26" s="446"/>
      <c r="H26" s="446"/>
      <c r="I26" s="446"/>
      <c r="J26" s="447"/>
    </row>
    <row r="27" spans="1:12" ht="19.5" customHeight="1" x14ac:dyDescent="0.3">
      <c r="A27" s="688" t="s">
        <v>574</v>
      </c>
      <c r="B27" s="688"/>
      <c r="C27" s="462"/>
      <c r="D27" s="463"/>
      <c r="E27" s="463"/>
      <c r="F27" s="452"/>
      <c r="G27" s="452"/>
      <c r="H27" s="452"/>
      <c r="I27" s="452"/>
      <c r="J27" s="453"/>
    </row>
    <row r="28" spans="1:12" ht="19.5" customHeight="1" x14ac:dyDescent="0.3">
      <c r="A28" s="686" t="str">
        <f>Dados!$B$38</f>
        <v>Outros (inserir somente com a justificativa legal)</v>
      </c>
      <c r="B28" s="686"/>
      <c r="C28" s="460"/>
      <c r="D28" s="460"/>
      <c r="E28" s="234"/>
      <c r="F28" s="271">
        <f>Dados!$G$38</f>
        <v>0</v>
      </c>
      <c r="G28" s="446"/>
      <c r="H28" s="446"/>
      <c r="I28" s="271"/>
      <c r="J28" s="447"/>
    </row>
    <row r="29" spans="1:12" ht="19.5" customHeight="1" x14ac:dyDescent="0.3">
      <c r="A29" s="686" t="str">
        <f>Dados!$B$39</f>
        <v>Outros (inserir somente com a justificativa legal)</v>
      </c>
      <c r="B29" s="686"/>
      <c r="C29" s="460"/>
      <c r="D29" s="460"/>
      <c r="E29" s="234"/>
      <c r="F29" s="271">
        <f>Dados!$G$39</f>
        <v>0</v>
      </c>
      <c r="G29" s="446"/>
      <c r="H29" s="446"/>
      <c r="I29" s="271"/>
      <c r="J29" s="447"/>
    </row>
    <row r="30" spans="1:12" ht="19.5" customHeight="1" x14ac:dyDescent="0.3">
      <c r="A30" s="689" t="s">
        <v>575</v>
      </c>
      <c r="B30" s="689"/>
      <c r="C30" s="689"/>
      <c r="D30" s="689"/>
      <c r="E30" s="689"/>
      <c r="F30" s="457">
        <f>SUM(F19:F29)</f>
        <v>585.91999999999996</v>
      </c>
      <c r="G30" s="457">
        <f>SUM(G19:G29)</f>
        <v>585.91999999999996</v>
      </c>
      <c r="H30" s="457">
        <f>SUM(H19:H29)</f>
        <v>510.4</v>
      </c>
      <c r="I30" s="457">
        <f>SUM(I19:I29)</f>
        <v>20.29</v>
      </c>
      <c r="J30" s="458">
        <f>SUM(J19:J29)</f>
        <v>0</v>
      </c>
    </row>
    <row r="31" spans="1:12" ht="19.5" customHeight="1" x14ac:dyDescent="0.3">
      <c r="A31" s="689" t="s">
        <v>576</v>
      </c>
      <c r="B31" s="689"/>
      <c r="C31" s="689"/>
      <c r="D31" s="689"/>
      <c r="E31" s="689"/>
      <c r="F31" s="457">
        <f>F16+F30</f>
        <v>3870.17</v>
      </c>
      <c r="G31" s="457">
        <f>G16+G30</f>
        <v>3870.17</v>
      </c>
      <c r="H31" s="457">
        <f>H16+H30</f>
        <v>510.4</v>
      </c>
      <c r="I31" s="457">
        <f>I16+I30</f>
        <v>20.29</v>
      </c>
      <c r="J31" s="458">
        <f>J16+J30</f>
        <v>0</v>
      </c>
    </row>
    <row r="32" spans="1:12" ht="19.5" customHeight="1" x14ac:dyDescent="0.3">
      <c r="A32" s="673" t="s">
        <v>577</v>
      </c>
      <c r="B32" s="673"/>
      <c r="C32" s="673"/>
      <c r="D32" s="673"/>
      <c r="E32" s="673"/>
      <c r="F32" s="673"/>
      <c r="G32" s="673"/>
      <c r="H32" s="673"/>
      <c r="I32" s="673"/>
      <c r="J32" s="673"/>
    </row>
    <row r="33" spans="1:12" ht="19.5" customHeight="1" x14ac:dyDescent="0.3">
      <c r="A33" s="683" t="s">
        <v>578</v>
      </c>
      <c r="B33" s="683"/>
      <c r="C33" s="683"/>
      <c r="D33" s="231" t="s">
        <v>579</v>
      </c>
      <c r="E33" s="690" t="s">
        <v>458</v>
      </c>
      <c r="F33" s="690"/>
      <c r="G33" s="690"/>
      <c r="H33" s="690"/>
      <c r="I33" s="690"/>
      <c r="J33" s="690"/>
    </row>
    <row r="34" spans="1:12" ht="19.5" customHeight="1" x14ac:dyDescent="0.3">
      <c r="A34" s="464" t="s">
        <v>580</v>
      </c>
      <c r="B34" s="465"/>
      <c r="C34" s="465"/>
      <c r="D34" s="466">
        <f>Dados!$G$42</f>
        <v>0.03</v>
      </c>
      <c r="E34" s="467"/>
      <c r="F34" s="446">
        <f>ROUND((F31*$D$34),2)</f>
        <v>116.11</v>
      </c>
      <c r="G34" s="446">
        <f>ROUND((G31*$D$34),2)</f>
        <v>116.11</v>
      </c>
      <c r="H34" s="446">
        <f>ROUND((H31*$D$34),2)</f>
        <v>15.31</v>
      </c>
      <c r="I34" s="446">
        <f>ROUND((I31*$D$34),2)</f>
        <v>0.61</v>
      </c>
      <c r="J34" s="447">
        <f>ROUND((J31*$D$34),2)</f>
        <v>0</v>
      </c>
    </row>
    <row r="35" spans="1:12" ht="19.5" customHeight="1" x14ac:dyDescent="0.3">
      <c r="A35" s="691" t="s">
        <v>581</v>
      </c>
      <c r="B35" s="691"/>
      <c r="C35" s="691"/>
      <c r="D35" s="466"/>
      <c r="E35" s="467"/>
      <c r="F35" s="446">
        <f>F31+F34</f>
        <v>3986.28</v>
      </c>
      <c r="G35" s="446">
        <f>G31+G34</f>
        <v>3986.28</v>
      </c>
      <c r="H35" s="446">
        <f>H31+H34</f>
        <v>525.70999999999992</v>
      </c>
      <c r="I35" s="446">
        <f>I31+I34</f>
        <v>20.9</v>
      </c>
      <c r="J35" s="447">
        <f>J31+J34</f>
        <v>0</v>
      </c>
    </row>
    <row r="36" spans="1:12" ht="19.5" customHeight="1" x14ac:dyDescent="0.3">
      <c r="A36" s="468" t="s">
        <v>234</v>
      </c>
      <c r="B36" s="469"/>
      <c r="C36" s="469"/>
      <c r="D36" s="450">
        <f>Dados!$G$43</f>
        <v>6.7900000000000002E-2</v>
      </c>
      <c r="E36" s="470"/>
      <c r="F36" s="452">
        <f>ROUND((F35*$D$36),2)</f>
        <v>270.67</v>
      </c>
      <c r="G36" s="452">
        <f>ROUND((G35*$D$36),2)</f>
        <v>270.67</v>
      </c>
      <c r="H36" s="452">
        <f>ROUND((H35*$D$36),2)</f>
        <v>35.700000000000003</v>
      </c>
      <c r="I36" s="452">
        <f>ROUND((I35*$D$36),2)</f>
        <v>1.42</v>
      </c>
      <c r="J36" s="453">
        <f>ROUND((J35*$D$36),2)</f>
        <v>0</v>
      </c>
    </row>
    <row r="37" spans="1:12" ht="19.5" customHeight="1" x14ac:dyDescent="0.3">
      <c r="A37" s="471" t="s">
        <v>582</v>
      </c>
      <c r="B37" s="472"/>
      <c r="C37" s="472"/>
      <c r="D37" s="473">
        <f>SUM(D34:D36)</f>
        <v>9.7900000000000001E-2</v>
      </c>
      <c r="E37" s="474"/>
      <c r="F37" s="457">
        <f>F34+F36</f>
        <v>386.78000000000003</v>
      </c>
      <c r="G37" s="457">
        <f>G34+G36</f>
        <v>386.78000000000003</v>
      </c>
      <c r="H37" s="457">
        <f>H34+H36</f>
        <v>51.010000000000005</v>
      </c>
      <c r="I37" s="457">
        <f>I34+I36</f>
        <v>2.0299999999999998</v>
      </c>
      <c r="J37" s="458">
        <f>J34+J36</f>
        <v>0</v>
      </c>
    </row>
    <row r="38" spans="1:12" ht="19.5" customHeight="1" x14ac:dyDescent="0.3">
      <c r="A38" s="692" t="s">
        <v>583</v>
      </c>
      <c r="B38" s="692"/>
      <c r="C38" s="692"/>
      <c r="D38" s="692"/>
      <c r="E38" s="692"/>
      <c r="F38" s="475">
        <f>F31+F37</f>
        <v>4256.95</v>
      </c>
      <c r="G38" s="475">
        <f>G31+G37</f>
        <v>4256.95</v>
      </c>
      <c r="H38" s="475">
        <f>H31+H37</f>
        <v>561.41</v>
      </c>
      <c r="I38" s="475">
        <f>I31+I37</f>
        <v>22.32</v>
      </c>
      <c r="J38" s="476">
        <f>J31+J37</f>
        <v>0</v>
      </c>
    </row>
    <row r="39" spans="1:12" ht="19.5" customHeight="1" x14ac:dyDescent="0.3">
      <c r="A39" s="693" t="s">
        <v>584</v>
      </c>
      <c r="B39" s="693"/>
      <c r="C39" s="693"/>
      <c r="D39" s="693"/>
      <c r="E39" s="693"/>
      <c r="F39" s="693"/>
      <c r="G39" s="693"/>
      <c r="H39" s="693"/>
      <c r="I39" s="693"/>
      <c r="J39" s="693"/>
    </row>
    <row r="40" spans="1:12" ht="19.5" customHeight="1" x14ac:dyDescent="0.3">
      <c r="A40" s="686" t="s">
        <v>240</v>
      </c>
      <c r="B40" s="686"/>
      <c r="C40" s="686"/>
      <c r="D40" s="466">
        <f>Dados!G50</f>
        <v>7.5999999999999998E-2</v>
      </c>
      <c r="E40" s="446"/>
      <c r="F40" s="446">
        <f>ROUND(($F$46*D40),2)</f>
        <v>368.69</v>
      </c>
      <c r="G40" s="446">
        <f>ROUND((G46*$D$40),2)</f>
        <v>368.69</v>
      </c>
      <c r="H40" s="446">
        <f>ROUND((H46*$D$40),2)</f>
        <v>48.62</v>
      </c>
      <c r="I40" s="446">
        <f>ROUND((I46*$D$40),2)</f>
        <v>1.93</v>
      </c>
      <c r="J40" s="447">
        <f>ROUND((J46*$D$40),2)</f>
        <v>0</v>
      </c>
    </row>
    <row r="41" spans="1:12" ht="19.5" customHeight="1" x14ac:dyDescent="0.3">
      <c r="A41" s="686" t="s">
        <v>242</v>
      </c>
      <c r="B41" s="686"/>
      <c r="C41" s="686"/>
      <c r="D41" s="466">
        <f>Dados!G51</f>
        <v>1.6500000000000001E-2</v>
      </c>
      <c r="E41" s="446"/>
      <c r="F41" s="446">
        <f>ROUND((F46*$D$41),2)</f>
        <v>80.05</v>
      </c>
      <c r="G41" s="446">
        <f>ROUND((G46*$D$41),2)</f>
        <v>80.05</v>
      </c>
      <c r="H41" s="446">
        <f>ROUND((H46*$D$41),2)</f>
        <v>10.56</v>
      </c>
      <c r="I41" s="446">
        <f>ROUND((I46*$D$41),2)</f>
        <v>0.42</v>
      </c>
      <c r="J41" s="447">
        <f>ROUND((J46*$D$41),2)</f>
        <v>0</v>
      </c>
    </row>
    <row r="42" spans="1:12" ht="19.5" customHeight="1" x14ac:dyDescent="0.3">
      <c r="A42" s="686" t="s">
        <v>243</v>
      </c>
      <c r="B42" s="686"/>
      <c r="C42" s="686"/>
      <c r="D42" s="466">
        <f>Dados!G52</f>
        <v>0.03</v>
      </c>
      <c r="E42" s="446"/>
      <c r="F42" s="446">
        <f>ROUND((F46*$D$42),2)</f>
        <v>145.54</v>
      </c>
      <c r="G42" s="446">
        <f>ROUND((G46*$D$42),2)</f>
        <v>145.54</v>
      </c>
      <c r="H42" s="446">
        <f>ROUND((H46*$D$42),2)</f>
        <v>19.190000000000001</v>
      </c>
      <c r="I42" s="446">
        <f>ROUND((I46*$D$42),2)</f>
        <v>0.76</v>
      </c>
      <c r="J42" s="447">
        <f>ROUND((J46*$D$42),2)</f>
        <v>0</v>
      </c>
    </row>
    <row r="43" spans="1:12" ht="19.5" customHeight="1" x14ac:dyDescent="0.3">
      <c r="A43" s="686" t="s">
        <v>229</v>
      </c>
      <c r="B43" s="686"/>
      <c r="C43" s="686"/>
      <c r="D43" s="466">
        <f>Dados!G53</f>
        <v>0</v>
      </c>
      <c r="E43" s="446"/>
      <c r="F43" s="446">
        <f>ROUND((F46*$D$43),2)</f>
        <v>0</v>
      </c>
      <c r="G43" s="446">
        <f>ROUND((G46*$D$43),2)</f>
        <v>0</v>
      </c>
      <c r="H43" s="446">
        <f>ROUND((H46*$D$43),2)</f>
        <v>0</v>
      </c>
      <c r="I43" s="446">
        <f>ROUND((I46*$D$43),2)</f>
        <v>0</v>
      </c>
      <c r="J43" s="447">
        <f>ROUND((J46*$D$43),2)</f>
        <v>0</v>
      </c>
    </row>
    <row r="44" spans="1:12" ht="19.5" customHeight="1" x14ac:dyDescent="0.3">
      <c r="A44" s="696" t="s">
        <v>585</v>
      </c>
      <c r="B44" s="696"/>
      <c r="C44" s="696"/>
      <c r="D44" s="477">
        <f>SUM(D40:D43)</f>
        <v>0.1225</v>
      </c>
      <c r="E44" s="478"/>
      <c r="F44" s="479">
        <f>SUM(F40:F43)</f>
        <v>594.28</v>
      </c>
      <c r="G44" s="479">
        <f>SUM(G40:G43)</f>
        <v>594.28</v>
      </c>
      <c r="H44" s="479">
        <f>SUM(H40:H43)</f>
        <v>78.37</v>
      </c>
      <c r="I44" s="479">
        <f>SUM(I40:I43)</f>
        <v>3.1100000000000003</v>
      </c>
      <c r="J44" s="480">
        <f>SUM(J40:J42)</f>
        <v>0</v>
      </c>
    </row>
    <row r="45" spans="1:12" ht="19.5" customHeight="1" x14ac:dyDescent="0.3">
      <c r="A45" s="697" t="str">
        <f>CONCATENATE("Custo Mensal - ",A7)</f>
        <v>Custo Mensal - Auxiliar Administrativo</v>
      </c>
      <c r="B45" s="697"/>
      <c r="C45" s="697"/>
      <c r="D45" s="697"/>
      <c r="E45" s="697"/>
      <c r="F45" s="481">
        <f>ROUND(F38/(1-D44),2)</f>
        <v>4851.2299999999996</v>
      </c>
      <c r="G45" s="481">
        <f>ROUND(G38/(1-D44),2)</f>
        <v>4851.2299999999996</v>
      </c>
      <c r="H45" s="481">
        <f>ROUND(H38/(1-D44),2)</f>
        <v>639.78</v>
      </c>
      <c r="I45" s="481">
        <f>ROUND(I38/(1-D44),2)</f>
        <v>25.44</v>
      </c>
      <c r="J45" s="482">
        <f>ROUND(J38/(1-D44),2)</f>
        <v>0</v>
      </c>
    </row>
    <row r="46" spans="1:12" ht="19.5" customHeight="1" x14ac:dyDescent="0.3">
      <c r="A46" s="697" t="str">
        <f>CONCATENATE("Valor do Custo Mensal - ",A7)</f>
        <v>Valor do Custo Mensal - Auxiliar Administrativo</v>
      </c>
      <c r="B46" s="697"/>
      <c r="C46" s="697"/>
      <c r="D46" s="697"/>
      <c r="E46" s="697"/>
      <c r="F46" s="481">
        <f>F45</f>
        <v>4851.2299999999996</v>
      </c>
      <c r="G46" s="481">
        <f>G45</f>
        <v>4851.2299999999996</v>
      </c>
      <c r="H46" s="481">
        <f>H45</f>
        <v>639.78</v>
      </c>
      <c r="I46" s="481">
        <f>I45</f>
        <v>25.44</v>
      </c>
      <c r="J46" s="482">
        <f>J45</f>
        <v>0</v>
      </c>
      <c r="K46" s="483"/>
      <c r="L46" s="483"/>
    </row>
    <row r="47" spans="1:12" ht="27.75" customHeight="1" x14ac:dyDescent="0.3">
      <c r="A47" s="694" t="s">
        <v>586</v>
      </c>
      <c r="B47" s="694"/>
      <c r="C47" s="694"/>
      <c r="D47" s="694"/>
      <c r="E47" s="694"/>
      <c r="F47" s="484">
        <f>(F46/F14)</f>
        <v>2.6056385687123349</v>
      </c>
      <c r="G47" s="484">
        <f>(G46/G14)</f>
        <v>2.6056385687123349</v>
      </c>
      <c r="H47" s="695" t="s">
        <v>587</v>
      </c>
      <c r="I47" s="695"/>
      <c r="J47" s="485">
        <v>0</v>
      </c>
    </row>
    <row r="48" spans="1:12" ht="19.5" customHeight="1" x14ac:dyDescent="0.3"/>
  </sheetData>
  <sheetProtection algorithmName="SHA-512" hashValue="L6R+Qp1sq1ROhoE+E/ELrlY6uRlYTxkamZYM3e4EZumLIaTMzJggQe7GlVUo7/M8lXDHqL+lzQc8/1dINffxcw==" saltValue="TdgqJV+IheSXMMbCYh09yw==" spinCount="100000" sheet="1" objects="1" scenarios="1"/>
  <mergeCells count="51">
    <mergeCell ref="A47:E47"/>
    <mergeCell ref="H47:I47"/>
    <mergeCell ref="A42:C42"/>
    <mergeCell ref="A43:C43"/>
    <mergeCell ref="A44:C44"/>
    <mergeCell ref="A45:E45"/>
    <mergeCell ref="A46:E46"/>
    <mergeCell ref="A35:C35"/>
    <mergeCell ref="A38:E38"/>
    <mergeCell ref="A39:J39"/>
    <mergeCell ref="A40:C40"/>
    <mergeCell ref="A41:C41"/>
    <mergeCell ref="A29:B29"/>
    <mergeCell ref="A30:E30"/>
    <mergeCell ref="A31:E31"/>
    <mergeCell ref="A32:J32"/>
    <mergeCell ref="A33:C33"/>
    <mergeCell ref="E33:J33"/>
    <mergeCell ref="A24:B24"/>
    <mergeCell ref="A25:B25"/>
    <mergeCell ref="A26:B26"/>
    <mergeCell ref="A27:B27"/>
    <mergeCell ref="A28:B28"/>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0" fitToHeight="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8"/>
  <sheetViews>
    <sheetView showGridLines="0" view="pageBreakPreview" zoomScale="60" zoomScaleNormal="100" workbookViewId="0">
      <selection activeCell="L14" sqref="L14"/>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10" width="12.5546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67" t="s">
        <v>550</v>
      </c>
      <c r="B4" s="667"/>
      <c r="C4" s="667"/>
      <c r="D4" s="667"/>
      <c r="E4" s="667"/>
      <c r="F4" s="667"/>
      <c r="G4" s="667"/>
      <c r="H4" s="667"/>
      <c r="I4" s="667"/>
      <c r="J4" s="667"/>
    </row>
    <row r="5" spans="1:10" ht="19.5" customHeight="1" x14ac:dyDescent="0.3">
      <c r="A5" s="668" t="s">
        <v>286</v>
      </c>
      <c r="B5" s="668"/>
      <c r="C5" s="668"/>
      <c r="D5" s="668"/>
      <c r="E5" s="668"/>
      <c r="F5" s="668"/>
      <c r="G5" s="668"/>
      <c r="H5" s="668"/>
      <c r="I5" s="668"/>
      <c r="J5" s="668"/>
    </row>
    <row r="6" spans="1:10" ht="36" customHeight="1" x14ac:dyDescent="0.3">
      <c r="A6" s="669" t="str">
        <f>Dados!A4</f>
        <v>Sindicato utilizado - SINSERTH x SINTAPPI. Vigência: 01/04/2025 à 31/03/2026. Sendo a data base da categoria 1 de abril. Com número de registro no MTE MG001973/2025.</v>
      </c>
      <c r="B6" s="669"/>
      <c r="C6" s="669"/>
      <c r="D6" s="669"/>
      <c r="E6" s="669"/>
      <c r="F6" s="669"/>
      <c r="G6" s="669"/>
      <c r="H6" s="669"/>
      <c r="I6" s="669"/>
      <c r="J6" s="669"/>
    </row>
    <row r="7" spans="1:10" ht="19.5" customHeight="1" x14ac:dyDescent="0.3">
      <c r="A7" s="670" t="str">
        <f>Dados!C8</f>
        <v>Servente de Limpeza  com acúmulo de função Copeira</v>
      </c>
      <c r="B7" s="670"/>
      <c r="C7" s="670"/>
      <c r="D7" s="670"/>
      <c r="E7" s="670"/>
      <c r="F7" s="671" t="s">
        <v>551</v>
      </c>
      <c r="G7" s="671" t="s">
        <v>552</v>
      </c>
      <c r="H7" s="671" t="s">
        <v>553</v>
      </c>
      <c r="I7" s="671" t="s">
        <v>554</v>
      </c>
      <c r="J7" s="671" t="s">
        <v>555</v>
      </c>
    </row>
    <row r="8" spans="1:10" ht="19.5" customHeight="1" x14ac:dyDescent="0.3">
      <c r="A8" s="672" t="s">
        <v>588</v>
      </c>
      <c r="B8" s="672"/>
      <c r="C8" s="672"/>
      <c r="D8" s="672"/>
      <c r="E8" s="441" t="s">
        <v>454</v>
      </c>
      <c r="F8" s="671"/>
      <c r="G8" s="671"/>
      <c r="H8" s="671"/>
      <c r="I8" s="671"/>
      <c r="J8" s="671"/>
    </row>
    <row r="9" spans="1:10" ht="19.5" customHeight="1" x14ac:dyDescent="0.3">
      <c r="A9" s="673" t="s">
        <v>557</v>
      </c>
      <c r="B9" s="673"/>
      <c r="C9" s="673"/>
      <c r="D9" s="673"/>
      <c r="E9" s="673"/>
      <c r="F9" s="673"/>
      <c r="G9" s="673"/>
      <c r="H9" s="673"/>
      <c r="I9" s="673"/>
      <c r="J9" s="673"/>
    </row>
    <row r="10" spans="1:10" ht="24" customHeight="1" x14ac:dyDescent="0.3">
      <c r="A10" s="177" t="s">
        <v>455</v>
      </c>
      <c r="B10" s="674" t="s">
        <v>558</v>
      </c>
      <c r="C10" s="674"/>
      <c r="D10" s="442" t="s">
        <v>559</v>
      </c>
      <c r="E10" s="443" t="s">
        <v>560</v>
      </c>
      <c r="F10" s="675" t="s">
        <v>458</v>
      </c>
      <c r="G10" s="675"/>
      <c r="H10" s="675"/>
      <c r="I10" s="675"/>
      <c r="J10" s="675"/>
    </row>
    <row r="11" spans="1:10" ht="19.5" customHeight="1" x14ac:dyDescent="0.3">
      <c r="A11" s="676">
        <v>1</v>
      </c>
      <c r="B11" s="678" t="str">
        <f>A7</f>
        <v>Servente de Limpeza  com acúmulo de função Copeira</v>
      </c>
      <c r="C11" s="678"/>
      <c r="D11" s="41">
        <f>Dados!D8</f>
        <v>200</v>
      </c>
      <c r="E11" s="445">
        <f>Dados!E8</f>
        <v>1633.68</v>
      </c>
      <c r="F11" s="446">
        <f>ROUND(E11/220*D11,2)</f>
        <v>1485.16</v>
      </c>
      <c r="G11" s="446">
        <f>F11</f>
        <v>1485.16</v>
      </c>
      <c r="H11" s="446"/>
      <c r="I11" s="446"/>
      <c r="J11" s="447"/>
    </row>
    <row r="12" spans="1:10" ht="19.5" customHeight="1" x14ac:dyDescent="0.3">
      <c r="A12" s="676"/>
      <c r="B12" s="678" t="s">
        <v>561</v>
      </c>
      <c r="C12" s="678"/>
      <c r="D12" s="448">
        <f>Dados!G8</f>
        <v>0</v>
      </c>
      <c r="E12" s="445">
        <f>Dados!G26</f>
        <v>1621</v>
      </c>
      <c r="F12" s="446">
        <f>D12*E12</f>
        <v>0</v>
      </c>
      <c r="G12" s="446">
        <f>F12</f>
        <v>0</v>
      </c>
      <c r="H12" s="446"/>
      <c r="I12" s="446"/>
      <c r="J12" s="447">
        <f>F12</f>
        <v>0</v>
      </c>
    </row>
    <row r="13" spans="1:10" ht="21" customHeight="1" x14ac:dyDescent="0.3">
      <c r="A13" s="676"/>
      <c r="B13" s="449" t="s">
        <v>562</v>
      </c>
      <c r="C13" s="450">
        <f>Dados!I8</f>
        <v>0.12</v>
      </c>
      <c r="D13" s="450">
        <f>Dados!J8</f>
        <v>0.25</v>
      </c>
      <c r="E13" s="451">
        <f>Dados!K8</f>
        <v>1485.16</v>
      </c>
      <c r="F13" s="452">
        <f>ROUND((E13*D13*C13),2)</f>
        <v>44.55</v>
      </c>
      <c r="G13" s="452">
        <f>F13</f>
        <v>44.55</v>
      </c>
      <c r="H13" s="452"/>
      <c r="I13" s="452"/>
      <c r="J13" s="453"/>
    </row>
    <row r="14" spans="1:10" ht="19.5" customHeight="1" x14ac:dyDescent="0.3">
      <c r="A14" s="676"/>
      <c r="B14" s="679" t="s">
        <v>563</v>
      </c>
      <c r="C14" s="679"/>
      <c r="D14" s="679"/>
      <c r="E14" s="679"/>
      <c r="F14" s="454">
        <f>SUM(F11:F13)</f>
        <v>1529.71</v>
      </c>
      <c r="G14" s="454">
        <f>SUM(G11:G13)</f>
        <v>1529.71</v>
      </c>
      <c r="H14" s="454">
        <f>SUM(H11:H13)</f>
        <v>0</v>
      </c>
      <c r="I14" s="454">
        <f>SUM(I11:I13)</f>
        <v>0</v>
      </c>
      <c r="J14" s="455">
        <f>SUM(J11:J13)</f>
        <v>0</v>
      </c>
    </row>
    <row r="15" spans="1:10" ht="19.5" customHeight="1" x14ac:dyDescent="0.3">
      <c r="A15" s="676"/>
      <c r="B15" s="680" t="s">
        <v>564</v>
      </c>
      <c r="C15" s="680"/>
      <c r="D15" s="680"/>
      <c r="E15" s="456">
        <f>Encargos!$C$57</f>
        <v>0.76400000000000001</v>
      </c>
      <c r="F15" s="446">
        <f>ROUND((E15*F14),2)</f>
        <v>1168.7</v>
      </c>
      <c r="G15" s="446">
        <f>F15</f>
        <v>1168.7</v>
      </c>
      <c r="H15" s="446"/>
      <c r="I15" s="446"/>
      <c r="J15" s="447">
        <f>ROUND((E15*J14),2)</f>
        <v>0</v>
      </c>
    </row>
    <row r="16" spans="1:10" ht="19.5" customHeight="1" x14ac:dyDescent="0.3">
      <c r="A16" s="681" t="s">
        <v>565</v>
      </c>
      <c r="B16" s="681"/>
      <c r="C16" s="681"/>
      <c r="D16" s="681"/>
      <c r="E16" s="681"/>
      <c r="F16" s="457">
        <f>SUM(F14:F15)</f>
        <v>2698.41</v>
      </c>
      <c r="G16" s="457">
        <f>SUM(G14:G15)</f>
        <v>2698.41</v>
      </c>
      <c r="H16" s="457">
        <f>SUM(H14:H15)</f>
        <v>0</v>
      </c>
      <c r="I16" s="457">
        <f>SUM(I14:I15)</f>
        <v>0</v>
      </c>
      <c r="J16" s="458">
        <f>SUM(J14:J15)</f>
        <v>0</v>
      </c>
    </row>
    <row r="17" spans="1:12" ht="19.5" customHeight="1" x14ac:dyDescent="0.3">
      <c r="A17" s="682" t="s">
        <v>566</v>
      </c>
      <c r="B17" s="682"/>
      <c r="C17" s="682"/>
      <c r="D17" s="682"/>
      <c r="E17" s="682"/>
      <c r="F17" s="682"/>
      <c r="G17" s="682"/>
      <c r="H17" s="682"/>
      <c r="I17" s="682"/>
      <c r="J17" s="682"/>
    </row>
    <row r="18" spans="1:12" ht="19.5" customHeight="1" x14ac:dyDescent="0.3">
      <c r="A18" s="683" t="s">
        <v>567</v>
      </c>
      <c r="B18" s="683"/>
      <c r="C18" s="15" t="s">
        <v>457</v>
      </c>
      <c r="D18" s="684" t="s">
        <v>568</v>
      </c>
      <c r="E18" s="684"/>
      <c r="F18" s="685" t="s">
        <v>458</v>
      </c>
      <c r="G18" s="685"/>
      <c r="H18" s="685"/>
      <c r="I18" s="685"/>
      <c r="J18" s="685"/>
    </row>
    <row r="19" spans="1:12" ht="19.5" customHeight="1" x14ac:dyDescent="0.3">
      <c r="A19" s="686" t="s">
        <v>569</v>
      </c>
      <c r="B19" s="686"/>
      <c r="C19" s="234"/>
      <c r="D19" s="234"/>
      <c r="E19" s="234"/>
      <c r="F19" s="446">
        <f>Dados!$N$8</f>
        <v>28.78</v>
      </c>
      <c r="G19" s="446">
        <f>F19</f>
        <v>28.78</v>
      </c>
      <c r="H19" s="446"/>
      <c r="I19" s="446"/>
      <c r="J19" s="447"/>
    </row>
    <row r="20" spans="1:12" ht="19.5" customHeight="1" x14ac:dyDescent="0.3">
      <c r="A20" s="686" t="s">
        <v>570</v>
      </c>
      <c r="B20" s="686"/>
      <c r="C20" s="234"/>
      <c r="D20" s="234"/>
      <c r="E20" s="234"/>
      <c r="F20" s="446">
        <f>Dados!$G$29</f>
        <v>5.27</v>
      </c>
      <c r="G20" s="446">
        <f>F20</f>
        <v>5.27</v>
      </c>
      <c r="H20" s="446"/>
      <c r="I20" s="446"/>
      <c r="J20" s="447"/>
    </row>
    <row r="21" spans="1:12" ht="23.25" customHeight="1" x14ac:dyDescent="0.3">
      <c r="A21" s="687" t="s">
        <v>216</v>
      </c>
      <c r="B21" s="687"/>
      <c r="C21" s="234"/>
      <c r="D21" s="234"/>
      <c r="E21" s="234"/>
      <c r="F21" s="446">
        <f>Dados!G30</f>
        <v>0</v>
      </c>
      <c r="G21" s="446">
        <f>F21</f>
        <v>0</v>
      </c>
      <c r="H21" s="446"/>
      <c r="I21" s="446"/>
      <c r="J21" s="447"/>
    </row>
    <row r="22" spans="1:12" ht="19.5" customHeight="1" x14ac:dyDescent="0.3">
      <c r="A22" s="686" t="s">
        <v>217</v>
      </c>
      <c r="B22" s="686"/>
      <c r="C22" s="460">
        <f>Dados!$G$33</f>
        <v>22</v>
      </c>
      <c r="D22" s="460">
        <f>Dados!$G$32</f>
        <v>2</v>
      </c>
      <c r="E22" s="234">
        <f>Dados!$G$31</f>
        <v>3</v>
      </c>
      <c r="F22" s="446">
        <f>IF(ROUND((E22*D22*C22)-(F11*Dados!$G$34),2)&lt;0,0,ROUND((E22*D22*C22)-(F11*Dados!$G$34),2))</f>
        <v>42.89</v>
      </c>
      <c r="G22" s="446">
        <f>F22</f>
        <v>42.89</v>
      </c>
      <c r="H22" s="446"/>
      <c r="I22" s="446">
        <f>F22</f>
        <v>42.89</v>
      </c>
      <c r="J22" s="447"/>
    </row>
    <row r="23" spans="1:12" ht="19.5" customHeight="1" x14ac:dyDescent="0.3">
      <c r="A23" s="686" t="s">
        <v>226</v>
      </c>
      <c r="B23" s="686"/>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86" t="s">
        <v>571</v>
      </c>
      <c r="B24" s="686"/>
      <c r="C24" s="460"/>
      <c r="D24" s="234"/>
      <c r="E24" s="234"/>
      <c r="F24" s="446">
        <f>Dados!$O$8</f>
        <v>857.54666666666674</v>
      </c>
      <c r="G24" s="446"/>
      <c r="H24" s="446"/>
      <c r="I24" s="446"/>
      <c r="J24" s="447"/>
      <c r="L24" s="71"/>
    </row>
    <row r="25" spans="1:12" ht="19.5" customHeight="1" x14ac:dyDescent="0.3">
      <c r="A25" s="686" t="s">
        <v>572</v>
      </c>
      <c r="B25" s="686"/>
      <c r="C25" s="460"/>
      <c r="D25" s="234"/>
      <c r="E25" s="234"/>
      <c r="F25" s="446">
        <f>Dados!P8</f>
        <v>237.12749999999997</v>
      </c>
      <c r="G25" s="446"/>
      <c r="H25" s="446"/>
      <c r="I25" s="446"/>
      <c r="J25" s="447"/>
    </row>
    <row r="26" spans="1:12" ht="19.5" customHeight="1" x14ac:dyDescent="0.3">
      <c r="A26" s="686" t="s">
        <v>573</v>
      </c>
      <c r="B26" s="686"/>
      <c r="C26" s="460"/>
      <c r="D26" s="234"/>
      <c r="E26" s="234"/>
      <c r="F26" s="446">
        <f>EPI!F11</f>
        <v>4.9400000000000004</v>
      </c>
      <c r="G26" s="446"/>
      <c r="H26" s="446"/>
      <c r="I26" s="446"/>
      <c r="J26" s="447"/>
    </row>
    <row r="27" spans="1:12" ht="19.5" customHeight="1" x14ac:dyDescent="0.3">
      <c r="A27" s="688" t="s">
        <v>574</v>
      </c>
      <c r="B27" s="688"/>
      <c r="C27" s="462"/>
      <c r="D27" s="463"/>
      <c r="E27" s="463"/>
      <c r="F27" s="452">
        <f>Dados!$R$8</f>
        <v>7.9700000000000006</v>
      </c>
      <c r="G27" s="452">
        <f>F27</f>
        <v>7.9700000000000006</v>
      </c>
      <c r="H27" s="452"/>
      <c r="I27" s="452"/>
      <c r="J27" s="453"/>
    </row>
    <row r="28" spans="1:12" ht="19.5" customHeight="1" x14ac:dyDescent="0.3">
      <c r="A28" s="686" t="str">
        <f>Dados!$B$38</f>
        <v>Outros (inserir somente com a justificativa legal)</v>
      </c>
      <c r="B28" s="686"/>
      <c r="C28" s="460"/>
      <c r="D28" s="460"/>
      <c r="E28" s="234"/>
      <c r="F28" s="271">
        <f>Dados!$G$38</f>
        <v>0</v>
      </c>
      <c r="G28" s="446"/>
      <c r="H28" s="446"/>
      <c r="I28" s="271"/>
      <c r="J28" s="447"/>
    </row>
    <row r="29" spans="1:12" ht="18.75" customHeight="1" x14ac:dyDescent="0.3">
      <c r="A29" s="686" t="str">
        <f>Dados!$B$39</f>
        <v>Outros (inserir somente com a justificativa legal)</v>
      </c>
      <c r="B29" s="686"/>
      <c r="C29" s="460"/>
      <c r="D29" s="460"/>
      <c r="E29" s="234"/>
      <c r="F29" s="271">
        <f>Dados!$G$39</f>
        <v>0</v>
      </c>
      <c r="G29" s="446"/>
      <c r="H29" s="446"/>
      <c r="I29" s="271"/>
      <c r="J29" s="447"/>
    </row>
    <row r="30" spans="1:12" ht="19.5" customHeight="1" x14ac:dyDescent="0.3">
      <c r="A30" s="689" t="s">
        <v>575</v>
      </c>
      <c r="B30" s="689"/>
      <c r="C30" s="689"/>
      <c r="D30" s="689"/>
      <c r="E30" s="689"/>
      <c r="F30" s="457">
        <f>SUM(F19:F29)</f>
        <v>1694.9241666666669</v>
      </c>
      <c r="G30" s="457">
        <f>SUM(G19:G29)</f>
        <v>595.30999999999995</v>
      </c>
      <c r="H30" s="457">
        <f>SUM(H19:H29)</f>
        <v>510.4</v>
      </c>
      <c r="I30" s="457">
        <f>SUM(I19:I29)</f>
        <v>42.89</v>
      </c>
      <c r="J30" s="458">
        <f>SUM(J19:J29)</f>
        <v>0</v>
      </c>
    </row>
    <row r="31" spans="1:12" ht="19.5" customHeight="1" x14ac:dyDescent="0.3">
      <c r="A31" s="689" t="s">
        <v>576</v>
      </c>
      <c r="B31" s="689"/>
      <c r="C31" s="689"/>
      <c r="D31" s="689"/>
      <c r="E31" s="689"/>
      <c r="F31" s="457">
        <f>F16+F30</f>
        <v>4393.3341666666665</v>
      </c>
      <c r="G31" s="457">
        <f>G16+G30</f>
        <v>3293.72</v>
      </c>
      <c r="H31" s="457">
        <f>H16+H30</f>
        <v>510.4</v>
      </c>
      <c r="I31" s="457">
        <f>I16+I30</f>
        <v>42.89</v>
      </c>
      <c r="J31" s="458">
        <f>J16+J30</f>
        <v>0</v>
      </c>
    </row>
    <row r="32" spans="1:12" ht="19.5" customHeight="1" x14ac:dyDescent="0.3">
      <c r="A32" s="673" t="s">
        <v>577</v>
      </c>
      <c r="B32" s="673"/>
      <c r="C32" s="673"/>
      <c r="D32" s="673"/>
      <c r="E32" s="673"/>
      <c r="F32" s="673"/>
      <c r="G32" s="673"/>
      <c r="H32" s="673"/>
      <c r="I32" s="673"/>
      <c r="J32" s="673"/>
    </row>
    <row r="33" spans="1:12" ht="19.5" customHeight="1" x14ac:dyDescent="0.3">
      <c r="A33" s="683" t="s">
        <v>578</v>
      </c>
      <c r="B33" s="683"/>
      <c r="C33" s="683"/>
      <c r="D33" s="231" t="s">
        <v>579</v>
      </c>
      <c r="E33" s="690" t="s">
        <v>458</v>
      </c>
      <c r="F33" s="690"/>
      <c r="G33" s="690"/>
      <c r="H33" s="690"/>
      <c r="I33" s="690"/>
      <c r="J33" s="690"/>
    </row>
    <row r="34" spans="1:12" ht="19.5" customHeight="1" x14ac:dyDescent="0.3">
      <c r="A34" s="464" t="s">
        <v>580</v>
      </c>
      <c r="B34" s="465"/>
      <c r="C34" s="465"/>
      <c r="D34" s="466">
        <f>Dados!$G$42</f>
        <v>0.03</v>
      </c>
      <c r="E34" s="467"/>
      <c r="F34" s="446">
        <f>ROUND((F31*$D$34),2)</f>
        <v>131.80000000000001</v>
      </c>
      <c r="G34" s="446">
        <f>ROUND((G31*$D$34),2)</f>
        <v>98.81</v>
      </c>
      <c r="H34" s="446">
        <f>ROUND((H31*$D$34),2)</f>
        <v>15.31</v>
      </c>
      <c r="I34" s="446">
        <f>ROUND((I31*$D$34),2)</f>
        <v>1.29</v>
      </c>
      <c r="J34" s="447">
        <f>ROUND((J31*$D$34),2)</f>
        <v>0</v>
      </c>
    </row>
    <row r="35" spans="1:12" ht="19.5" customHeight="1" x14ac:dyDescent="0.3">
      <c r="A35" s="691" t="s">
        <v>581</v>
      </c>
      <c r="B35" s="691"/>
      <c r="C35" s="691"/>
      <c r="D35" s="466"/>
      <c r="E35" s="467"/>
      <c r="F35" s="446">
        <f>F31+F34</f>
        <v>4525.1341666666667</v>
      </c>
      <c r="G35" s="446">
        <f>G31+G34</f>
        <v>3392.5299999999997</v>
      </c>
      <c r="H35" s="446">
        <f>H31+H34</f>
        <v>525.70999999999992</v>
      </c>
      <c r="I35" s="446">
        <f>I31+I34</f>
        <v>44.18</v>
      </c>
      <c r="J35" s="447">
        <f>J31+J34</f>
        <v>0</v>
      </c>
    </row>
    <row r="36" spans="1:12" ht="19.5" customHeight="1" x14ac:dyDescent="0.3">
      <c r="A36" s="468" t="s">
        <v>234</v>
      </c>
      <c r="B36" s="469"/>
      <c r="C36" s="469"/>
      <c r="D36" s="450">
        <f>Dados!$G$43</f>
        <v>6.7900000000000002E-2</v>
      </c>
      <c r="E36" s="470"/>
      <c r="F36" s="452">
        <f>ROUND((F35*$D$36),2)</f>
        <v>307.26</v>
      </c>
      <c r="G36" s="452">
        <f>ROUND((G35*$D$36),2)</f>
        <v>230.35</v>
      </c>
      <c r="H36" s="452">
        <f>ROUND((H35*$D$36),2)</f>
        <v>35.700000000000003</v>
      </c>
      <c r="I36" s="452">
        <f>ROUND((I35*$D$36),2)</f>
        <v>3</v>
      </c>
      <c r="J36" s="453">
        <f>ROUND((J35*$D$36),2)</f>
        <v>0</v>
      </c>
    </row>
    <row r="37" spans="1:12" ht="19.5" customHeight="1" x14ac:dyDescent="0.3">
      <c r="A37" s="471" t="s">
        <v>582</v>
      </c>
      <c r="B37" s="472"/>
      <c r="C37" s="472"/>
      <c r="D37" s="473">
        <f>SUM(D34:D36)</f>
        <v>9.7900000000000001E-2</v>
      </c>
      <c r="E37" s="474"/>
      <c r="F37" s="457">
        <f>F34+F36</f>
        <v>439.06</v>
      </c>
      <c r="G37" s="457">
        <f>G34+G36</f>
        <v>329.15999999999997</v>
      </c>
      <c r="H37" s="457">
        <f>H34+H36</f>
        <v>51.010000000000005</v>
      </c>
      <c r="I37" s="457">
        <f>I34+I36</f>
        <v>4.29</v>
      </c>
      <c r="J37" s="458">
        <f>J34+J36</f>
        <v>0</v>
      </c>
    </row>
    <row r="38" spans="1:12" ht="19.5" customHeight="1" x14ac:dyDescent="0.3">
      <c r="A38" s="692" t="s">
        <v>583</v>
      </c>
      <c r="B38" s="692"/>
      <c r="C38" s="692"/>
      <c r="D38" s="692"/>
      <c r="E38" s="692"/>
      <c r="F38" s="475">
        <f>F31+F37</f>
        <v>4832.3941666666669</v>
      </c>
      <c r="G38" s="475">
        <f>G31+G37</f>
        <v>3622.8799999999997</v>
      </c>
      <c r="H38" s="475">
        <f>H31+H37</f>
        <v>561.41</v>
      </c>
      <c r="I38" s="475">
        <f>I31+I37</f>
        <v>47.18</v>
      </c>
      <c r="J38" s="476">
        <f>J31+J37</f>
        <v>0</v>
      </c>
    </row>
    <row r="39" spans="1:12" ht="19.5" customHeight="1" x14ac:dyDescent="0.3">
      <c r="A39" s="693" t="s">
        <v>584</v>
      </c>
      <c r="B39" s="693"/>
      <c r="C39" s="693"/>
      <c r="D39" s="693"/>
      <c r="E39" s="693"/>
      <c r="F39" s="693"/>
      <c r="G39" s="693"/>
      <c r="H39" s="693"/>
      <c r="I39" s="693"/>
      <c r="J39" s="693"/>
    </row>
    <row r="40" spans="1:12" ht="19.5" customHeight="1" x14ac:dyDescent="0.3">
      <c r="A40" s="686" t="s">
        <v>240</v>
      </c>
      <c r="B40" s="686"/>
      <c r="C40" s="686"/>
      <c r="D40" s="466">
        <f>Dados!G50</f>
        <v>7.5999999999999998E-2</v>
      </c>
      <c r="E40" s="446"/>
      <c r="F40" s="446">
        <f>ROUND(($F$46*D40),2)</f>
        <v>418.53</v>
      </c>
      <c r="G40" s="446">
        <f>ROUND((G46*$D$40),2)</f>
        <v>313.77999999999997</v>
      </c>
      <c r="H40" s="446">
        <f>ROUND((H46*$D$40),2)</f>
        <v>48.62</v>
      </c>
      <c r="I40" s="446">
        <f>ROUND((I46*$D$40),2)</f>
        <v>4.09</v>
      </c>
      <c r="J40" s="447">
        <f>ROUND((J46*$D$40),2)</f>
        <v>0</v>
      </c>
    </row>
    <row r="41" spans="1:12" ht="19.5" customHeight="1" x14ac:dyDescent="0.3">
      <c r="A41" s="686" t="s">
        <v>242</v>
      </c>
      <c r="B41" s="686"/>
      <c r="C41" s="686"/>
      <c r="D41" s="466">
        <f>Dados!G51</f>
        <v>1.6500000000000001E-2</v>
      </c>
      <c r="E41" s="446"/>
      <c r="F41" s="446">
        <f>ROUND((F46*$D$41),2)</f>
        <v>90.87</v>
      </c>
      <c r="G41" s="446">
        <f>ROUND((G46*$D$41),2)</f>
        <v>68.12</v>
      </c>
      <c r="H41" s="446">
        <f>ROUND((H46*$D$41),2)</f>
        <v>10.56</v>
      </c>
      <c r="I41" s="446">
        <f>ROUND((I46*$D$41),2)</f>
        <v>0.89</v>
      </c>
      <c r="J41" s="447">
        <f>ROUND((J46*$D$41),2)</f>
        <v>0</v>
      </c>
    </row>
    <row r="42" spans="1:12" ht="19.5" customHeight="1" x14ac:dyDescent="0.3">
      <c r="A42" s="686" t="s">
        <v>243</v>
      </c>
      <c r="B42" s="686"/>
      <c r="C42" s="686"/>
      <c r="D42" s="466">
        <f>Dados!G52</f>
        <v>0.03</v>
      </c>
      <c r="E42" s="446"/>
      <c r="F42" s="446">
        <f>ROUND((F46*$D$42),2)</f>
        <v>165.21</v>
      </c>
      <c r="G42" s="446">
        <f>ROUND((G46*$D$42),2)</f>
        <v>123.86</v>
      </c>
      <c r="H42" s="446">
        <f>ROUND((H46*$D$42),2)</f>
        <v>19.190000000000001</v>
      </c>
      <c r="I42" s="446">
        <f>ROUND((I46*$D$42),2)</f>
        <v>1.61</v>
      </c>
      <c r="J42" s="447">
        <f>ROUND((J46*$D$42),2)</f>
        <v>0</v>
      </c>
    </row>
    <row r="43" spans="1:12" ht="19.5" customHeight="1" x14ac:dyDescent="0.3">
      <c r="A43" s="686" t="s">
        <v>229</v>
      </c>
      <c r="B43" s="686"/>
      <c r="C43" s="686"/>
      <c r="D43" s="466">
        <f>Dados!G53</f>
        <v>0</v>
      </c>
      <c r="E43" s="446"/>
      <c r="F43" s="446">
        <f>ROUND((F46*$D$43),2)</f>
        <v>0</v>
      </c>
      <c r="G43" s="446">
        <f>ROUND((G46*$D$43),2)</f>
        <v>0</v>
      </c>
      <c r="H43" s="446">
        <f>ROUND((H46*$D$43),2)</f>
        <v>0</v>
      </c>
      <c r="I43" s="446">
        <f>ROUND((I46*$D$43),2)</f>
        <v>0</v>
      </c>
      <c r="J43" s="447">
        <f>ROUND((J46*$D$43),2)</f>
        <v>0</v>
      </c>
    </row>
    <row r="44" spans="1:12" ht="19.5" customHeight="1" x14ac:dyDescent="0.3">
      <c r="A44" s="696" t="s">
        <v>585</v>
      </c>
      <c r="B44" s="696"/>
      <c r="C44" s="696"/>
      <c r="D44" s="477">
        <f>SUM(D40:D43)</f>
        <v>0.1225</v>
      </c>
      <c r="E44" s="478"/>
      <c r="F44" s="479">
        <f>SUM(F40:F43)</f>
        <v>674.61</v>
      </c>
      <c r="G44" s="479">
        <f>SUM(G40:G43)</f>
        <v>505.76</v>
      </c>
      <c r="H44" s="479">
        <f>SUM(H40:H43)</f>
        <v>78.37</v>
      </c>
      <c r="I44" s="479">
        <f>SUM(I40:I43)</f>
        <v>6.59</v>
      </c>
      <c r="J44" s="480">
        <f>SUM(J40:J42)</f>
        <v>0</v>
      </c>
    </row>
    <row r="45" spans="1:12" ht="19.5" customHeight="1" x14ac:dyDescent="0.3">
      <c r="A45" s="697" t="str">
        <f>CONCATENATE("Custo Mensal - ",A7)</f>
        <v>Custo Mensal - Servente de Limpeza  com acúmulo de função Copeira</v>
      </c>
      <c r="B45" s="697"/>
      <c r="C45" s="697"/>
      <c r="D45" s="697"/>
      <c r="E45" s="697"/>
      <c r="F45" s="481">
        <f>ROUND(F38/(1-D44),2)</f>
        <v>5507</v>
      </c>
      <c r="G45" s="481">
        <f>ROUND(G38/(1-D44),2)</f>
        <v>4128.6400000000003</v>
      </c>
      <c r="H45" s="481">
        <f>ROUND(H38/(1-D44),2)</f>
        <v>639.78</v>
      </c>
      <c r="I45" s="481">
        <f>ROUND(I38/(1-D44),2)</f>
        <v>53.77</v>
      </c>
      <c r="J45" s="482">
        <f>ROUND(J38/(1-D44),2)</f>
        <v>0</v>
      </c>
    </row>
    <row r="46" spans="1:12" ht="19.5" customHeight="1" x14ac:dyDescent="0.3">
      <c r="A46" s="697" t="str">
        <f>CONCATENATE("Valor do Custo Mensal - ",A7)</f>
        <v>Valor do Custo Mensal - Servente de Limpeza  com acúmulo de função Copeira</v>
      </c>
      <c r="B46" s="697"/>
      <c r="C46" s="697"/>
      <c r="D46" s="697"/>
      <c r="E46" s="697"/>
      <c r="F46" s="481">
        <f>F45</f>
        <v>5507</v>
      </c>
      <c r="G46" s="481">
        <f>G45</f>
        <v>4128.6400000000003</v>
      </c>
      <c r="H46" s="481">
        <f>H45</f>
        <v>639.78</v>
      </c>
      <c r="I46" s="481">
        <f>I45</f>
        <v>53.77</v>
      </c>
      <c r="J46" s="482">
        <f>J45</f>
        <v>0</v>
      </c>
      <c r="K46" s="483"/>
      <c r="L46" s="483"/>
    </row>
    <row r="47" spans="1:12" ht="27.75" customHeight="1" x14ac:dyDescent="0.3">
      <c r="A47" s="694" t="s">
        <v>586</v>
      </c>
      <c r="B47" s="694"/>
      <c r="C47" s="694"/>
      <c r="D47" s="694"/>
      <c r="E47" s="694"/>
      <c r="F47" s="484">
        <f>(F46/F14)</f>
        <v>3.6000287636218631</v>
      </c>
      <c r="G47" s="484">
        <f>(G46/G14)</f>
        <v>2.6989690856436841</v>
      </c>
      <c r="H47" s="695" t="s">
        <v>587</v>
      </c>
      <c r="I47" s="695"/>
      <c r="J47" s="485">
        <v>0</v>
      </c>
    </row>
    <row r="48" spans="1:12" ht="19.5" customHeight="1" x14ac:dyDescent="0.3"/>
  </sheetData>
  <sheetProtection algorithmName="SHA-512" hashValue="nqUsPzbs9HvEB5E+GCZG6bOysgqtEuR/kRbuvuNQx2n5FX98jp9G65cKzOtWquX9MMtdevu4nh7BVZgzjdLc8w==" saltValue="udm12j6hGCi84ekDEC6tUg==" spinCount="100000" sheet="1" objects="1" scenarios="1"/>
  <mergeCells count="51">
    <mergeCell ref="A47:E47"/>
    <mergeCell ref="H47:I47"/>
    <mergeCell ref="A42:C42"/>
    <mergeCell ref="A43:C43"/>
    <mergeCell ref="A44:C44"/>
    <mergeCell ref="A45:E45"/>
    <mergeCell ref="A46:E46"/>
    <mergeCell ref="A35:C35"/>
    <mergeCell ref="A38:E38"/>
    <mergeCell ref="A39:J39"/>
    <mergeCell ref="A40:C40"/>
    <mergeCell ref="A41:C41"/>
    <mergeCell ref="A29:B29"/>
    <mergeCell ref="A30:E30"/>
    <mergeCell ref="A31:E31"/>
    <mergeCell ref="A32:J32"/>
    <mergeCell ref="A33:C33"/>
    <mergeCell ref="E33:J33"/>
    <mergeCell ref="A24:B24"/>
    <mergeCell ref="A25:B25"/>
    <mergeCell ref="A26:B26"/>
    <mergeCell ref="A27:B27"/>
    <mergeCell ref="A28:B28"/>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8"/>
  <sheetViews>
    <sheetView showGridLines="0" view="pageBreakPreview" zoomScale="60" zoomScaleNormal="100" workbookViewId="0">
      <selection activeCell="N10" sqref="N10"/>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10" width="12.5546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67" t="s">
        <v>550</v>
      </c>
      <c r="B4" s="667"/>
      <c r="C4" s="667"/>
      <c r="D4" s="667"/>
      <c r="E4" s="667"/>
      <c r="F4" s="667"/>
      <c r="G4" s="667"/>
      <c r="H4" s="667"/>
      <c r="I4" s="667"/>
      <c r="J4" s="667"/>
    </row>
    <row r="5" spans="1:10" ht="19.5" customHeight="1" x14ac:dyDescent="0.3">
      <c r="A5" s="668" t="s">
        <v>286</v>
      </c>
      <c r="B5" s="668"/>
      <c r="C5" s="668"/>
      <c r="D5" s="668"/>
      <c r="E5" s="668"/>
      <c r="F5" s="668"/>
      <c r="G5" s="668"/>
      <c r="H5" s="668"/>
      <c r="I5" s="668"/>
      <c r="J5" s="668"/>
    </row>
    <row r="6" spans="1:10" ht="36" customHeight="1" x14ac:dyDescent="0.3">
      <c r="A6" s="669" t="str">
        <f>Dados!A4</f>
        <v>Sindicato utilizado - SINSERTH x SINTAPPI. Vigência: 01/04/2025 à 31/03/2026. Sendo a data base da categoria 1 de abril. Com número de registro no MTE MG001973/2025.</v>
      </c>
      <c r="B6" s="669"/>
      <c r="C6" s="669"/>
      <c r="D6" s="669"/>
      <c r="E6" s="669"/>
      <c r="F6" s="669"/>
      <c r="G6" s="669"/>
      <c r="H6" s="669"/>
      <c r="I6" s="669"/>
      <c r="J6" s="669"/>
    </row>
    <row r="7" spans="1:10" ht="19.5" customHeight="1" x14ac:dyDescent="0.3">
      <c r="A7" s="670" t="str">
        <f>Dados!C9</f>
        <v>Servente de Limpeza com adicional de  Insalubridade 40%</v>
      </c>
      <c r="B7" s="670"/>
      <c r="C7" s="670"/>
      <c r="D7" s="670"/>
      <c r="E7" s="670"/>
      <c r="F7" s="671" t="s">
        <v>551</v>
      </c>
      <c r="G7" s="671" t="s">
        <v>552</v>
      </c>
      <c r="H7" s="671" t="s">
        <v>553</v>
      </c>
      <c r="I7" s="671" t="s">
        <v>554</v>
      </c>
      <c r="J7" s="671" t="s">
        <v>555</v>
      </c>
    </row>
    <row r="8" spans="1:10" ht="19.5" customHeight="1" x14ac:dyDescent="0.3">
      <c r="A8" s="672" t="s">
        <v>588</v>
      </c>
      <c r="B8" s="672"/>
      <c r="C8" s="672"/>
      <c r="D8" s="672"/>
      <c r="E8" s="441" t="s">
        <v>454</v>
      </c>
      <c r="F8" s="671"/>
      <c r="G8" s="671"/>
      <c r="H8" s="671"/>
      <c r="I8" s="671"/>
      <c r="J8" s="671"/>
    </row>
    <row r="9" spans="1:10" ht="19.5" customHeight="1" x14ac:dyDescent="0.3">
      <c r="A9" s="673" t="s">
        <v>557</v>
      </c>
      <c r="B9" s="673"/>
      <c r="C9" s="673"/>
      <c r="D9" s="673"/>
      <c r="E9" s="673"/>
      <c r="F9" s="673"/>
      <c r="G9" s="673"/>
      <c r="H9" s="673"/>
      <c r="I9" s="673"/>
      <c r="J9" s="673"/>
    </row>
    <row r="10" spans="1:10" ht="24" customHeight="1" x14ac:dyDescent="0.3">
      <c r="A10" s="177" t="s">
        <v>455</v>
      </c>
      <c r="B10" s="674" t="s">
        <v>558</v>
      </c>
      <c r="C10" s="674"/>
      <c r="D10" s="442" t="s">
        <v>559</v>
      </c>
      <c r="E10" s="443" t="s">
        <v>560</v>
      </c>
      <c r="F10" s="675" t="s">
        <v>458</v>
      </c>
      <c r="G10" s="675"/>
      <c r="H10" s="675"/>
      <c r="I10" s="675"/>
      <c r="J10" s="675"/>
    </row>
    <row r="11" spans="1:10" ht="19.5" customHeight="1" x14ac:dyDescent="0.3">
      <c r="A11" s="676">
        <v>1</v>
      </c>
      <c r="B11" s="678" t="str">
        <f>A7</f>
        <v>Servente de Limpeza com adicional de  Insalubridade 40%</v>
      </c>
      <c r="C11" s="678"/>
      <c r="D11" s="41">
        <f>Dados!D9</f>
        <v>200</v>
      </c>
      <c r="E11" s="445">
        <f>Dados!E9</f>
        <v>1633.68</v>
      </c>
      <c r="F11" s="446">
        <f>ROUND(E11/220*D11,2)</f>
        <v>1485.16</v>
      </c>
      <c r="G11" s="446">
        <f>F11</f>
        <v>1485.16</v>
      </c>
      <c r="H11" s="446"/>
      <c r="I11" s="446"/>
      <c r="J11" s="447"/>
    </row>
    <row r="12" spans="1:10" ht="19.5" customHeight="1" x14ac:dyDescent="0.3">
      <c r="A12" s="676"/>
      <c r="B12" s="678" t="s">
        <v>561</v>
      </c>
      <c r="C12" s="678"/>
      <c r="D12" s="466">
        <f>Dados!G9</f>
        <v>0.4</v>
      </c>
      <c r="E12" s="445">
        <f>Dados!G26</f>
        <v>1621</v>
      </c>
      <c r="F12" s="446">
        <f>D12*E12</f>
        <v>648.40000000000009</v>
      </c>
      <c r="G12" s="446">
        <f>F12</f>
        <v>648.40000000000009</v>
      </c>
      <c r="H12" s="446"/>
      <c r="I12" s="446"/>
      <c r="J12" s="447">
        <f>F12</f>
        <v>648.40000000000009</v>
      </c>
    </row>
    <row r="13" spans="1:10" ht="20.25" customHeight="1" x14ac:dyDescent="0.3">
      <c r="A13" s="676"/>
      <c r="B13" s="449" t="s">
        <v>562</v>
      </c>
      <c r="C13" s="450">
        <f>Dados!I9</f>
        <v>0</v>
      </c>
      <c r="D13" s="450">
        <f>Dados!J9</f>
        <v>0</v>
      </c>
      <c r="E13" s="451">
        <f>Dados!I9</f>
        <v>0</v>
      </c>
      <c r="F13" s="452">
        <f>ROUND((E13*D13*C13),2)</f>
        <v>0</v>
      </c>
      <c r="G13" s="452">
        <f>F13</f>
        <v>0</v>
      </c>
      <c r="H13" s="452"/>
      <c r="I13" s="452"/>
      <c r="J13" s="453"/>
    </row>
    <row r="14" spans="1:10" ht="19.5" customHeight="1" x14ac:dyDescent="0.3">
      <c r="A14" s="676"/>
      <c r="B14" s="679" t="s">
        <v>563</v>
      </c>
      <c r="C14" s="679"/>
      <c r="D14" s="679"/>
      <c r="E14" s="679"/>
      <c r="F14" s="454">
        <f>SUM(F11:F13)</f>
        <v>2133.5600000000004</v>
      </c>
      <c r="G14" s="454">
        <f>SUM(G11:G13)</f>
        <v>2133.5600000000004</v>
      </c>
      <c r="H14" s="454">
        <f>SUM(H11:H13)</f>
        <v>0</v>
      </c>
      <c r="I14" s="454">
        <f>SUM(I11:I13)</f>
        <v>0</v>
      </c>
      <c r="J14" s="455">
        <f>SUM(J11:J13)</f>
        <v>648.40000000000009</v>
      </c>
    </row>
    <row r="15" spans="1:10" ht="19.5" customHeight="1" x14ac:dyDescent="0.3">
      <c r="A15" s="676"/>
      <c r="B15" s="680" t="s">
        <v>564</v>
      </c>
      <c r="C15" s="680"/>
      <c r="D15" s="680"/>
      <c r="E15" s="456">
        <f>Encargos!$C$57</f>
        <v>0.76400000000000001</v>
      </c>
      <c r="F15" s="446">
        <f>ROUND((E15*F14),2)</f>
        <v>1630.04</v>
      </c>
      <c r="G15" s="446">
        <f>F15</f>
        <v>1630.04</v>
      </c>
      <c r="H15" s="446"/>
      <c r="I15" s="446"/>
      <c r="J15" s="447">
        <f>ROUND((E15*J14),2)</f>
        <v>495.38</v>
      </c>
    </row>
    <row r="16" spans="1:10" ht="19.5" customHeight="1" x14ac:dyDescent="0.3">
      <c r="A16" s="681" t="s">
        <v>565</v>
      </c>
      <c r="B16" s="681"/>
      <c r="C16" s="681"/>
      <c r="D16" s="681"/>
      <c r="E16" s="681"/>
      <c r="F16" s="457">
        <f>SUM(F14:F15)</f>
        <v>3763.6000000000004</v>
      </c>
      <c r="G16" s="457">
        <f>SUM(G14:G15)</f>
        <v>3763.6000000000004</v>
      </c>
      <c r="H16" s="457">
        <f>SUM(H14:H15)</f>
        <v>0</v>
      </c>
      <c r="I16" s="457">
        <f>SUM(I14:I15)</f>
        <v>0</v>
      </c>
      <c r="J16" s="458">
        <f>SUM(J14:J15)</f>
        <v>1143.7800000000002</v>
      </c>
    </row>
    <row r="17" spans="1:12" ht="19.5" customHeight="1" x14ac:dyDescent="0.3">
      <c r="A17" s="682" t="s">
        <v>566</v>
      </c>
      <c r="B17" s="682"/>
      <c r="C17" s="682"/>
      <c r="D17" s="682"/>
      <c r="E17" s="682"/>
      <c r="F17" s="682"/>
      <c r="G17" s="682"/>
      <c r="H17" s="682"/>
      <c r="I17" s="682"/>
      <c r="J17" s="682"/>
    </row>
    <row r="18" spans="1:12" ht="19.5" customHeight="1" x14ac:dyDescent="0.3">
      <c r="A18" s="683" t="s">
        <v>567</v>
      </c>
      <c r="B18" s="683"/>
      <c r="C18" s="15" t="s">
        <v>457</v>
      </c>
      <c r="D18" s="684" t="s">
        <v>589</v>
      </c>
      <c r="E18" s="684"/>
      <c r="F18" s="685" t="s">
        <v>458</v>
      </c>
      <c r="G18" s="685"/>
      <c r="H18" s="685"/>
      <c r="I18" s="685"/>
      <c r="J18" s="685"/>
    </row>
    <row r="19" spans="1:12" ht="19.5" customHeight="1" x14ac:dyDescent="0.3">
      <c r="A19" s="686" t="s">
        <v>569</v>
      </c>
      <c r="B19" s="686"/>
      <c r="C19" s="234"/>
      <c r="D19" s="234"/>
      <c r="E19" s="234"/>
      <c r="F19" s="446">
        <f>Dados!$N$9</f>
        <v>26.86</v>
      </c>
      <c r="G19" s="446">
        <f>F19</f>
        <v>26.86</v>
      </c>
      <c r="H19" s="446"/>
      <c r="I19" s="446"/>
      <c r="J19" s="447"/>
    </row>
    <row r="20" spans="1:12" ht="19.5" customHeight="1" x14ac:dyDescent="0.3">
      <c r="A20" s="686" t="s">
        <v>570</v>
      </c>
      <c r="B20" s="686"/>
      <c r="C20" s="234"/>
      <c r="D20" s="234"/>
      <c r="E20" s="234"/>
      <c r="F20" s="446">
        <f>Dados!$G$29</f>
        <v>5.27</v>
      </c>
      <c r="G20" s="446">
        <f>F20</f>
        <v>5.27</v>
      </c>
      <c r="H20" s="446"/>
      <c r="I20" s="446"/>
      <c r="J20" s="447"/>
    </row>
    <row r="21" spans="1:12" ht="23.25" customHeight="1" x14ac:dyDescent="0.3">
      <c r="A21" s="687" t="s">
        <v>216</v>
      </c>
      <c r="B21" s="687"/>
      <c r="C21" s="234"/>
      <c r="D21" s="234"/>
      <c r="E21" s="234"/>
      <c r="F21" s="446">
        <f>Dados!G30</f>
        <v>0</v>
      </c>
      <c r="G21" s="446">
        <f>F21</f>
        <v>0</v>
      </c>
      <c r="H21" s="446"/>
      <c r="I21" s="446"/>
      <c r="J21" s="447"/>
    </row>
    <row r="22" spans="1:12" ht="19.5" customHeight="1" x14ac:dyDescent="0.3">
      <c r="A22" s="686" t="s">
        <v>217</v>
      </c>
      <c r="B22" s="686"/>
      <c r="C22" s="460">
        <f>Dados!$G$33</f>
        <v>22</v>
      </c>
      <c r="D22" s="460">
        <f>Dados!$G$32</f>
        <v>2</v>
      </c>
      <c r="E22" s="234">
        <f>Dados!$G$31</f>
        <v>3</v>
      </c>
      <c r="F22" s="446">
        <f>IF(ROUND((E22*D22*C22)-(F11*Dados!$G$34),2)&lt;0,0,ROUND((E22*D22*C22)-(F11*Dados!$G$34),2))</f>
        <v>42.89</v>
      </c>
      <c r="G22" s="446">
        <f>F22</f>
        <v>42.89</v>
      </c>
      <c r="H22" s="446"/>
      <c r="I22" s="446">
        <f>F22</f>
        <v>42.89</v>
      </c>
      <c r="J22" s="447"/>
    </row>
    <row r="23" spans="1:12" ht="19.5" customHeight="1" x14ac:dyDescent="0.3">
      <c r="A23" s="686" t="s">
        <v>226</v>
      </c>
      <c r="B23" s="686"/>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86" t="s">
        <v>571</v>
      </c>
      <c r="B24" s="686"/>
      <c r="C24" s="460"/>
      <c r="D24" s="234"/>
      <c r="E24" s="234"/>
      <c r="F24" s="446">
        <f>Dados!$O$9</f>
        <v>857.54666666666674</v>
      </c>
      <c r="G24" s="446"/>
      <c r="H24" s="446"/>
      <c r="I24" s="446"/>
      <c r="J24" s="447"/>
      <c r="L24" s="71"/>
    </row>
    <row r="25" spans="1:12" ht="19.5" customHeight="1" x14ac:dyDescent="0.3">
      <c r="A25" s="686" t="s">
        <v>572</v>
      </c>
      <c r="B25" s="686"/>
      <c r="C25" s="460"/>
      <c r="D25" s="234"/>
      <c r="E25" s="234"/>
      <c r="F25" s="446"/>
      <c r="G25" s="446"/>
      <c r="H25" s="446"/>
      <c r="I25" s="446"/>
      <c r="J25" s="447"/>
    </row>
    <row r="26" spans="1:12" ht="19.5" customHeight="1" x14ac:dyDescent="0.3">
      <c r="A26" s="686" t="s">
        <v>573</v>
      </c>
      <c r="B26" s="686"/>
      <c r="C26" s="460"/>
      <c r="D26" s="234"/>
      <c r="E26" s="234"/>
      <c r="F26" s="446">
        <f>EPI!F11</f>
        <v>4.9400000000000004</v>
      </c>
      <c r="G26" s="446"/>
      <c r="H26" s="446"/>
      <c r="I26" s="446"/>
      <c r="J26" s="447"/>
    </row>
    <row r="27" spans="1:12" ht="19.5" customHeight="1" x14ac:dyDescent="0.3">
      <c r="A27" s="688" t="s">
        <v>574</v>
      </c>
      <c r="B27" s="688"/>
      <c r="C27" s="462"/>
      <c r="D27" s="463"/>
      <c r="E27" s="463"/>
      <c r="F27" s="452">
        <f>Dados!$R$9</f>
        <v>7.9700000000000006</v>
      </c>
      <c r="G27" s="452">
        <f>F27</f>
        <v>7.9700000000000006</v>
      </c>
      <c r="H27" s="452"/>
      <c r="I27" s="452"/>
      <c r="J27" s="453"/>
    </row>
    <row r="28" spans="1:12" ht="18.75" customHeight="1" x14ac:dyDescent="0.3">
      <c r="A28" s="686" t="str">
        <f>Dados!$B$38</f>
        <v>Outros (inserir somente com a justificativa legal)</v>
      </c>
      <c r="B28" s="686"/>
      <c r="C28" s="460"/>
      <c r="D28" s="460"/>
      <c r="E28" s="234"/>
      <c r="F28" s="271">
        <f>Dados!$G$38</f>
        <v>0</v>
      </c>
      <c r="G28" s="446"/>
      <c r="H28" s="446"/>
      <c r="I28" s="271"/>
      <c r="J28" s="447"/>
    </row>
    <row r="29" spans="1:12" ht="18.75" customHeight="1" x14ac:dyDescent="0.3">
      <c r="A29" s="686" t="str">
        <f>Dados!$B$39</f>
        <v>Outros (inserir somente com a justificativa legal)</v>
      </c>
      <c r="B29" s="686"/>
      <c r="C29" s="460"/>
      <c r="D29" s="460"/>
      <c r="E29" s="234"/>
      <c r="F29" s="271">
        <f>Dados!$G$39</f>
        <v>0</v>
      </c>
      <c r="G29" s="446"/>
      <c r="H29" s="446"/>
      <c r="I29" s="271"/>
      <c r="J29" s="447"/>
    </row>
    <row r="30" spans="1:12" ht="19.5" customHeight="1" x14ac:dyDescent="0.3">
      <c r="A30" s="689" t="s">
        <v>575</v>
      </c>
      <c r="B30" s="689"/>
      <c r="C30" s="689"/>
      <c r="D30" s="689"/>
      <c r="E30" s="689"/>
      <c r="F30" s="457">
        <f>SUM(F19:F29)</f>
        <v>1455.8766666666668</v>
      </c>
      <c r="G30" s="457">
        <f>SUM(G19:G29)</f>
        <v>593.39</v>
      </c>
      <c r="H30" s="457">
        <f>SUM(H19:H29)</f>
        <v>510.4</v>
      </c>
      <c r="I30" s="457">
        <f>SUM(I19:I29)</f>
        <v>42.89</v>
      </c>
      <c r="J30" s="458">
        <f>SUM(J19:J29)</f>
        <v>0</v>
      </c>
    </row>
    <row r="31" spans="1:12" ht="19.5" customHeight="1" x14ac:dyDescent="0.3">
      <c r="A31" s="689" t="s">
        <v>576</v>
      </c>
      <c r="B31" s="689"/>
      <c r="C31" s="689"/>
      <c r="D31" s="689"/>
      <c r="E31" s="689"/>
      <c r="F31" s="457">
        <f>F16+F30</f>
        <v>5219.4766666666674</v>
      </c>
      <c r="G31" s="457">
        <f>G16+G30</f>
        <v>4356.9900000000007</v>
      </c>
      <c r="H31" s="457">
        <f>H16+H30</f>
        <v>510.4</v>
      </c>
      <c r="I31" s="457">
        <f>I16+I30</f>
        <v>42.89</v>
      </c>
      <c r="J31" s="458">
        <f>J16+J30</f>
        <v>1143.7800000000002</v>
      </c>
    </row>
    <row r="32" spans="1:12" ht="19.5" customHeight="1" x14ac:dyDescent="0.3">
      <c r="A32" s="673" t="s">
        <v>577</v>
      </c>
      <c r="B32" s="673"/>
      <c r="C32" s="673"/>
      <c r="D32" s="673"/>
      <c r="E32" s="673"/>
      <c r="F32" s="673"/>
      <c r="G32" s="673"/>
      <c r="H32" s="673"/>
      <c r="I32" s="673"/>
      <c r="J32" s="673"/>
    </row>
    <row r="33" spans="1:12" ht="19.5" customHeight="1" x14ac:dyDescent="0.3">
      <c r="A33" s="683" t="s">
        <v>578</v>
      </c>
      <c r="B33" s="683"/>
      <c r="C33" s="683"/>
      <c r="D33" s="231" t="s">
        <v>579</v>
      </c>
      <c r="E33" s="690" t="s">
        <v>458</v>
      </c>
      <c r="F33" s="690"/>
      <c r="G33" s="690"/>
      <c r="H33" s="690"/>
      <c r="I33" s="690"/>
      <c r="J33" s="690"/>
    </row>
    <row r="34" spans="1:12" ht="19.5" customHeight="1" x14ac:dyDescent="0.3">
      <c r="A34" s="464" t="s">
        <v>580</v>
      </c>
      <c r="B34" s="465"/>
      <c r="C34" s="465"/>
      <c r="D34" s="466">
        <f>Dados!$G$42</f>
        <v>0.03</v>
      </c>
      <c r="E34" s="467"/>
      <c r="F34" s="446">
        <f>ROUND((F31*$D$34),2)</f>
        <v>156.58000000000001</v>
      </c>
      <c r="G34" s="446">
        <f>ROUND((G31*$D$34),2)</f>
        <v>130.71</v>
      </c>
      <c r="H34" s="446">
        <f>ROUND((H31*$D$34),2)</f>
        <v>15.31</v>
      </c>
      <c r="I34" s="446">
        <f>ROUND((I31*$D$34),2)</f>
        <v>1.29</v>
      </c>
      <c r="J34" s="447">
        <f>ROUND((J31*$D$34),2)</f>
        <v>34.31</v>
      </c>
    </row>
    <row r="35" spans="1:12" ht="19.5" customHeight="1" x14ac:dyDescent="0.3">
      <c r="A35" s="691" t="s">
        <v>581</v>
      </c>
      <c r="B35" s="691"/>
      <c r="C35" s="691"/>
      <c r="D35" s="466"/>
      <c r="E35" s="467"/>
      <c r="F35" s="446">
        <f>F31+F34</f>
        <v>5376.0566666666673</v>
      </c>
      <c r="G35" s="446">
        <f>G31+G34</f>
        <v>4487.7000000000007</v>
      </c>
      <c r="H35" s="446">
        <f>H31+H34</f>
        <v>525.70999999999992</v>
      </c>
      <c r="I35" s="446">
        <f>I31+I34</f>
        <v>44.18</v>
      </c>
      <c r="J35" s="447">
        <f>J31+J34</f>
        <v>1178.0900000000001</v>
      </c>
    </row>
    <row r="36" spans="1:12" ht="19.5" customHeight="1" x14ac:dyDescent="0.3">
      <c r="A36" s="468" t="s">
        <v>234</v>
      </c>
      <c r="B36" s="469"/>
      <c r="C36" s="469"/>
      <c r="D36" s="450">
        <f>Dados!$G$43</f>
        <v>6.7900000000000002E-2</v>
      </c>
      <c r="E36" s="470"/>
      <c r="F36" s="452">
        <f>ROUND((F35*$D$36),2)</f>
        <v>365.03</v>
      </c>
      <c r="G36" s="452">
        <f>ROUND((G35*$D$36),2)</f>
        <v>304.70999999999998</v>
      </c>
      <c r="H36" s="452">
        <f>ROUND((H35*$D$36),2)</f>
        <v>35.700000000000003</v>
      </c>
      <c r="I36" s="452">
        <f>ROUND((I35*$D$36),2)</f>
        <v>3</v>
      </c>
      <c r="J36" s="453">
        <f>ROUND((J35*$D$36),2)</f>
        <v>79.989999999999995</v>
      </c>
    </row>
    <row r="37" spans="1:12" ht="19.5" customHeight="1" x14ac:dyDescent="0.3">
      <c r="A37" s="471" t="s">
        <v>582</v>
      </c>
      <c r="B37" s="472"/>
      <c r="C37" s="472"/>
      <c r="D37" s="473">
        <f>SUM(D34:D36)</f>
        <v>9.7900000000000001E-2</v>
      </c>
      <c r="E37" s="474"/>
      <c r="F37" s="457">
        <f>F34+F36</f>
        <v>521.61</v>
      </c>
      <c r="G37" s="457">
        <f>G34+G36</f>
        <v>435.41999999999996</v>
      </c>
      <c r="H37" s="457">
        <f>H34+H36</f>
        <v>51.010000000000005</v>
      </c>
      <c r="I37" s="457">
        <f>I34+I36</f>
        <v>4.29</v>
      </c>
      <c r="J37" s="458">
        <f>J34+J36</f>
        <v>114.3</v>
      </c>
    </row>
    <row r="38" spans="1:12" ht="19.5" customHeight="1" x14ac:dyDescent="0.3">
      <c r="A38" s="692" t="s">
        <v>583</v>
      </c>
      <c r="B38" s="692"/>
      <c r="C38" s="692"/>
      <c r="D38" s="692"/>
      <c r="E38" s="692"/>
      <c r="F38" s="475">
        <f>F31+F37</f>
        <v>5741.086666666667</v>
      </c>
      <c r="G38" s="475">
        <f>G31+G37</f>
        <v>4792.4100000000008</v>
      </c>
      <c r="H38" s="475">
        <f>H31+H37</f>
        <v>561.41</v>
      </c>
      <c r="I38" s="475">
        <f>I31+I37</f>
        <v>47.18</v>
      </c>
      <c r="J38" s="476">
        <f>J31+J37</f>
        <v>1258.0800000000002</v>
      </c>
    </row>
    <row r="39" spans="1:12" ht="19.5" customHeight="1" x14ac:dyDescent="0.3">
      <c r="A39" s="693" t="s">
        <v>584</v>
      </c>
      <c r="B39" s="693"/>
      <c r="C39" s="693"/>
      <c r="D39" s="693"/>
      <c r="E39" s="693"/>
      <c r="F39" s="693"/>
      <c r="G39" s="693"/>
      <c r="H39" s="693"/>
      <c r="I39" s="693"/>
      <c r="J39" s="693"/>
    </row>
    <row r="40" spans="1:12" ht="19.5" customHeight="1" x14ac:dyDescent="0.3">
      <c r="A40" s="686" t="s">
        <v>240</v>
      </c>
      <c r="B40" s="686"/>
      <c r="C40" s="686"/>
      <c r="D40" s="466">
        <f>Dados!G50</f>
        <v>7.5999999999999998E-2</v>
      </c>
      <c r="E40" s="446"/>
      <c r="F40" s="446">
        <f>ROUND(($F$46*D40),2)</f>
        <v>497.23</v>
      </c>
      <c r="G40" s="446">
        <f>ROUND((G46*$D$40),2)</f>
        <v>415.07</v>
      </c>
      <c r="H40" s="446">
        <f>ROUND((H46*$D$40),2)</f>
        <v>48.62</v>
      </c>
      <c r="I40" s="446">
        <f>ROUND((I46*$D$40),2)</f>
        <v>4.09</v>
      </c>
      <c r="J40" s="447">
        <f>ROUND((J46*$D$40),2)</f>
        <v>108.96</v>
      </c>
    </row>
    <row r="41" spans="1:12" ht="19.5" customHeight="1" x14ac:dyDescent="0.3">
      <c r="A41" s="686" t="s">
        <v>242</v>
      </c>
      <c r="B41" s="686"/>
      <c r="C41" s="686"/>
      <c r="D41" s="466">
        <f>Dados!G51</f>
        <v>1.6500000000000001E-2</v>
      </c>
      <c r="E41" s="446"/>
      <c r="F41" s="446">
        <f>ROUND((F46*$D$41),2)</f>
        <v>107.95</v>
      </c>
      <c r="G41" s="446">
        <f>ROUND((G46*$D$41),2)</f>
        <v>90.11</v>
      </c>
      <c r="H41" s="446">
        <f>ROUND((H46*$D$41),2)</f>
        <v>10.56</v>
      </c>
      <c r="I41" s="446">
        <f>ROUND((I46*$D$41),2)</f>
        <v>0.89</v>
      </c>
      <c r="J41" s="447">
        <f>ROUND((J46*$D$41),2)</f>
        <v>23.66</v>
      </c>
    </row>
    <row r="42" spans="1:12" ht="19.5" customHeight="1" x14ac:dyDescent="0.3">
      <c r="A42" s="686" t="s">
        <v>243</v>
      </c>
      <c r="B42" s="686"/>
      <c r="C42" s="686"/>
      <c r="D42" s="466">
        <f>Dados!G52</f>
        <v>0.03</v>
      </c>
      <c r="E42" s="446"/>
      <c r="F42" s="446">
        <f>ROUND((F46*$D$42),2)</f>
        <v>196.28</v>
      </c>
      <c r="G42" s="446">
        <f>ROUND((G46*$D$42),2)</f>
        <v>163.84</v>
      </c>
      <c r="H42" s="446">
        <f>ROUND((H46*$D$42),2)</f>
        <v>19.190000000000001</v>
      </c>
      <c r="I42" s="446">
        <f>ROUND((I46*$D$42),2)</f>
        <v>1.61</v>
      </c>
      <c r="J42" s="447">
        <f>ROUND((J46*$D$42),2)</f>
        <v>43.01</v>
      </c>
    </row>
    <row r="43" spans="1:12" ht="19.5" customHeight="1" x14ac:dyDescent="0.3">
      <c r="A43" s="686" t="s">
        <v>229</v>
      </c>
      <c r="B43" s="686"/>
      <c r="C43" s="686"/>
      <c r="D43" s="466">
        <f>Dados!G53</f>
        <v>0</v>
      </c>
      <c r="E43" s="446"/>
      <c r="F43" s="446">
        <f>ROUND((F46*$D$43),2)</f>
        <v>0</v>
      </c>
      <c r="G43" s="446">
        <f>ROUND((G46*$D$43),2)</f>
        <v>0</v>
      </c>
      <c r="H43" s="446">
        <f>ROUND((H46*$D$43),2)</f>
        <v>0</v>
      </c>
      <c r="I43" s="446">
        <f>ROUND((I46*$D$43),2)</f>
        <v>0</v>
      </c>
      <c r="J43" s="447">
        <f>ROUND((J46*$D$43),2)</f>
        <v>0</v>
      </c>
    </row>
    <row r="44" spans="1:12" ht="19.5" customHeight="1" x14ac:dyDescent="0.3">
      <c r="A44" s="696" t="s">
        <v>585</v>
      </c>
      <c r="B44" s="696"/>
      <c r="C44" s="696"/>
      <c r="D44" s="477">
        <f>SUM(D40:D43)</f>
        <v>0.1225</v>
      </c>
      <c r="E44" s="478"/>
      <c r="F44" s="479">
        <f>SUM(F40:F43)</f>
        <v>801.46</v>
      </c>
      <c r="G44" s="479">
        <f>SUM(G40:G43)</f>
        <v>669.02</v>
      </c>
      <c r="H44" s="479">
        <f>SUM(H40:H43)</f>
        <v>78.37</v>
      </c>
      <c r="I44" s="479">
        <f>SUM(I40:I43)</f>
        <v>6.59</v>
      </c>
      <c r="J44" s="480">
        <f>SUM(J40:J42)</f>
        <v>175.63</v>
      </c>
    </row>
    <row r="45" spans="1:12" ht="19.5" customHeight="1" x14ac:dyDescent="0.3">
      <c r="A45" s="697" t="str">
        <f>CONCATENATE("Custo Mensal - ",A7)</f>
        <v>Custo Mensal - Servente de Limpeza com adicional de  Insalubridade 40%</v>
      </c>
      <c r="B45" s="697"/>
      <c r="C45" s="697"/>
      <c r="D45" s="697"/>
      <c r="E45" s="697"/>
      <c r="F45" s="481">
        <f>ROUND(F38/(1-D44),2)</f>
        <v>6542.55</v>
      </c>
      <c r="G45" s="481">
        <f>ROUND(G38/(1-D44),2)</f>
        <v>5461.44</v>
      </c>
      <c r="H45" s="481">
        <f>ROUND(H38/(1-D44),2)</f>
        <v>639.78</v>
      </c>
      <c r="I45" s="481">
        <f>ROUND(I38/(1-D44),2)</f>
        <v>53.77</v>
      </c>
      <c r="J45" s="482">
        <f>ROUND(J38/(1-D44),2)</f>
        <v>1433.71</v>
      </c>
    </row>
    <row r="46" spans="1:12" ht="19.5" customHeight="1" x14ac:dyDescent="0.3">
      <c r="A46" s="697" t="str">
        <f>CONCATENATE("Valor do Custo Mensal - ",A7)</f>
        <v>Valor do Custo Mensal - Servente de Limpeza com adicional de  Insalubridade 40%</v>
      </c>
      <c r="B46" s="697"/>
      <c r="C46" s="697"/>
      <c r="D46" s="697"/>
      <c r="E46" s="697"/>
      <c r="F46" s="481">
        <f>F45</f>
        <v>6542.55</v>
      </c>
      <c r="G46" s="481">
        <f>G45</f>
        <v>5461.44</v>
      </c>
      <c r="H46" s="481">
        <f>H45</f>
        <v>639.78</v>
      </c>
      <c r="I46" s="481">
        <f>I45</f>
        <v>53.77</v>
      </c>
      <c r="J46" s="482">
        <f>J45</f>
        <v>1433.71</v>
      </c>
      <c r="K46" s="483"/>
      <c r="L46" s="483"/>
    </row>
    <row r="47" spans="1:12" ht="27.75" customHeight="1" x14ac:dyDescent="0.3">
      <c r="A47" s="694" t="s">
        <v>586</v>
      </c>
      <c r="B47" s="694"/>
      <c r="C47" s="694"/>
      <c r="D47" s="694"/>
      <c r="E47" s="694"/>
      <c r="F47" s="484">
        <f>(F46/F14)</f>
        <v>3.0664944974596446</v>
      </c>
      <c r="G47" s="484">
        <f>(G46/G14)</f>
        <v>2.5597780235849936</v>
      </c>
      <c r="H47" s="695" t="s">
        <v>587</v>
      </c>
      <c r="I47" s="695"/>
      <c r="J47" s="485">
        <f>ROUND((J46/30),2)</f>
        <v>47.79</v>
      </c>
    </row>
    <row r="48" spans="1:12" ht="19.5" customHeight="1" x14ac:dyDescent="0.3"/>
  </sheetData>
  <sheetProtection algorithmName="SHA-512" hashValue="+458/V8OZaB+OIPUSRIoBnPhf/BB9xGNFa+2nTWQelkNe/KMqzKojE9gUf/ctsImPo87xURc8CY/aQsAuKCtlg==" saltValue="XbiG+uvNS1+5Sys3TaPeOw==" spinCount="100000" sheet="1" objects="1" scenarios="1"/>
  <mergeCells count="51">
    <mergeCell ref="A47:E47"/>
    <mergeCell ref="H47:I47"/>
    <mergeCell ref="A42:C42"/>
    <mergeCell ref="A43:C43"/>
    <mergeCell ref="A44:C44"/>
    <mergeCell ref="A45:E45"/>
    <mergeCell ref="A46:E46"/>
    <mergeCell ref="A35:C35"/>
    <mergeCell ref="A38:E38"/>
    <mergeCell ref="A39:J39"/>
    <mergeCell ref="A40:C40"/>
    <mergeCell ref="A41:C41"/>
    <mergeCell ref="A29:B29"/>
    <mergeCell ref="A30:E30"/>
    <mergeCell ref="A31:E31"/>
    <mergeCell ref="A32:J32"/>
    <mergeCell ref="A33:C33"/>
    <mergeCell ref="E33:J33"/>
    <mergeCell ref="A24:B24"/>
    <mergeCell ref="A25:B25"/>
    <mergeCell ref="A26:B26"/>
    <mergeCell ref="A27:B27"/>
    <mergeCell ref="A28:B28"/>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33"/>
  <sheetViews>
    <sheetView showGridLines="0" view="pageBreakPreview" zoomScale="60" zoomScaleNormal="100" workbookViewId="0">
      <selection activeCell="K5" sqref="K5"/>
    </sheetView>
  </sheetViews>
  <sheetFormatPr defaultColWidth="8.6640625" defaultRowHeight="14.4" x14ac:dyDescent="0.3"/>
  <cols>
    <col min="1" max="1" width="7.33203125" style="80" customWidth="1"/>
    <col min="2" max="3" width="9.109375" style="80" customWidth="1"/>
    <col min="4" max="4" width="33" style="80" customWidth="1"/>
    <col min="5" max="5" width="9.44140625" style="80" customWidth="1"/>
    <col min="6" max="6" width="11.6640625" style="80" customWidth="1"/>
    <col min="7" max="7" width="13.6640625" style="80" customWidth="1"/>
    <col min="8" max="8" width="12.44140625" style="80" customWidth="1"/>
    <col min="11" max="1025" width="9.109375" style="80" customWidth="1"/>
  </cols>
  <sheetData>
    <row r="1" spans="1:14" x14ac:dyDescent="0.3">
      <c r="A1" s="106"/>
      <c r="B1" s="107" t="str">
        <f>INSTRUÇÕES!B1</f>
        <v>Tribunal Regional Federal da 6ª Região</v>
      </c>
      <c r="C1" s="107"/>
      <c r="D1" s="107"/>
      <c r="E1" s="107"/>
      <c r="F1" s="107"/>
      <c r="G1" s="107"/>
      <c r="H1" s="107"/>
    </row>
    <row r="2" spans="1:14" x14ac:dyDescent="0.3">
      <c r="A2" s="108"/>
      <c r="B2" s="109" t="str">
        <f>INSTRUÇÕES!B2</f>
        <v>Seção Judiciária de Minas Gerais</v>
      </c>
      <c r="C2" s="109"/>
      <c r="D2" s="109"/>
      <c r="E2" s="109"/>
      <c r="F2" s="109"/>
      <c r="G2" s="109"/>
      <c r="H2" s="109"/>
    </row>
    <row r="3" spans="1:14" x14ac:dyDescent="0.3">
      <c r="A3" s="108"/>
      <c r="B3" s="80" t="str">
        <f>INSTRUÇÕES!B3</f>
        <v>Subseção Judiciária de Viçosa</v>
      </c>
      <c r="C3" s="440"/>
      <c r="D3" s="440"/>
      <c r="E3" s="440"/>
      <c r="F3" s="440"/>
      <c r="G3" s="440"/>
      <c r="H3" s="440"/>
    </row>
    <row r="4" spans="1:14" s="260" customFormat="1" ht="31.5" customHeight="1" x14ac:dyDescent="0.3">
      <c r="A4" s="698" t="s">
        <v>590</v>
      </c>
      <c r="B4" s="698"/>
      <c r="C4" s="698"/>
      <c r="D4" s="698"/>
      <c r="E4" s="698"/>
      <c r="F4" s="698"/>
      <c r="G4" s="698"/>
      <c r="H4" s="698"/>
      <c r="K4" s="486"/>
      <c r="L4" s="486"/>
      <c r="M4" s="486"/>
      <c r="N4" s="486"/>
    </row>
    <row r="5" spans="1:14" s="490" customFormat="1" ht="46.5" customHeight="1" x14ac:dyDescent="0.3">
      <c r="A5" s="699" t="s">
        <v>591</v>
      </c>
      <c r="B5" s="699"/>
      <c r="C5" s="699"/>
      <c r="D5" s="699"/>
      <c r="E5" s="700" t="s">
        <v>579</v>
      </c>
      <c r="F5" s="487" t="str">
        <f>Dados!C7</f>
        <v>Auxiliar Administrativo</v>
      </c>
      <c r="G5" s="488" t="str">
        <f>Dados!C8</f>
        <v>Servente de Limpeza  com acúmulo de função Copeira</v>
      </c>
      <c r="H5" s="489" t="str">
        <f>Dados!C9</f>
        <v>Servente de Limpeza com adicional de  Insalubridade 40%</v>
      </c>
    </row>
    <row r="6" spans="1:14" s="117" customFormat="1" ht="22.5" customHeight="1" x14ac:dyDescent="0.3">
      <c r="A6" s="491" t="s">
        <v>592</v>
      </c>
      <c r="B6" s="701" t="s">
        <v>325</v>
      </c>
      <c r="C6" s="701"/>
      <c r="D6" s="701"/>
      <c r="E6" s="700"/>
      <c r="F6" s="702" t="s">
        <v>593</v>
      </c>
      <c r="G6" s="702"/>
      <c r="H6" s="702"/>
    </row>
    <row r="7" spans="1:14" ht="14.25" customHeight="1" x14ac:dyDescent="0.3">
      <c r="A7" s="492">
        <v>1</v>
      </c>
      <c r="B7" s="703" t="s">
        <v>594</v>
      </c>
      <c r="C7" s="703"/>
      <c r="D7" s="703"/>
      <c r="E7" s="703"/>
      <c r="F7" s="493">
        <f>Dados!M7</f>
        <v>1861.82</v>
      </c>
      <c r="G7" s="494">
        <f>Dados!M8</f>
        <v>1529.71</v>
      </c>
      <c r="H7" s="494">
        <f>Dados!M9</f>
        <v>2133.5600000000004</v>
      </c>
    </row>
    <row r="8" spans="1:14" x14ac:dyDescent="0.3">
      <c r="A8" s="495" t="s">
        <v>595</v>
      </c>
      <c r="B8" s="704" t="s">
        <v>326</v>
      </c>
      <c r="C8" s="704"/>
      <c r="D8" s="704"/>
      <c r="E8" s="456">
        <f>Encargos!C39</f>
        <v>9.0899999999999995E-2</v>
      </c>
      <c r="F8" s="496">
        <f>ROUND(F7*$E$8,2)</f>
        <v>169.24</v>
      </c>
      <c r="G8" s="497">
        <f>ROUND(G7*$E$8,2)</f>
        <v>139.05000000000001</v>
      </c>
      <c r="H8" s="497">
        <f>ROUND(H7*$E$8,2)</f>
        <v>193.94</v>
      </c>
    </row>
    <row r="9" spans="1:14" x14ac:dyDescent="0.3">
      <c r="A9" s="459" t="s">
        <v>596</v>
      </c>
      <c r="B9" s="677" t="s">
        <v>332</v>
      </c>
      <c r="C9" s="677"/>
      <c r="D9" s="677"/>
      <c r="E9" s="498">
        <f>E8*Encargos!C18</f>
        <v>3.6178200000000008E-2</v>
      </c>
      <c r="F9" s="499">
        <f>ROUND(F7*$E$9,2)</f>
        <v>67.36</v>
      </c>
      <c r="G9" s="500">
        <f>ROUND(G7*$E$9,2)</f>
        <v>55.34</v>
      </c>
      <c r="H9" s="500">
        <f>ROUND(H7*$E$9,2)</f>
        <v>77.19</v>
      </c>
    </row>
    <row r="10" spans="1:14" ht="12.75" customHeight="1" x14ac:dyDescent="0.3">
      <c r="A10" s="705" t="s">
        <v>597</v>
      </c>
      <c r="B10" s="705"/>
      <c r="C10" s="705"/>
      <c r="D10" s="705"/>
      <c r="E10" s="501">
        <f>SUM(E8:E9)</f>
        <v>0.1270782</v>
      </c>
      <c r="F10" s="502">
        <f>SUM(F8:F9)</f>
        <v>236.60000000000002</v>
      </c>
      <c r="G10" s="503">
        <f>SUM(G8:G9)</f>
        <v>194.39000000000001</v>
      </c>
      <c r="H10" s="503">
        <f>SUM(H8:H9)</f>
        <v>271.13</v>
      </c>
    </row>
    <row r="11" spans="1:14" ht="12.75" customHeight="1" x14ac:dyDescent="0.3">
      <c r="A11" s="705" t="s">
        <v>598</v>
      </c>
      <c r="B11" s="705"/>
      <c r="C11" s="705"/>
      <c r="D11" s="705"/>
      <c r="E11" s="705"/>
      <c r="F11" s="502">
        <f>F10*12</f>
        <v>2839.2000000000003</v>
      </c>
      <c r="G11" s="503">
        <f>G10*12</f>
        <v>2332.6800000000003</v>
      </c>
      <c r="H11" s="503">
        <f>H10*12</f>
        <v>3253.56</v>
      </c>
    </row>
    <row r="12" spans="1:14" x14ac:dyDescent="0.3">
      <c r="A12" s="504">
        <v>2</v>
      </c>
      <c r="B12" s="505" t="s">
        <v>599</v>
      </c>
      <c r="C12" s="505"/>
      <c r="D12" s="505"/>
      <c r="E12" s="505"/>
      <c r="F12" s="706" t="s">
        <v>454</v>
      </c>
      <c r="G12" s="706"/>
      <c r="H12" s="706"/>
    </row>
    <row r="13" spans="1:14" x14ac:dyDescent="0.3">
      <c r="A13" s="459" t="s">
        <v>595</v>
      </c>
      <c r="B13" s="677" t="s">
        <v>600</v>
      </c>
      <c r="C13" s="677"/>
      <c r="D13" s="677"/>
      <c r="E13" s="40"/>
      <c r="F13" s="506">
        <f>'Auxiliar Administrativo'!$F$23</f>
        <v>510.4</v>
      </c>
      <c r="G13" s="507">
        <f>'Servente acúmulo de função Copa'!$F$23</f>
        <v>510.4</v>
      </c>
      <c r="H13" s="507">
        <f>'Servente Insalubridade 40%'!$F$23</f>
        <v>510.4</v>
      </c>
    </row>
    <row r="14" spans="1:14" x14ac:dyDescent="0.3">
      <c r="A14" s="459" t="s">
        <v>601</v>
      </c>
      <c r="B14" s="677" t="s">
        <v>602</v>
      </c>
      <c r="C14" s="677"/>
      <c r="D14" s="677"/>
      <c r="E14" s="40"/>
      <c r="F14" s="506">
        <f>'Auxiliar Administrativo'!$F$22</f>
        <v>20.29</v>
      </c>
      <c r="G14" s="507">
        <f>'Servente acúmulo de função Copa'!$F$22</f>
        <v>42.89</v>
      </c>
      <c r="H14" s="507">
        <f>'Servente Insalubridade 40%'!$F$22</f>
        <v>42.89</v>
      </c>
    </row>
    <row r="15" spans="1:14" x14ac:dyDescent="0.3">
      <c r="A15" s="459" t="s">
        <v>603</v>
      </c>
      <c r="B15" s="40" t="s">
        <v>604</v>
      </c>
      <c r="C15" s="40"/>
      <c r="D15" s="40"/>
      <c r="E15" s="40"/>
      <c r="F15" s="506">
        <v>0</v>
      </c>
      <c r="G15" s="507">
        <v>0</v>
      </c>
      <c r="H15" s="507">
        <v>0</v>
      </c>
    </row>
    <row r="16" spans="1:14" x14ac:dyDescent="0.3">
      <c r="A16" s="707" t="s">
        <v>605</v>
      </c>
      <c r="B16" s="707"/>
      <c r="C16" s="707"/>
      <c r="D16" s="707"/>
      <c r="E16" s="707"/>
      <c r="F16" s="508">
        <f>SUM(F13:F15)</f>
        <v>530.68999999999994</v>
      </c>
      <c r="G16" s="509">
        <f>SUM(G13:G15)</f>
        <v>553.29</v>
      </c>
      <c r="H16" s="509">
        <f>SUM(H13:H15)</f>
        <v>553.29</v>
      </c>
    </row>
    <row r="17" spans="1:8" ht="12.75" customHeight="1" x14ac:dyDescent="0.3">
      <c r="A17" s="504">
        <v>5</v>
      </c>
      <c r="B17" s="708" t="s">
        <v>606</v>
      </c>
      <c r="C17" s="708"/>
      <c r="D17" s="708"/>
      <c r="E17" s="510" t="s">
        <v>579</v>
      </c>
      <c r="F17" s="706" t="s">
        <v>454</v>
      </c>
      <c r="G17" s="706"/>
      <c r="H17" s="706"/>
    </row>
    <row r="18" spans="1:8" ht="12.75" customHeight="1" x14ac:dyDescent="0.3">
      <c r="A18" s="459" t="s">
        <v>595</v>
      </c>
      <c r="B18" s="678" t="s">
        <v>607</v>
      </c>
      <c r="C18" s="678"/>
      <c r="D18" s="678"/>
      <c r="E18" s="511">
        <f>Dados!$G$42</f>
        <v>0.03</v>
      </c>
      <c r="F18" s="512">
        <f>ROUND(($E$18*F31),2)</f>
        <v>101.1</v>
      </c>
      <c r="G18" s="513">
        <f>ROUND(($E$18*G31),2)</f>
        <v>86.58</v>
      </c>
      <c r="H18" s="513">
        <f>ROUND(($E$18*H31),2)</f>
        <v>114.21</v>
      </c>
    </row>
    <row r="19" spans="1:8" ht="12.75" customHeight="1" x14ac:dyDescent="0.3">
      <c r="A19" s="459" t="s">
        <v>601</v>
      </c>
      <c r="B19" s="678" t="s">
        <v>234</v>
      </c>
      <c r="C19" s="678"/>
      <c r="D19" s="678"/>
      <c r="E19" s="511">
        <f>Dados!$G$43</f>
        <v>6.7900000000000002E-2</v>
      </c>
      <c r="F19" s="512">
        <f>ROUND(($E$19*(F18+F31)),2)</f>
        <v>235.68</v>
      </c>
      <c r="G19" s="513">
        <f>ROUND(($E$19*(G18+G31)),2)</f>
        <v>201.84</v>
      </c>
      <c r="H19" s="513">
        <f>ROUND(($E$19*(H18+H31)),2)</f>
        <v>266.24</v>
      </c>
    </row>
    <row r="20" spans="1:8" ht="12.75" customHeight="1" x14ac:dyDescent="0.3">
      <c r="A20" s="514" t="s">
        <v>603</v>
      </c>
      <c r="B20" s="709" t="s">
        <v>608</v>
      </c>
      <c r="C20" s="709"/>
      <c r="D20" s="709"/>
      <c r="E20" s="515">
        <f>SUM(E21:E24)</f>
        <v>0.1225</v>
      </c>
      <c r="F20" s="516">
        <f>ROUND((((F31+F18+F19)/(1-$E$20))-(F31+F18+F19)),2)</f>
        <v>517.46</v>
      </c>
      <c r="G20" s="517">
        <f>ROUND((((G31+G18+G19)/(1-$E$20))-(G31+G18+G19)),2)</f>
        <v>443.15</v>
      </c>
      <c r="H20" s="517">
        <f>ROUND((((H31+H18+H19)/(1-$E$20))-(H31+H18+H19)),2)</f>
        <v>584.54999999999995</v>
      </c>
    </row>
    <row r="21" spans="1:8" ht="12.75" customHeight="1" x14ac:dyDescent="0.3">
      <c r="A21" s="85" t="s">
        <v>609</v>
      </c>
      <c r="B21" s="678" t="s">
        <v>610</v>
      </c>
      <c r="C21" s="678"/>
      <c r="D21" s="678"/>
      <c r="E21" s="511">
        <f>Dados!G50+Dados!G51</f>
        <v>9.2499999999999999E-2</v>
      </c>
      <c r="F21" s="512">
        <f>ROUND($E$21*F33,2)</f>
        <v>390.73</v>
      </c>
      <c r="G21" s="513">
        <f>ROUND($E$21*G33,2)</f>
        <v>334.62</v>
      </c>
      <c r="H21" s="513">
        <f>ROUND($E$21*H33,2)</f>
        <v>441.4</v>
      </c>
    </row>
    <row r="22" spans="1:8" ht="12.75" customHeight="1" x14ac:dyDescent="0.3">
      <c r="A22" s="459" t="s">
        <v>611</v>
      </c>
      <c r="B22" s="678" t="s">
        <v>612</v>
      </c>
      <c r="C22" s="678"/>
      <c r="D22" s="678"/>
      <c r="E22" s="511">
        <v>0</v>
      </c>
      <c r="F22" s="512">
        <f>ROUND($E$22*F33,2)</f>
        <v>0</v>
      </c>
      <c r="G22" s="513">
        <f>ROUND($E$22*G33,2)</f>
        <v>0</v>
      </c>
      <c r="H22" s="513">
        <f>ROUND($E$22*H33,2)</f>
        <v>0</v>
      </c>
    </row>
    <row r="23" spans="1:8" ht="12.75" customHeight="1" x14ac:dyDescent="0.3">
      <c r="A23" s="459" t="s">
        <v>613</v>
      </c>
      <c r="B23" s="678" t="s">
        <v>614</v>
      </c>
      <c r="C23" s="678"/>
      <c r="D23" s="678"/>
      <c r="E23" s="511">
        <f>Dados!G52</f>
        <v>0.03</v>
      </c>
      <c r="F23" s="512">
        <f>ROUND($E$23*F33,2)</f>
        <v>126.72</v>
      </c>
      <c r="G23" s="513">
        <f>ROUND($E$23*G33,2)</f>
        <v>108.53</v>
      </c>
      <c r="H23" s="513">
        <f>ROUND($E$23*H33,2)</f>
        <v>143.16</v>
      </c>
    </row>
    <row r="24" spans="1:8" x14ac:dyDescent="0.3">
      <c r="A24" s="459" t="s">
        <v>615</v>
      </c>
      <c r="B24" s="678" t="str">
        <f>Dados!B53</f>
        <v>Outros (inserir somente com a justificativa legal)</v>
      </c>
      <c r="C24" s="678"/>
      <c r="D24" s="678"/>
      <c r="E24" s="511">
        <f>Dados!G53</f>
        <v>0</v>
      </c>
      <c r="F24" s="512">
        <f>ROUND($E$24*F33,2)</f>
        <v>0</v>
      </c>
      <c r="G24" s="513">
        <f>ROUND($E$24*G33,2)</f>
        <v>0</v>
      </c>
      <c r="H24" s="513">
        <f>ROUND($E$24*H33,2)</f>
        <v>0</v>
      </c>
    </row>
    <row r="25" spans="1:8" x14ac:dyDescent="0.3">
      <c r="A25" s="518" t="s">
        <v>616</v>
      </c>
      <c r="B25" s="449"/>
      <c r="C25" s="449"/>
      <c r="D25" s="449"/>
      <c r="E25" s="449"/>
      <c r="F25" s="519">
        <f>SUM(F18:F20)</f>
        <v>854.24</v>
      </c>
      <c r="G25" s="520">
        <f>SUM(G18:G20)</f>
        <v>731.56999999999994</v>
      </c>
      <c r="H25" s="520">
        <f>SUM(H18:H20)</f>
        <v>965</v>
      </c>
    </row>
    <row r="26" spans="1:8" ht="19.5" customHeight="1" x14ac:dyDescent="0.3">
      <c r="A26" s="521" t="s">
        <v>617</v>
      </c>
      <c r="B26" s="522"/>
      <c r="C26" s="523"/>
      <c r="D26" s="523"/>
      <c r="E26" s="523"/>
      <c r="F26" s="523"/>
      <c r="G26" s="523"/>
      <c r="H26" s="524"/>
    </row>
    <row r="27" spans="1:8" ht="18" customHeight="1" x14ac:dyDescent="0.3">
      <c r="A27" s="710" t="s">
        <v>618</v>
      </c>
      <c r="B27" s="710"/>
      <c r="C27" s="710"/>
      <c r="D27" s="710"/>
      <c r="E27" s="710"/>
      <c r="F27" s="710"/>
      <c r="G27" s="710"/>
      <c r="H27" s="710"/>
    </row>
    <row r="28" spans="1:8" ht="14.25" customHeight="1" x14ac:dyDescent="0.3">
      <c r="A28" s="525" t="s">
        <v>619</v>
      </c>
      <c r="B28" s="526"/>
      <c r="C28" s="526"/>
      <c r="D28" s="526"/>
      <c r="E28" s="526"/>
      <c r="F28" s="711" t="s">
        <v>454</v>
      </c>
      <c r="G28" s="711"/>
      <c r="H28" s="711"/>
    </row>
    <row r="29" spans="1:8" x14ac:dyDescent="0.3">
      <c r="A29" s="459" t="s">
        <v>595</v>
      </c>
      <c r="B29" s="40" t="s">
        <v>620</v>
      </c>
      <c r="C29" s="40"/>
      <c r="D29" s="40"/>
      <c r="E29" s="40"/>
      <c r="F29" s="527">
        <f>F11</f>
        <v>2839.2000000000003</v>
      </c>
      <c r="G29" s="528">
        <f>G11</f>
        <v>2332.6800000000003</v>
      </c>
      <c r="H29" s="528">
        <f>H11</f>
        <v>3253.56</v>
      </c>
    </row>
    <row r="30" spans="1:8" x14ac:dyDescent="0.3">
      <c r="A30" s="459" t="s">
        <v>601</v>
      </c>
      <c r="B30" s="40" t="s">
        <v>599</v>
      </c>
      <c r="C30" s="40"/>
      <c r="D30" s="40"/>
      <c r="E30" s="40"/>
      <c r="F30" s="527">
        <f>F16</f>
        <v>530.68999999999994</v>
      </c>
      <c r="G30" s="528">
        <f>G16</f>
        <v>553.29</v>
      </c>
      <c r="H30" s="528">
        <f>H16</f>
        <v>553.29</v>
      </c>
    </row>
    <row r="31" spans="1:8" x14ac:dyDescent="0.3">
      <c r="A31" s="707" t="s">
        <v>621</v>
      </c>
      <c r="B31" s="707"/>
      <c r="C31" s="707"/>
      <c r="D31" s="707"/>
      <c r="E31" s="529"/>
      <c r="F31" s="530">
        <f>SUM(F29:F30)</f>
        <v>3369.8900000000003</v>
      </c>
      <c r="G31" s="531">
        <f>SUM(G29:G30)</f>
        <v>2885.9700000000003</v>
      </c>
      <c r="H31" s="531">
        <f>SUM(H29:H30)</f>
        <v>3806.85</v>
      </c>
    </row>
    <row r="32" spans="1:8" x14ac:dyDescent="0.3">
      <c r="A32" s="444" t="s">
        <v>622</v>
      </c>
      <c r="B32" s="532" t="s">
        <v>623</v>
      </c>
      <c r="C32" s="532"/>
      <c r="D32" s="532"/>
      <c r="E32" s="532"/>
      <c r="F32" s="533">
        <f>F25</f>
        <v>854.24</v>
      </c>
      <c r="G32" s="534">
        <f>G25</f>
        <v>731.56999999999994</v>
      </c>
      <c r="H32" s="534">
        <f>H25</f>
        <v>965</v>
      </c>
    </row>
    <row r="33" spans="1:8" ht="19.5" customHeight="1" x14ac:dyDescent="0.3">
      <c r="A33" s="535" t="s">
        <v>624</v>
      </c>
      <c r="B33" s="536"/>
      <c r="C33" s="536"/>
      <c r="D33" s="536"/>
      <c r="E33" s="536"/>
      <c r="F33" s="537">
        <f>SUM(F31:F32)</f>
        <v>4224.13</v>
      </c>
      <c r="G33" s="538">
        <f>SUM(G31:G32)</f>
        <v>3617.54</v>
      </c>
      <c r="H33" s="538">
        <f>SUM(H31:H32)</f>
        <v>4771.8500000000004</v>
      </c>
    </row>
  </sheetData>
  <sheetProtection algorithmName="SHA-512" hashValue="pQuPQD5S7ETfySJiUMZfu+7vfAegrTxYsNbHYN+CiTL1L/lppvfqkEB1JJyH7QXEhk/4cVBv8jL1H3AUoDeUJQ==" saltValue="eNbL5WvziP/Nmty5Cl/DPw==" spinCount="100000" sheet="1" objects="1" scenarios="1"/>
  <mergeCells count="26">
    <mergeCell ref="B23:D23"/>
    <mergeCell ref="B24:D24"/>
    <mergeCell ref="A27:H27"/>
    <mergeCell ref="F28:H28"/>
    <mergeCell ref="A31:D31"/>
    <mergeCell ref="B18:D18"/>
    <mergeCell ref="B19:D19"/>
    <mergeCell ref="B20:D20"/>
    <mergeCell ref="B21:D21"/>
    <mergeCell ref="B22:D22"/>
    <mergeCell ref="F12:H12"/>
    <mergeCell ref="B13:D13"/>
    <mergeCell ref="B14:D14"/>
    <mergeCell ref="A16:E16"/>
    <mergeCell ref="B17:D17"/>
    <mergeCell ref="F17:H17"/>
    <mergeCell ref="B7:E7"/>
    <mergeCell ref="B8:D8"/>
    <mergeCell ref="B9:D9"/>
    <mergeCell ref="A10:D10"/>
    <mergeCell ref="A11:E11"/>
    <mergeCell ref="A4:H4"/>
    <mergeCell ref="A5:D5"/>
    <mergeCell ref="E5:E6"/>
    <mergeCell ref="B6:D6"/>
    <mergeCell ref="F6:H6"/>
  </mergeCells>
  <printOptions horizontalCentered="1" verticalCentered="1"/>
  <pageMargins left="0.51180555555555596" right="0.51180555555555596" top="0.78749999999999998" bottom="0.78749999999999998" header="0.511811023622047" footer="0.511811023622047"/>
  <pageSetup paperSize="9" scale="74" fitToHeight="2"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23"/>
  <sheetViews>
    <sheetView showGridLines="0" zoomScaleNormal="100"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109"/>
      <c r="B1" s="109" t="s">
        <v>85</v>
      </c>
    </row>
    <row r="2" spans="1:35" x14ac:dyDescent="0.3">
      <c r="A2" s="109"/>
      <c r="B2" s="109" t="s">
        <v>86</v>
      </c>
    </row>
    <row r="3" spans="1:35" x14ac:dyDescent="0.3">
      <c r="A3" s="440"/>
      <c r="B3" s="80" t="s">
        <v>625</v>
      </c>
    </row>
    <row r="4" spans="1:35" ht="6" customHeight="1" x14ac:dyDescent="0.3"/>
    <row r="5" spans="1:35" ht="6" customHeight="1" x14ac:dyDescent="0.3"/>
    <row r="6" spans="1:35" ht="15.75" customHeight="1" x14ac:dyDescent="0.3">
      <c r="B6" s="712" t="s">
        <v>255</v>
      </c>
      <c r="C6" s="712"/>
      <c r="D6" s="712"/>
      <c r="E6" s="712"/>
      <c r="F6" s="712"/>
      <c r="G6" s="712"/>
      <c r="I6" s="712" t="s">
        <v>259</v>
      </c>
      <c r="J6" s="712"/>
      <c r="K6" s="712"/>
      <c r="L6" s="712"/>
      <c r="M6" s="712"/>
      <c r="N6" s="712"/>
      <c r="P6" s="712" t="s">
        <v>260</v>
      </c>
      <c r="Q6" s="712"/>
      <c r="R6" s="712"/>
      <c r="S6" s="712"/>
      <c r="T6" s="712"/>
      <c r="U6" s="712"/>
      <c r="W6" s="712" t="s">
        <v>261</v>
      </c>
      <c r="X6" s="712"/>
      <c r="Y6" s="712"/>
      <c r="Z6" s="712"/>
      <c r="AA6" s="712"/>
      <c r="AB6" s="712"/>
      <c r="AD6" s="712" t="s">
        <v>262</v>
      </c>
      <c r="AE6" s="712"/>
      <c r="AF6" s="712"/>
      <c r="AG6" s="712"/>
      <c r="AH6" s="712"/>
      <c r="AI6" s="712"/>
    </row>
    <row r="7" spans="1:35" x14ac:dyDescent="0.3">
      <c r="B7" s="539" t="s">
        <v>626</v>
      </c>
      <c r="C7" s="713"/>
      <c r="D7" s="713"/>
      <c r="E7" s="713"/>
      <c r="F7" s="713"/>
      <c r="G7" s="713"/>
      <c r="I7" s="539" t="s">
        <v>626</v>
      </c>
      <c r="J7" s="713"/>
      <c r="K7" s="713"/>
      <c r="L7" s="713"/>
      <c r="M7" s="713"/>
      <c r="N7" s="713"/>
      <c r="P7" s="539" t="s">
        <v>626</v>
      </c>
      <c r="Q7" s="713"/>
      <c r="R7" s="713"/>
      <c r="S7" s="713"/>
      <c r="T7" s="713"/>
      <c r="U7" s="713"/>
      <c r="W7" s="539" t="s">
        <v>626</v>
      </c>
      <c r="X7" s="713"/>
      <c r="Y7" s="713"/>
      <c r="Z7" s="713"/>
      <c r="AA7" s="713"/>
      <c r="AB7" s="713"/>
      <c r="AD7" s="539" t="s">
        <v>626</v>
      </c>
      <c r="AE7" s="713"/>
      <c r="AF7" s="713"/>
      <c r="AG7" s="713"/>
      <c r="AH7" s="713"/>
      <c r="AI7" s="713"/>
    </row>
    <row r="8" spans="1:35" ht="25.5" customHeight="1" x14ac:dyDescent="0.3">
      <c r="B8" s="620" t="s">
        <v>627</v>
      </c>
      <c r="C8" s="620"/>
      <c r="D8" s="220" t="s">
        <v>628</v>
      </c>
      <c r="E8" s="220" t="s">
        <v>629</v>
      </c>
      <c r="F8" s="220" t="s">
        <v>630</v>
      </c>
      <c r="G8" s="220" t="s">
        <v>631</v>
      </c>
      <c r="I8" s="620" t="s">
        <v>627</v>
      </c>
      <c r="J8" s="620"/>
      <c r="K8" s="220" t="s">
        <v>628</v>
      </c>
      <c r="L8" s="220" t="s">
        <v>629</v>
      </c>
      <c r="M8" s="220" t="s">
        <v>630</v>
      </c>
      <c r="N8" s="220" t="s">
        <v>631</v>
      </c>
      <c r="P8" s="620" t="s">
        <v>627</v>
      </c>
      <c r="Q8" s="620"/>
      <c r="R8" s="220" t="s">
        <v>628</v>
      </c>
      <c r="S8" s="220" t="s">
        <v>629</v>
      </c>
      <c r="T8" s="220" t="s">
        <v>630</v>
      </c>
      <c r="U8" s="220" t="s">
        <v>631</v>
      </c>
      <c r="W8" s="620" t="s">
        <v>627</v>
      </c>
      <c r="X8" s="620"/>
      <c r="Y8" s="220" t="s">
        <v>628</v>
      </c>
      <c r="Z8" s="220" t="s">
        <v>629</v>
      </c>
      <c r="AA8" s="220" t="s">
        <v>630</v>
      </c>
      <c r="AB8" s="220" t="s">
        <v>631</v>
      </c>
      <c r="AD8" s="620" t="s">
        <v>627</v>
      </c>
      <c r="AE8" s="620"/>
      <c r="AF8" s="220" t="s">
        <v>628</v>
      </c>
      <c r="AG8" s="220" t="s">
        <v>629</v>
      </c>
      <c r="AH8" s="220" t="s">
        <v>630</v>
      </c>
      <c r="AI8" s="220" t="s">
        <v>631</v>
      </c>
    </row>
    <row r="9" spans="1:35" x14ac:dyDescent="0.3">
      <c r="B9" s="540" t="s">
        <v>632</v>
      </c>
      <c r="C9" s="540" t="s">
        <v>633</v>
      </c>
      <c r="D9" s="540" t="s">
        <v>634</v>
      </c>
      <c r="E9" s="540"/>
      <c r="F9" s="540" t="s">
        <v>635</v>
      </c>
      <c r="G9" s="541">
        <v>100</v>
      </c>
      <c r="I9" s="540" t="s">
        <v>632</v>
      </c>
      <c r="J9" s="540" t="s">
        <v>633</v>
      </c>
      <c r="K9" s="540" t="s">
        <v>634</v>
      </c>
      <c r="L9" s="540"/>
      <c r="M9" s="540" t="s">
        <v>635</v>
      </c>
      <c r="N9" s="541">
        <v>100</v>
      </c>
      <c r="P9" s="540" t="s">
        <v>632</v>
      </c>
      <c r="Q9" s="540" t="s">
        <v>633</v>
      </c>
      <c r="R9" s="540" t="s">
        <v>634</v>
      </c>
      <c r="S9" s="540"/>
      <c r="T9" s="540" t="s">
        <v>635</v>
      </c>
      <c r="U9" s="541">
        <v>100</v>
      </c>
      <c r="W9" s="540" t="s">
        <v>632</v>
      </c>
      <c r="X9" s="540" t="s">
        <v>633</v>
      </c>
      <c r="Y9" s="540" t="s">
        <v>634</v>
      </c>
      <c r="Z9" s="540"/>
      <c r="AA9" s="540" t="s">
        <v>635</v>
      </c>
      <c r="AB9" s="541">
        <v>100</v>
      </c>
      <c r="AD9" s="540" t="s">
        <v>632</v>
      </c>
      <c r="AE9" s="540" t="s">
        <v>633</v>
      </c>
      <c r="AF9" s="540" t="s">
        <v>634</v>
      </c>
      <c r="AG9" s="540"/>
      <c r="AH9" s="540" t="s">
        <v>635</v>
      </c>
      <c r="AI9" s="541">
        <v>100</v>
      </c>
    </row>
    <row r="10" spans="1:35" x14ac:dyDescent="0.3">
      <c r="B10" s="540">
        <v>2023</v>
      </c>
      <c r="C10" s="542" t="s">
        <v>636</v>
      </c>
      <c r="D10" s="543"/>
      <c r="E10" s="544">
        <v>25</v>
      </c>
      <c r="F10" s="543">
        <f t="shared" ref="F10:F22" si="0">D10/30*E10</f>
        <v>0</v>
      </c>
      <c r="G10" s="545">
        <f t="shared" ref="G10:G22" si="1">(G9*F10)+G9</f>
        <v>100</v>
      </c>
      <c r="I10" s="540">
        <f t="shared" ref="I10:I22" si="2">B10+1</f>
        <v>2024</v>
      </c>
      <c r="J10" s="542" t="str">
        <f>$C$10</f>
        <v>AGO</v>
      </c>
      <c r="K10" s="543"/>
      <c r="L10" s="544">
        <f>$E$10</f>
        <v>25</v>
      </c>
      <c r="M10" s="543">
        <f t="shared" ref="M10:M22" si="3">K10/30*L10</f>
        <v>0</v>
      </c>
      <c r="N10" s="545">
        <f t="shared" ref="N10:N22" si="4">(N9*M10)+N9</f>
        <v>100</v>
      </c>
      <c r="P10" s="540">
        <f t="shared" ref="P10:P22" si="5">I10+1</f>
        <v>2025</v>
      </c>
      <c r="Q10" s="542" t="str">
        <f>$C$10</f>
        <v>AGO</v>
      </c>
      <c r="R10" s="543"/>
      <c r="S10" s="544">
        <f>$E$10</f>
        <v>25</v>
      </c>
      <c r="T10" s="543">
        <f t="shared" ref="T10:T22" si="6">R10/30*S10</f>
        <v>0</v>
      </c>
      <c r="U10" s="545">
        <f t="shared" ref="U10:U22" si="7">(U9*T10)+U9</f>
        <v>100</v>
      </c>
      <c r="W10" s="540">
        <f t="shared" ref="W10:W22" si="8">P10+1</f>
        <v>2026</v>
      </c>
      <c r="X10" s="542" t="str">
        <f>$C$10</f>
        <v>AGO</v>
      </c>
      <c r="Y10" s="543"/>
      <c r="Z10" s="544">
        <f>$E$10</f>
        <v>25</v>
      </c>
      <c r="AA10" s="543">
        <f t="shared" ref="AA10:AA22" si="9">Y10/30*Z10</f>
        <v>0</v>
      </c>
      <c r="AB10" s="545">
        <f t="shared" ref="AB10:AB22" si="10">(AB9*AA10)+AB9</f>
        <v>100</v>
      </c>
      <c r="AD10" s="540">
        <f t="shared" ref="AD10:AD22" si="11">W10+1</f>
        <v>2027</v>
      </c>
      <c r="AE10" s="542" t="str">
        <f>$C$10</f>
        <v>AGO</v>
      </c>
      <c r="AF10" s="543"/>
      <c r="AG10" s="544">
        <f>$E$10</f>
        <v>25</v>
      </c>
      <c r="AH10" s="543">
        <f t="shared" ref="AH10:AH22" si="12">AF10/30*AG10</f>
        <v>0</v>
      </c>
      <c r="AI10" s="545">
        <f t="shared" ref="AI10:AI22" si="13">(AI9*AH10)+AI9</f>
        <v>100</v>
      </c>
    </row>
    <row r="11" spans="1:35" x14ac:dyDescent="0.3">
      <c r="B11" s="540">
        <v>2023</v>
      </c>
      <c r="C11" s="542" t="s">
        <v>637</v>
      </c>
      <c r="D11" s="543"/>
      <c r="E11" s="544"/>
      <c r="F11" s="543">
        <f t="shared" si="0"/>
        <v>0</v>
      </c>
      <c r="G11" s="545">
        <f t="shared" si="1"/>
        <v>100</v>
      </c>
      <c r="I11" s="540">
        <f t="shared" si="2"/>
        <v>2024</v>
      </c>
      <c r="J11" s="542" t="str">
        <f>$C$11</f>
        <v>SET</v>
      </c>
      <c r="K11" s="543"/>
      <c r="L11" s="544"/>
      <c r="M11" s="543">
        <f t="shared" si="3"/>
        <v>0</v>
      </c>
      <c r="N11" s="545">
        <f t="shared" si="4"/>
        <v>100</v>
      </c>
      <c r="P11" s="540">
        <f t="shared" si="5"/>
        <v>2025</v>
      </c>
      <c r="Q11" s="542" t="str">
        <f>$C$11</f>
        <v>SET</v>
      </c>
      <c r="R11" s="543"/>
      <c r="S11" s="544"/>
      <c r="T11" s="543">
        <f t="shared" si="6"/>
        <v>0</v>
      </c>
      <c r="U11" s="545">
        <f t="shared" si="7"/>
        <v>100</v>
      </c>
      <c r="W11" s="540">
        <f t="shared" si="8"/>
        <v>2026</v>
      </c>
      <c r="X11" s="542" t="str">
        <f>$C$11</f>
        <v>SET</v>
      </c>
      <c r="Y11" s="543"/>
      <c r="Z11" s="544"/>
      <c r="AA11" s="543">
        <f t="shared" si="9"/>
        <v>0</v>
      </c>
      <c r="AB11" s="545">
        <f t="shared" si="10"/>
        <v>100</v>
      </c>
      <c r="AD11" s="540">
        <f t="shared" si="11"/>
        <v>2027</v>
      </c>
      <c r="AE11" s="542" t="str">
        <f>$C$11</f>
        <v>SET</v>
      </c>
      <c r="AF11" s="543"/>
      <c r="AG11" s="544"/>
      <c r="AH11" s="543">
        <f t="shared" si="12"/>
        <v>0</v>
      </c>
      <c r="AI11" s="545">
        <f t="shared" si="13"/>
        <v>100</v>
      </c>
    </row>
    <row r="12" spans="1:35" x14ac:dyDescent="0.3">
      <c r="B12" s="540">
        <v>2023</v>
      </c>
      <c r="C12" s="542" t="s">
        <v>638</v>
      </c>
      <c r="D12" s="543"/>
      <c r="E12" s="544"/>
      <c r="F12" s="543">
        <f t="shared" si="0"/>
        <v>0</v>
      </c>
      <c r="G12" s="545">
        <f t="shared" si="1"/>
        <v>100</v>
      </c>
      <c r="I12" s="540">
        <f t="shared" si="2"/>
        <v>2024</v>
      </c>
      <c r="J12" s="542" t="str">
        <f>$C$12</f>
        <v>OUT</v>
      </c>
      <c r="K12" s="543"/>
      <c r="L12" s="544"/>
      <c r="M12" s="543">
        <f t="shared" si="3"/>
        <v>0</v>
      </c>
      <c r="N12" s="545">
        <f t="shared" si="4"/>
        <v>100</v>
      </c>
      <c r="P12" s="540">
        <f t="shared" si="5"/>
        <v>2025</v>
      </c>
      <c r="Q12" s="542" t="str">
        <f>$C$12</f>
        <v>OUT</v>
      </c>
      <c r="R12" s="543"/>
      <c r="S12" s="544"/>
      <c r="T12" s="543">
        <f t="shared" si="6"/>
        <v>0</v>
      </c>
      <c r="U12" s="545">
        <f t="shared" si="7"/>
        <v>100</v>
      </c>
      <c r="W12" s="540">
        <f t="shared" si="8"/>
        <v>2026</v>
      </c>
      <c r="X12" s="542" t="str">
        <f>$C$12</f>
        <v>OUT</v>
      </c>
      <c r="Y12" s="543"/>
      <c r="Z12" s="544"/>
      <c r="AA12" s="543">
        <f t="shared" si="9"/>
        <v>0</v>
      </c>
      <c r="AB12" s="545">
        <f t="shared" si="10"/>
        <v>100</v>
      </c>
      <c r="AD12" s="540">
        <f t="shared" si="11"/>
        <v>2027</v>
      </c>
      <c r="AE12" s="542" t="str">
        <f>$C$12</f>
        <v>OUT</v>
      </c>
      <c r="AF12" s="543"/>
      <c r="AG12" s="544"/>
      <c r="AH12" s="543">
        <f t="shared" si="12"/>
        <v>0</v>
      </c>
      <c r="AI12" s="545">
        <f t="shared" si="13"/>
        <v>100</v>
      </c>
    </row>
    <row r="13" spans="1:35" x14ac:dyDescent="0.3">
      <c r="B13" s="540">
        <v>2023</v>
      </c>
      <c r="C13" s="542" t="s">
        <v>639</v>
      </c>
      <c r="D13" s="543"/>
      <c r="E13" s="544"/>
      <c r="F13" s="543">
        <f t="shared" si="0"/>
        <v>0</v>
      </c>
      <c r="G13" s="545">
        <f t="shared" si="1"/>
        <v>100</v>
      </c>
      <c r="I13" s="540">
        <f t="shared" si="2"/>
        <v>2024</v>
      </c>
      <c r="J13" s="542" t="str">
        <f>$C$13</f>
        <v>NOV</v>
      </c>
      <c r="K13" s="543"/>
      <c r="L13" s="544"/>
      <c r="M13" s="543">
        <f t="shared" si="3"/>
        <v>0</v>
      </c>
      <c r="N13" s="545">
        <f t="shared" si="4"/>
        <v>100</v>
      </c>
      <c r="P13" s="540">
        <f t="shared" si="5"/>
        <v>2025</v>
      </c>
      <c r="Q13" s="542" t="str">
        <f>$C$13</f>
        <v>NOV</v>
      </c>
      <c r="R13" s="543"/>
      <c r="S13" s="544"/>
      <c r="T13" s="543">
        <f t="shared" si="6"/>
        <v>0</v>
      </c>
      <c r="U13" s="545">
        <f t="shared" si="7"/>
        <v>100</v>
      </c>
      <c r="W13" s="540">
        <f t="shared" si="8"/>
        <v>2026</v>
      </c>
      <c r="X13" s="542" t="str">
        <f>$C$13</f>
        <v>NOV</v>
      </c>
      <c r="Y13" s="543"/>
      <c r="Z13" s="544"/>
      <c r="AA13" s="543">
        <f t="shared" si="9"/>
        <v>0</v>
      </c>
      <c r="AB13" s="545">
        <f t="shared" si="10"/>
        <v>100</v>
      </c>
      <c r="AD13" s="540">
        <f t="shared" si="11"/>
        <v>2027</v>
      </c>
      <c r="AE13" s="542" t="str">
        <f>$C$13</f>
        <v>NOV</v>
      </c>
      <c r="AF13" s="543"/>
      <c r="AG13" s="544"/>
      <c r="AH13" s="543">
        <f t="shared" si="12"/>
        <v>0</v>
      </c>
      <c r="AI13" s="545">
        <f t="shared" si="13"/>
        <v>100</v>
      </c>
    </row>
    <row r="14" spans="1:35" x14ac:dyDescent="0.3">
      <c r="B14" s="540">
        <v>2023</v>
      </c>
      <c r="C14" s="542" t="s">
        <v>640</v>
      </c>
      <c r="D14" s="543"/>
      <c r="E14" s="544"/>
      <c r="F14" s="543">
        <f t="shared" si="0"/>
        <v>0</v>
      </c>
      <c r="G14" s="545">
        <f t="shared" si="1"/>
        <v>100</v>
      </c>
      <c r="I14" s="540">
        <f t="shared" si="2"/>
        <v>2024</v>
      </c>
      <c r="J14" s="542" t="str">
        <f>$C$14</f>
        <v>DEZ</v>
      </c>
      <c r="K14" s="543"/>
      <c r="L14" s="544"/>
      <c r="M14" s="543">
        <f t="shared" si="3"/>
        <v>0</v>
      </c>
      <c r="N14" s="545">
        <f t="shared" si="4"/>
        <v>100</v>
      </c>
      <c r="P14" s="540">
        <f t="shared" si="5"/>
        <v>2025</v>
      </c>
      <c r="Q14" s="542" t="str">
        <f>$C$14</f>
        <v>DEZ</v>
      </c>
      <c r="R14" s="543"/>
      <c r="S14" s="544"/>
      <c r="T14" s="543">
        <f t="shared" si="6"/>
        <v>0</v>
      </c>
      <c r="U14" s="545">
        <f t="shared" si="7"/>
        <v>100</v>
      </c>
      <c r="W14" s="540">
        <f t="shared" si="8"/>
        <v>2026</v>
      </c>
      <c r="X14" s="542" t="str">
        <f>$C$14</f>
        <v>DEZ</v>
      </c>
      <c r="Y14" s="543"/>
      <c r="Z14" s="544"/>
      <c r="AA14" s="543">
        <f t="shared" si="9"/>
        <v>0</v>
      </c>
      <c r="AB14" s="545">
        <f t="shared" si="10"/>
        <v>100</v>
      </c>
      <c r="AD14" s="540">
        <f t="shared" si="11"/>
        <v>2027</v>
      </c>
      <c r="AE14" s="542" t="str">
        <f>$C$14</f>
        <v>DEZ</v>
      </c>
      <c r="AF14" s="543"/>
      <c r="AG14" s="544"/>
      <c r="AH14" s="543">
        <f t="shared" si="12"/>
        <v>0</v>
      </c>
      <c r="AI14" s="545">
        <f t="shared" si="13"/>
        <v>100</v>
      </c>
    </row>
    <row r="15" spans="1:35" x14ac:dyDescent="0.3">
      <c r="B15" s="540">
        <v>2023</v>
      </c>
      <c r="C15" s="542" t="s">
        <v>640</v>
      </c>
      <c r="D15" s="543"/>
      <c r="E15" s="544"/>
      <c r="F15" s="543">
        <f t="shared" si="0"/>
        <v>0</v>
      </c>
      <c r="G15" s="545">
        <f t="shared" si="1"/>
        <v>100</v>
      </c>
      <c r="I15" s="540">
        <f t="shared" si="2"/>
        <v>2024</v>
      </c>
      <c r="J15" s="542" t="str">
        <f>$C$15</f>
        <v>DEZ</v>
      </c>
      <c r="K15" s="543"/>
      <c r="L15" s="544"/>
      <c r="M15" s="543">
        <f t="shared" si="3"/>
        <v>0</v>
      </c>
      <c r="N15" s="545">
        <f t="shared" si="4"/>
        <v>100</v>
      </c>
      <c r="P15" s="540">
        <f t="shared" si="5"/>
        <v>2025</v>
      </c>
      <c r="Q15" s="542" t="str">
        <f>$C$15</f>
        <v>DEZ</v>
      </c>
      <c r="R15" s="543"/>
      <c r="S15" s="544"/>
      <c r="T15" s="543">
        <f t="shared" si="6"/>
        <v>0</v>
      </c>
      <c r="U15" s="545">
        <f t="shared" si="7"/>
        <v>100</v>
      </c>
      <c r="W15" s="540">
        <f t="shared" si="8"/>
        <v>2026</v>
      </c>
      <c r="X15" s="542" t="str">
        <f>$C$15</f>
        <v>DEZ</v>
      </c>
      <c r="Y15" s="543"/>
      <c r="Z15" s="544"/>
      <c r="AA15" s="543">
        <f t="shared" si="9"/>
        <v>0</v>
      </c>
      <c r="AB15" s="545">
        <f t="shared" si="10"/>
        <v>100</v>
      </c>
      <c r="AD15" s="540">
        <f t="shared" si="11"/>
        <v>2027</v>
      </c>
      <c r="AE15" s="542" t="str">
        <f>$C$15</f>
        <v>DEZ</v>
      </c>
      <c r="AF15" s="543"/>
      <c r="AG15" s="544"/>
      <c r="AH15" s="543">
        <f t="shared" si="12"/>
        <v>0</v>
      </c>
      <c r="AI15" s="545">
        <f t="shared" si="13"/>
        <v>100</v>
      </c>
    </row>
    <row r="16" spans="1:35" x14ac:dyDescent="0.3">
      <c r="B16" s="540">
        <v>2024</v>
      </c>
      <c r="C16" s="546" t="s">
        <v>641</v>
      </c>
      <c r="D16" s="547"/>
      <c r="E16" s="548"/>
      <c r="F16" s="543">
        <f t="shared" si="0"/>
        <v>0</v>
      </c>
      <c r="G16" s="545">
        <f t="shared" si="1"/>
        <v>100</v>
      </c>
      <c r="I16" s="540">
        <f t="shared" si="2"/>
        <v>2025</v>
      </c>
      <c r="J16" s="542" t="str">
        <f>$C$16</f>
        <v>JAN</v>
      </c>
      <c r="K16" s="547"/>
      <c r="L16" s="544"/>
      <c r="M16" s="543">
        <f t="shared" si="3"/>
        <v>0</v>
      </c>
      <c r="N16" s="545">
        <f t="shared" si="4"/>
        <v>100</v>
      </c>
      <c r="P16" s="540">
        <f t="shared" si="5"/>
        <v>2026</v>
      </c>
      <c r="Q16" s="542" t="str">
        <f>$C$16</f>
        <v>JAN</v>
      </c>
      <c r="R16" s="547"/>
      <c r="S16" s="544"/>
      <c r="T16" s="543">
        <f t="shared" si="6"/>
        <v>0</v>
      </c>
      <c r="U16" s="545">
        <f t="shared" si="7"/>
        <v>100</v>
      </c>
      <c r="W16" s="540">
        <f t="shared" si="8"/>
        <v>2027</v>
      </c>
      <c r="X16" s="542" t="str">
        <f>$C$16</f>
        <v>JAN</v>
      </c>
      <c r="Y16" s="547"/>
      <c r="Z16" s="544"/>
      <c r="AA16" s="543">
        <f t="shared" si="9"/>
        <v>0</v>
      </c>
      <c r="AB16" s="545">
        <f t="shared" si="10"/>
        <v>100</v>
      </c>
      <c r="AD16" s="540">
        <f t="shared" si="11"/>
        <v>2028</v>
      </c>
      <c r="AE16" s="542" t="str">
        <f>$C$16</f>
        <v>JAN</v>
      </c>
      <c r="AF16" s="547"/>
      <c r="AG16" s="544"/>
      <c r="AH16" s="543">
        <f t="shared" si="12"/>
        <v>0</v>
      </c>
      <c r="AI16" s="545">
        <f t="shared" si="13"/>
        <v>100</v>
      </c>
    </row>
    <row r="17" spans="2:35" x14ac:dyDescent="0.3">
      <c r="B17" s="540">
        <v>2024</v>
      </c>
      <c r="C17" s="542" t="s">
        <v>642</v>
      </c>
      <c r="D17" s="543"/>
      <c r="E17" s="544"/>
      <c r="F17" s="543">
        <f t="shared" si="0"/>
        <v>0</v>
      </c>
      <c r="G17" s="545">
        <f t="shared" si="1"/>
        <v>100</v>
      </c>
      <c r="I17" s="540">
        <f t="shared" si="2"/>
        <v>2025</v>
      </c>
      <c r="J17" s="542" t="str">
        <f>$C$17</f>
        <v>FEV</v>
      </c>
      <c r="K17" s="543"/>
      <c r="L17" s="544"/>
      <c r="M17" s="543">
        <f t="shared" si="3"/>
        <v>0</v>
      </c>
      <c r="N17" s="545">
        <f t="shared" si="4"/>
        <v>100</v>
      </c>
      <c r="P17" s="540">
        <f t="shared" si="5"/>
        <v>2026</v>
      </c>
      <c r="Q17" s="542" t="str">
        <f>$C$17</f>
        <v>FEV</v>
      </c>
      <c r="R17" s="543"/>
      <c r="S17" s="544"/>
      <c r="T17" s="543">
        <f t="shared" si="6"/>
        <v>0</v>
      </c>
      <c r="U17" s="545">
        <f t="shared" si="7"/>
        <v>100</v>
      </c>
      <c r="W17" s="540">
        <f t="shared" si="8"/>
        <v>2027</v>
      </c>
      <c r="X17" s="542" t="str">
        <f>$C$17</f>
        <v>FEV</v>
      </c>
      <c r="Y17" s="543"/>
      <c r="Z17" s="544"/>
      <c r="AA17" s="543">
        <f t="shared" si="9"/>
        <v>0</v>
      </c>
      <c r="AB17" s="545">
        <f t="shared" si="10"/>
        <v>100</v>
      </c>
      <c r="AD17" s="540">
        <f t="shared" si="11"/>
        <v>2028</v>
      </c>
      <c r="AE17" s="542" t="str">
        <f>$C$17</f>
        <v>FEV</v>
      </c>
      <c r="AF17" s="543"/>
      <c r="AG17" s="544"/>
      <c r="AH17" s="543">
        <f t="shared" si="12"/>
        <v>0</v>
      </c>
      <c r="AI17" s="545">
        <f t="shared" si="13"/>
        <v>100</v>
      </c>
    </row>
    <row r="18" spans="2:35" x14ac:dyDescent="0.3">
      <c r="B18" s="540">
        <v>2024</v>
      </c>
      <c r="C18" s="546" t="s">
        <v>643</v>
      </c>
      <c r="D18" s="543"/>
      <c r="E18" s="544"/>
      <c r="F18" s="543">
        <f t="shared" si="0"/>
        <v>0</v>
      </c>
      <c r="G18" s="545">
        <f t="shared" si="1"/>
        <v>100</v>
      </c>
      <c r="I18" s="540">
        <f t="shared" si="2"/>
        <v>2025</v>
      </c>
      <c r="J18" s="542" t="str">
        <f>$C$18</f>
        <v>MAR</v>
      </c>
      <c r="K18" s="543"/>
      <c r="L18" s="544"/>
      <c r="M18" s="543">
        <f t="shared" si="3"/>
        <v>0</v>
      </c>
      <c r="N18" s="545">
        <f t="shared" si="4"/>
        <v>100</v>
      </c>
      <c r="P18" s="540">
        <f t="shared" si="5"/>
        <v>2026</v>
      </c>
      <c r="Q18" s="542" t="str">
        <f>$C$18</f>
        <v>MAR</v>
      </c>
      <c r="R18" s="543"/>
      <c r="S18" s="544"/>
      <c r="T18" s="543">
        <f t="shared" si="6"/>
        <v>0</v>
      </c>
      <c r="U18" s="545">
        <f t="shared" si="7"/>
        <v>100</v>
      </c>
      <c r="W18" s="540">
        <f t="shared" si="8"/>
        <v>2027</v>
      </c>
      <c r="X18" s="542" t="str">
        <f>$C$18</f>
        <v>MAR</v>
      </c>
      <c r="Y18" s="543"/>
      <c r="Z18" s="544"/>
      <c r="AA18" s="543">
        <f t="shared" si="9"/>
        <v>0</v>
      </c>
      <c r="AB18" s="545">
        <f t="shared" si="10"/>
        <v>100</v>
      </c>
      <c r="AD18" s="540">
        <f t="shared" si="11"/>
        <v>2028</v>
      </c>
      <c r="AE18" s="542" t="str">
        <f>$C$18</f>
        <v>MAR</v>
      </c>
      <c r="AF18" s="543"/>
      <c r="AG18" s="544"/>
      <c r="AH18" s="543">
        <f t="shared" si="12"/>
        <v>0</v>
      </c>
      <c r="AI18" s="545">
        <f t="shared" si="13"/>
        <v>100</v>
      </c>
    </row>
    <row r="19" spans="2:35" x14ac:dyDescent="0.3">
      <c r="B19" s="540">
        <v>2024</v>
      </c>
      <c r="C19" s="542" t="s">
        <v>644</v>
      </c>
      <c r="D19" s="543"/>
      <c r="E19" s="544"/>
      <c r="F19" s="543">
        <f t="shared" si="0"/>
        <v>0</v>
      </c>
      <c r="G19" s="545">
        <f t="shared" si="1"/>
        <v>100</v>
      </c>
      <c r="I19" s="540">
        <f t="shared" si="2"/>
        <v>2025</v>
      </c>
      <c r="J19" s="542" t="str">
        <f>$C$19</f>
        <v>ABR</v>
      </c>
      <c r="K19" s="543"/>
      <c r="L19" s="544"/>
      <c r="M19" s="543">
        <f t="shared" si="3"/>
        <v>0</v>
      </c>
      <c r="N19" s="545">
        <f t="shared" si="4"/>
        <v>100</v>
      </c>
      <c r="P19" s="540">
        <f t="shared" si="5"/>
        <v>2026</v>
      </c>
      <c r="Q19" s="542" t="str">
        <f>$C$19</f>
        <v>ABR</v>
      </c>
      <c r="R19" s="543"/>
      <c r="S19" s="544"/>
      <c r="T19" s="543">
        <f t="shared" si="6"/>
        <v>0</v>
      </c>
      <c r="U19" s="545">
        <f t="shared" si="7"/>
        <v>100</v>
      </c>
      <c r="W19" s="540">
        <f t="shared" si="8"/>
        <v>2027</v>
      </c>
      <c r="X19" s="542" t="str">
        <f>$C$19</f>
        <v>ABR</v>
      </c>
      <c r="Y19" s="543"/>
      <c r="Z19" s="544"/>
      <c r="AA19" s="543">
        <f t="shared" si="9"/>
        <v>0</v>
      </c>
      <c r="AB19" s="545">
        <f t="shared" si="10"/>
        <v>100</v>
      </c>
      <c r="AD19" s="540">
        <f t="shared" si="11"/>
        <v>2028</v>
      </c>
      <c r="AE19" s="542" t="str">
        <f>$C$19</f>
        <v>ABR</v>
      </c>
      <c r="AF19" s="543"/>
      <c r="AG19" s="544"/>
      <c r="AH19" s="543">
        <f t="shared" si="12"/>
        <v>0</v>
      </c>
      <c r="AI19" s="545">
        <f t="shared" si="13"/>
        <v>100</v>
      </c>
    </row>
    <row r="20" spans="2:35" x14ac:dyDescent="0.3">
      <c r="B20" s="540">
        <v>2024</v>
      </c>
      <c r="C20" s="546" t="s">
        <v>645</v>
      </c>
      <c r="D20" s="543"/>
      <c r="E20" s="544"/>
      <c r="F20" s="543">
        <f t="shared" si="0"/>
        <v>0</v>
      </c>
      <c r="G20" s="545">
        <f t="shared" si="1"/>
        <v>100</v>
      </c>
      <c r="I20" s="540">
        <f t="shared" si="2"/>
        <v>2025</v>
      </c>
      <c r="J20" s="542" t="str">
        <f>$C$20</f>
        <v>MAI</v>
      </c>
      <c r="K20" s="543"/>
      <c r="L20" s="544"/>
      <c r="M20" s="543">
        <f t="shared" si="3"/>
        <v>0</v>
      </c>
      <c r="N20" s="545">
        <f t="shared" si="4"/>
        <v>100</v>
      </c>
      <c r="P20" s="540">
        <f t="shared" si="5"/>
        <v>2026</v>
      </c>
      <c r="Q20" s="542" t="str">
        <f>$C$20</f>
        <v>MAI</v>
      </c>
      <c r="R20" s="543"/>
      <c r="S20" s="544"/>
      <c r="T20" s="543">
        <f t="shared" si="6"/>
        <v>0</v>
      </c>
      <c r="U20" s="545">
        <f t="shared" si="7"/>
        <v>100</v>
      </c>
      <c r="W20" s="540">
        <f t="shared" si="8"/>
        <v>2027</v>
      </c>
      <c r="X20" s="542" t="str">
        <f>$C$20</f>
        <v>MAI</v>
      </c>
      <c r="Y20" s="543"/>
      <c r="Z20" s="544"/>
      <c r="AA20" s="543">
        <f t="shared" si="9"/>
        <v>0</v>
      </c>
      <c r="AB20" s="545">
        <f t="shared" si="10"/>
        <v>100</v>
      </c>
      <c r="AD20" s="540">
        <f t="shared" si="11"/>
        <v>2028</v>
      </c>
      <c r="AE20" s="542" t="str">
        <f>$C$20</f>
        <v>MAI</v>
      </c>
      <c r="AF20" s="543"/>
      <c r="AG20" s="544"/>
      <c r="AH20" s="543">
        <f t="shared" si="12"/>
        <v>0</v>
      </c>
      <c r="AI20" s="545">
        <f t="shared" si="13"/>
        <v>100</v>
      </c>
    </row>
    <row r="21" spans="2:35" x14ac:dyDescent="0.3">
      <c r="B21" s="540">
        <v>2024</v>
      </c>
      <c r="C21" s="542" t="s">
        <v>646</v>
      </c>
      <c r="D21" s="543"/>
      <c r="E21" s="544"/>
      <c r="F21" s="543">
        <f t="shared" si="0"/>
        <v>0</v>
      </c>
      <c r="G21" s="545">
        <f t="shared" si="1"/>
        <v>100</v>
      </c>
      <c r="I21" s="540">
        <f t="shared" si="2"/>
        <v>2025</v>
      </c>
      <c r="J21" s="542" t="str">
        <f>$C$21</f>
        <v>JUN</v>
      </c>
      <c r="K21" s="543"/>
      <c r="L21" s="544"/>
      <c r="M21" s="543">
        <f t="shared" si="3"/>
        <v>0</v>
      </c>
      <c r="N21" s="545">
        <f t="shared" si="4"/>
        <v>100</v>
      </c>
      <c r="P21" s="540">
        <f t="shared" si="5"/>
        <v>2026</v>
      </c>
      <c r="Q21" s="542" t="str">
        <f>$C$21</f>
        <v>JUN</v>
      </c>
      <c r="R21" s="543"/>
      <c r="S21" s="544"/>
      <c r="T21" s="543">
        <f t="shared" si="6"/>
        <v>0</v>
      </c>
      <c r="U21" s="545">
        <f t="shared" si="7"/>
        <v>100</v>
      </c>
      <c r="W21" s="540">
        <f t="shared" si="8"/>
        <v>2027</v>
      </c>
      <c r="X21" s="542" t="str">
        <f>$C$21</f>
        <v>JUN</v>
      </c>
      <c r="Y21" s="543"/>
      <c r="Z21" s="544"/>
      <c r="AA21" s="543">
        <f t="shared" si="9"/>
        <v>0</v>
      </c>
      <c r="AB21" s="545">
        <f t="shared" si="10"/>
        <v>100</v>
      </c>
      <c r="AD21" s="540">
        <f t="shared" si="11"/>
        <v>2028</v>
      </c>
      <c r="AE21" s="542" t="str">
        <f>$C$21</f>
        <v>JUN</v>
      </c>
      <c r="AF21" s="543"/>
      <c r="AG21" s="544"/>
      <c r="AH21" s="543">
        <f t="shared" si="12"/>
        <v>0</v>
      </c>
      <c r="AI21" s="545">
        <f t="shared" si="13"/>
        <v>100</v>
      </c>
    </row>
    <row r="22" spans="2:35" x14ac:dyDescent="0.3">
      <c r="B22" s="540">
        <v>2024</v>
      </c>
      <c r="C22" s="546" t="s">
        <v>647</v>
      </c>
      <c r="D22" s="543"/>
      <c r="E22" s="544">
        <v>5</v>
      </c>
      <c r="F22" s="543">
        <f t="shared" si="0"/>
        <v>0</v>
      </c>
      <c r="G22" s="545">
        <f t="shared" si="1"/>
        <v>100</v>
      </c>
      <c r="I22" s="540">
        <f t="shared" si="2"/>
        <v>2025</v>
      </c>
      <c r="J22" s="542" t="str">
        <f>$C$22</f>
        <v>JUL</v>
      </c>
      <c r="K22" s="543"/>
      <c r="L22" s="544">
        <f>$E$22</f>
        <v>5</v>
      </c>
      <c r="M22" s="543">
        <f t="shared" si="3"/>
        <v>0</v>
      </c>
      <c r="N22" s="545">
        <f t="shared" si="4"/>
        <v>100</v>
      </c>
      <c r="P22" s="540">
        <f t="shared" si="5"/>
        <v>2026</v>
      </c>
      <c r="Q22" s="542" t="str">
        <f>$C$22</f>
        <v>JUL</v>
      </c>
      <c r="R22" s="543"/>
      <c r="S22" s="544">
        <f>$E$22</f>
        <v>5</v>
      </c>
      <c r="T22" s="543">
        <f t="shared" si="6"/>
        <v>0</v>
      </c>
      <c r="U22" s="545">
        <f t="shared" si="7"/>
        <v>100</v>
      </c>
      <c r="W22" s="540">
        <f t="shared" si="8"/>
        <v>2027</v>
      </c>
      <c r="X22" s="542" t="str">
        <f>$C$22</f>
        <v>JUL</v>
      </c>
      <c r="Y22" s="543"/>
      <c r="Z22" s="544">
        <f>$E$22</f>
        <v>5</v>
      </c>
      <c r="AA22" s="543">
        <f t="shared" si="9"/>
        <v>0</v>
      </c>
      <c r="AB22" s="545">
        <f t="shared" si="10"/>
        <v>100</v>
      </c>
      <c r="AD22" s="540">
        <f t="shared" si="11"/>
        <v>2028</v>
      </c>
      <c r="AE22" s="542" t="str">
        <f>$C$22</f>
        <v>JUL</v>
      </c>
      <c r="AF22" s="543"/>
      <c r="AG22" s="544">
        <f>$E$22</f>
        <v>5</v>
      </c>
      <c r="AH22" s="543">
        <f t="shared" si="12"/>
        <v>0</v>
      </c>
      <c r="AI22" s="545">
        <f t="shared" si="13"/>
        <v>100</v>
      </c>
    </row>
    <row r="23" spans="2:35" x14ac:dyDescent="0.3">
      <c r="B23" s="714" t="s">
        <v>648</v>
      </c>
      <c r="C23" s="714"/>
      <c r="D23" s="714"/>
      <c r="E23" s="714"/>
      <c r="F23" s="714"/>
      <c r="G23" s="549">
        <f>ROUND(((G22-G9)/G9),4)</f>
        <v>0</v>
      </c>
      <c r="I23" s="714" t="s">
        <v>648</v>
      </c>
      <c r="J23" s="714"/>
      <c r="K23" s="714"/>
      <c r="L23" s="714"/>
      <c r="M23" s="714"/>
      <c r="N23" s="549">
        <f>ROUND(((N22-N9)/N9),4)</f>
        <v>0</v>
      </c>
      <c r="P23" s="714" t="s">
        <v>648</v>
      </c>
      <c r="Q23" s="714"/>
      <c r="R23" s="714"/>
      <c r="S23" s="714"/>
      <c r="T23" s="714"/>
      <c r="U23" s="549">
        <f>ROUND(((U22-U9)/U9),4)</f>
        <v>0</v>
      </c>
      <c r="W23" s="714" t="s">
        <v>648</v>
      </c>
      <c r="X23" s="714"/>
      <c r="Y23" s="714"/>
      <c r="Z23" s="714"/>
      <c r="AA23" s="714"/>
      <c r="AB23" s="549">
        <f>ROUND(((AB22-AB9)/AB9),4)</f>
        <v>0</v>
      </c>
      <c r="AD23" s="714" t="s">
        <v>648</v>
      </c>
      <c r="AE23" s="714"/>
      <c r="AF23" s="714"/>
      <c r="AG23" s="714"/>
      <c r="AH23" s="714"/>
      <c r="AI23" s="549">
        <f>ROUND(((AI22-AI9)/AI9),4)</f>
        <v>0</v>
      </c>
    </row>
  </sheetData>
  <sheetProtection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0"/>
  <sheetViews>
    <sheetView showGridLines="0" tabSelected="1" view="pageBreakPreview" topLeftCell="A9" zoomScale="40" zoomScaleNormal="100" zoomScaleSheetLayoutView="40" workbookViewId="0">
      <selection activeCell="I31" sqref="I31"/>
    </sheetView>
  </sheetViews>
  <sheetFormatPr defaultColWidth="8.6640625" defaultRowHeight="14.4" x14ac:dyDescent="0.3"/>
  <cols>
    <col min="1" max="1" width="6.33203125" style="75" customWidth="1"/>
    <col min="2" max="2" width="8.6640625" style="105"/>
    <col min="3" max="3" width="4" style="80" customWidth="1"/>
    <col min="4" max="23" width="9.109375" style="80" customWidth="1"/>
    <col min="24" max="24" width="10.6640625" style="80" customWidth="1"/>
    <col min="25" max="256" width="9.109375" style="80" customWidth="1"/>
    <col min="257" max="257" width="4.5546875" style="80" customWidth="1"/>
    <col min="258" max="258" width="11.109375" style="80" customWidth="1"/>
    <col min="259" max="259" width="4" style="80" customWidth="1"/>
    <col min="260" max="512" width="9.109375" style="80" customWidth="1"/>
    <col min="513" max="513" width="4.5546875" style="80" customWidth="1"/>
    <col min="514" max="514" width="11.109375" style="80" customWidth="1"/>
    <col min="515" max="515" width="4" style="80" customWidth="1"/>
    <col min="516" max="768" width="9.109375" style="80" customWidth="1"/>
    <col min="769" max="769" width="4.5546875" style="80" customWidth="1"/>
    <col min="770" max="770" width="11.109375" style="80" customWidth="1"/>
    <col min="771" max="771" width="4" style="80" customWidth="1"/>
    <col min="772" max="1025" width="9.109375" style="80" customWidth="1"/>
  </cols>
  <sheetData>
    <row r="1" spans="1:24" x14ac:dyDescent="0.3">
      <c r="A1" s="106"/>
      <c r="B1" s="107" t="s">
        <v>85</v>
      </c>
    </row>
    <row r="2" spans="1:24" x14ac:dyDescent="0.3">
      <c r="A2" s="108"/>
      <c r="B2" s="109" t="s">
        <v>86</v>
      </c>
    </row>
    <row r="3" spans="1:24" x14ac:dyDescent="0.3">
      <c r="A3" s="108"/>
      <c r="B3" s="80" t="s">
        <v>87</v>
      </c>
    </row>
    <row r="4" spans="1:24" s="19" customFormat="1" ht="15.6" x14ac:dyDescent="0.3">
      <c r="A4" s="550" t="s">
        <v>88</v>
      </c>
      <c r="B4" s="550"/>
      <c r="C4" s="550"/>
      <c r="D4" s="550"/>
      <c r="E4" s="550"/>
      <c r="F4" s="550"/>
      <c r="G4" s="550"/>
      <c r="H4" s="550"/>
      <c r="I4" s="550"/>
      <c r="J4" s="550"/>
      <c r="K4" s="550"/>
      <c r="L4" s="550"/>
      <c r="M4" s="550"/>
      <c r="N4" s="550"/>
      <c r="O4" s="550"/>
      <c r="P4" s="550"/>
      <c r="Q4" s="550"/>
      <c r="R4" s="550"/>
      <c r="S4" s="550"/>
      <c r="T4" s="550"/>
      <c r="U4" s="550"/>
      <c r="V4" s="550"/>
      <c r="W4" s="550"/>
      <c r="X4" s="550"/>
    </row>
    <row r="5" spans="1:24" ht="12" customHeight="1" x14ac:dyDescent="0.3"/>
    <row r="6" spans="1:24" x14ac:dyDescent="0.3">
      <c r="A6" s="79" t="s">
        <v>89</v>
      </c>
      <c r="B6" s="111" t="s">
        <v>90</v>
      </c>
    </row>
    <row r="7" spans="1:24" ht="17.25" customHeight="1" x14ac:dyDescent="0.3"/>
    <row r="8" spans="1:24" x14ac:dyDescent="0.3">
      <c r="B8" s="112"/>
      <c r="C8" s="105" t="s">
        <v>91</v>
      </c>
    </row>
    <row r="10" spans="1:24" x14ac:dyDescent="0.3">
      <c r="A10" s="79" t="s">
        <v>92</v>
      </c>
      <c r="B10" s="105" t="s">
        <v>93</v>
      </c>
    </row>
    <row r="12" spans="1:24" x14ac:dyDescent="0.3">
      <c r="A12" s="79" t="s">
        <v>94</v>
      </c>
      <c r="B12" s="105" t="s">
        <v>95</v>
      </c>
    </row>
    <row r="13" spans="1:24" x14ac:dyDescent="0.3">
      <c r="A13" s="79"/>
      <c r="B13" s="105" t="s">
        <v>96</v>
      </c>
    </row>
    <row r="14" spans="1:24" s="114" customFormat="1" ht="17.25" customHeight="1" x14ac:dyDescent="0.3">
      <c r="A14" s="79"/>
      <c r="B14" s="113" t="s">
        <v>97</v>
      </c>
    </row>
    <row r="15" spans="1:24" ht="7.5" customHeight="1" x14ac:dyDescent="0.3"/>
    <row r="16" spans="1:24" x14ac:dyDescent="0.3">
      <c r="B16" s="115" t="s">
        <v>98</v>
      </c>
      <c r="C16" s="116" t="s">
        <v>99</v>
      </c>
      <c r="D16" s="116"/>
      <c r="E16" s="116"/>
      <c r="F16" s="116"/>
      <c r="G16" s="116"/>
    </row>
    <row r="18" spans="3:4" x14ac:dyDescent="0.3">
      <c r="C18" s="117" t="s">
        <v>100</v>
      </c>
      <c r="D18" s="117" t="s">
        <v>101</v>
      </c>
    </row>
    <row r="19" spans="3:4" x14ac:dyDescent="0.3">
      <c r="D19" s="118" t="s">
        <v>102</v>
      </c>
    </row>
    <row r="20" spans="3:4" x14ac:dyDescent="0.3">
      <c r="D20" s="118" t="s">
        <v>103</v>
      </c>
    </row>
    <row r="21" spans="3:4" x14ac:dyDescent="0.3">
      <c r="C21" s="117"/>
      <c r="D21" s="118" t="s">
        <v>104</v>
      </c>
    </row>
    <row r="22" spans="3:4" x14ac:dyDescent="0.3">
      <c r="D22" s="118" t="s">
        <v>105</v>
      </c>
    </row>
    <row r="23" spans="3:4" x14ac:dyDescent="0.3">
      <c r="D23" s="118" t="s">
        <v>106</v>
      </c>
    </row>
    <row r="24" spans="3:4" x14ac:dyDescent="0.3">
      <c r="D24" s="118" t="s">
        <v>107</v>
      </c>
    </row>
    <row r="25" spans="3:4" x14ac:dyDescent="0.3">
      <c r="D25" s="118" t="s">
        <v>108</v>
      </c>
    </row>
    <row r="26" spans="3:4" x14ac:dyDescent="0.3">
      <c r="D26" s="118" t="s">
        <v>109</v>
      </c>
    </row>
    <row r="27" spans="3:4" x14ac:dyDescent="0.3">
      <c r="D27" s="118" t="s">
        <v>110</v>
      </c>
    </row>
    <row r="28" spans="3:4" x14ac:dyDescent="0.3">
      <c r="D28" s="118" t="s">
        <v>111</v>
      </c>
    </row>
    <row r="29" spans="3:4" x14ac:dyDescent="0.3">
      <c r="D29" s="118" t="s">
        <v>112</v>
      </c>
    </row>
    <row r="30" spans="3:4" x14ac:dyDescent="0.3">
      <c r="D30" s="118" t="s">
        <v>113</v>
      </c>
    </row>
    <row r="31" spans="3:4" x14ac:dyDescent="0.3">
      <c r="D31" s="118" t="s">
        <v>114</v>
      </c>
    </row>
    <row r="32" spans="3:4" x14ac:dyDescent="0.3">
      <c r="D32" s="118" t="s">
        <v>115</v>
      </c>
    </row>
    <row r="33" spans="3:8" x14ac:dyDescent="0.3">
      <c r="D33" s="118" t="s">
        <v>116</v>
      </c>
    </row>
    <row r="34" spans="3:8" x14ac:dyDescent="0.3">
      <c r="D34" s="118" t="s">
        <v>117</v>
      </c>
    </row>
    <row r="35" spans="3:8" x14ac:dyDescent="0.3">
      <c r="D35" s="118" t="s">
        <v>118</v>
      </c>
    </row>
    <row r="36" spans="3:8" x14ac:dyDescent="0.3">
      <c r="D36" s="118" t="s">
        <v>119</v>
      </c>
    </row>
    <row r="37" spans="3:8" x14ac:dyDescent="0.3">
      <c r="D37" s="118" t="s">
        <v>120</v>
      </c>
    </row>
    <row r="38" spans="3:8" x14ac:dyDescent="0.3">
      <c r="D38" s="118" t="s">
        <v>121</v>
      </c>
    </row>
    <row r="39" spans="3:8" x14ac:dyDescent="0.3">
      <c r="D39" s="118" t="s">
        <v>122</v>
      </c>
    </row>
    <row r="40" spans="3:8" x14ac:dyDescent="0.3">
      <c r="D40" s="118" t="s">
        <v>123</v>
      </c>
    </row>
    <row r="41" spans="3:8" x14ac:dyDescent="0.3">
      <c r="D41" s="118" t="s">
        <v>124</v>
      </c>
    </row>
    <row r="42" spans="3:8" x14ac:dyDescent="0.3">
      <c r="D42" s="116" t="s">
        <v>125</v>
      </c>
      <c r="E42" s="116"/>
      <c r="F42" s="116"/>
      <c r="G42" s="116"/>
      <c r="H42" s="116"/>
    </row>
    <row r="44" spans="3:8" x14ac:dyDescent="0.3">
      <c r="C44" s="117" t="s">
        <v>126</v>
      </c>
      <c r="D44" s="117" t="s">
        <v>127</v>
      </c>
    </row>
    <row r="45" spans="3:8" x14ac:dyDescent="0.3">
      <c r="D45" s="80" t="s">
        <v>128</v>
      </c>
    </row>
    <row r="46" spans="3:8" x14ac:dyDescent="0.3">
      <c r="D46" s="80" t="s">
        <v>129</v>
      </c>
    </row>
    <row r="47" spans="3:8" x14ac:dyDescent="0.3">
      <c r="D47" s="116" t="s">
        <v>125</v>
      </c>
      <c r="E47" s="116"/>
      <c r="F47" s="116"/>
      <c r="G47" s="116"/>
      <c r="H47" s="116"/>
    </row>
    <row r="49" spans="3:8" x14ac:dyDescent="0.3">
      <c r="C49" s="117" t="s">
        <v>130</v>
      </c>
      <c r="D49" s="117" t="s">
        <v>131</v>
      </c>
    </row>
    <row r="50" spans="3:8" x14ac:dyDescent="0.3">
      <c r="D50" s="80" t="s">
        <v>132</v>
      </c>
    </row>
    <row r="51" spans="3:8" x14ac:dyDescent="0.3">
      <c r="D51" s="80" t="s">
        <v>133</v>
      </c>
    </row>
    <row r="52" spans="3:8" x14ac:dyDescent="0.3">
      <c r="E52" s="80" t="s">
        <v>134</v>
      </c>
    </row>
    <row r="53" spans="3:8" x14ac:dyDescent="0.3">
      <c r="E53" s="80" t="s">
        <v>135</v>
      </c>
    </row>
    <row r="54" spans="3:8" x14ac:dyDescent="0.3">
      <c r="D54" s="80" t="s">
        <v>136</v>
      </c>
    </row>
    <row r="55" spans="3:8" x14ac:dyDescent="0.3">
      <c r="D55" s="116" t="s">
        <v>125</v>
      </c>
      <c r="E55" s="116"/>
      <c r="F55" s="116"/>
      <c r="G55" s="116"/>
      <c r="H55" s="116"/>
    </row>
    <row r="58" spans="3:8" x14ac:dyDescent="0.3">
      <c r="C58" s="117" t="s">
        <v>137</v>
      </c>
      <c r="D58" s="117" t="s">
        <v>138</v>
      </c>
    </row>
    <row r="59" spans="3:8" x14ac:dyDescent="0.3">
      <c r="D59" s="80" t="s">
        <v>139</v>
      </c>
    </row>
    <row r="60" spans="3:8" x14ac:dyDescent="0.3">
      <c r="D60" s="116" t="s">
        <v>125</v>
      </c>
      <c r="E60" s="116"/>
      <c r="F60" s="116"/>
      <c r="G60" s="116"/>
      <c r="H60" s="116"/>
    </row>
    <row r="62" spans="3:8" x14ac:dyDescent="0.3">
      <c r="C62" s="117" t="s">
        <v>140</v>
      </c>
      <c r="D62" s="117" t="s">
        <v>141</v>
      </c>
    </row>
    <row r="63" spans="3:8" x14ac:dyDescent="0.3">
      <c r="D63" s="80" t="s">
        <v>142</v>
      </c>
    </row>
    <row r="64" spans="3:8" x14ac:dyDescent="0.3">
      <c r="D64" s="80" t="s">
        <v>143</v>
      </c>
    </row>
    <row r="65" spans="1:8" x14ac:dyDescent="0.3">
      <c r="D65" s="116" t="s">
        <v>125</v>
      </c>
      <c r="E65" s="116"/>
      <c r="F65" s="116"/>
      <c r="G65" s="116"/>
      <c r="H65" s="116"/>
    </row>
    <row r="66" spans="1:8" ht="19.5" customHeight="1" x14ac:dyDescent="0.3"/>
    <row r="67" spans="1:8" ht="24.75" customHeight="1" x14ac:dyDescent="0.3"/>
    <row r="68" spans="1:8" x14ac:dyDescent="0.3">
      <c r="A68" s="79" t="s">
        <v>144</v>
      </c>
      <c r="B68" s="105" t="s">
        <v>145</v>
      </c>
    </row>
    <row r="69" spans="1:8" x14ac:dyDescent="0.3">
      <c r="A69" s="79"/>
      <c r="B69" s="105" t="s">
        <v>96</v>
      </c>
    </row>
    <row r="70" spans="1:8" s="114" customFormat="1" ht="18" customHeight="1" x14ac:dyDescent="0.3">
      <c r="A70" s="75"/>
      <c r="B70" s="79" t="s">
        <v>146</v>
      </c>
      <c r="C70" s="114" t="s">
        <v>147</v>
      </c>
    </row>
    <row r="71" spans="1:8" x14ac:dyDescent="0.3">
      <c r="B71" s="115" t="s">
        <v>148</v>
      </c>
      <c r="C71" s="119" t="s">
        <v>149</v>
      </c>
      <c r="D71" s="119"/>
      <c r="E71" s="119"/>
      <c r="F71" s="119"/>
      <c r="G71" s="119"/>
    </row>
    <row r="72" spans="1:8" ht="24.75" customHeight="1" x14ac:dyDescent="0.3"/>
    <row r="73" spans="1:8" s="114" customFormat="1" ht="15" customHeight="1" x14ac:dyDescent="0.3">
      <c r="A73" s="79" t="s">
        <v>150</v>
      </c>
      <c r="B73" s="16" t="s">
        <v>151</v>
      </c>
    </row>
    <row r="74" spans="1:8" s="114" customFormat="1" ht="15.75" customHeight="1" x14ac:dyDescent="0.3">
      <c r="A74" s="75"/>
      <c r="B74" s="79" t="s">
        <v>152</v>
      </c>
      <c r="C74" s="71" t="s">
        <v>153</v>
      </c>
    </row>
    <row r="75" spans="1:8" x14ac:dyDescent="0.3">
      <c r="B75" s="115" t="s">
        <v>154</v>
      </c>
      <c r="C75" s="120" t="s">
        <v>155</v>
      </c>
      <c r="D75" s="120"/>
      <c r="E75" s="120"/>
      <c r="F75" s="120"/>
    </row>
    <row r="76" spans="1:8" ht="24.75" customHeight="1" x14ac:dyDescent="0.3"/>
    <row r="77" spans="1:8" x14ac:dyDescent="0.3">
      <c r="A77" s="79" t="s">
        <v>156</v>
      </c>
      <c r="B77" s="105" t="s">
        <v>157</v>
      </c>
    </row>
    <row r="78" spans="1:8" s="114" customFormat="1" ht="16.5" customHeight="1" x14ac:dyDescent="0.3">
      <c r="A78" s="75"/>
      <c r="B78" s="79" t="s">
        <v>158</v>
      </c>
      <c r="C78" s="71" t="s">
        <v>159</v>
      </c>
    </row>
    <row r="79" spans="1:8" s="114" customFormat="1" ht="14.25" customHeight="1" x14ac:dyDescent="0.3">
      <c r="A79" s="75"/>
      <c r="B79" s="79" t="s">
        <v>160</v>
      </c>
      <c r="C79" s="121" t="s">
        <v>149</v>
      </c>
      <c r="D79" s="121"/>
      <c r="E79" s="121"/>
      <c r="F79" s="121"/>
      <c r="G79" s="121"/>
    </row>
    <row r="80" spans="1:8" s="114" customFormat="1" ht="23.25" customHeight="1" x14ac:dyDescent="0.3">
      <c r="A80" s="75"/>
      <c r="B80" s="79"/>
      <c r="C80" s="122"/>
      <c r="D80" s="122"/>
      <c r="E80" s="122"/>
      <c r="F80" s="122"/>
      <c r="G80" s="122"/>
    </row>
  </sheetData>
  <sheetProtection algorithmName="SHA-512" hashValue="nh2aHhfWwQSxSnmSejB23vhQPg18tyxtp335NbWuDgFJvU3Jjsqp9BLttgkaVgnzTVyUjDzl++3f18J4dGLtuA==" saltValue="9EshkfkjL8Lx8L1fh7X7o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38"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05"/>
  <sheetViews>
    <sheetView showGridLines="0" view="pageBreakPreview" topLeftCell="A5" zoomScale="10" zoomScaleNormal="100" zoomScaleSheetLayoutView="10" workbookViewId="0">
      <selection activeCell="G32" sqref="G32"/>
    </sheetView>
  </sheetViews>
  <sheetFormatPr defaultColWidth="8.6640625" defaultRowHeight="14.4" x14ac:dyDescent="0.3"/>
  <cols>
    <col min="1" max="1" width="9.88671875" style="4" customWidth="1"/>
    <col min="2" max="2" width="10.44140625" style="4" customWidth="1"/>
    <col min="3" max="3" width="39.33203125" style="4" customWidth="1"/>
    <col min="4" max="4" width="12" style="4" customWidth="1"/>
    <col min="5" max="5" width="15.6640625" style="4" customWidth="1"/>
    <col min="6" max="6" width="14.88671875" style="4" customWidth="1"/>
    <col min="7" max="7" width="14" style="4" customWidth="1"/>
    <col min="8" max="8" width="13.5546875" style="4" customWidth="1"/>
    <col min="9" max="9" width="13.44140625" style="4" customWidth="1"/>
    <col min="10" max="10" width="13.5546875" style="5" customWidth="1"/>
    <col min="11" max="11" width="18.33203125" style="5" customWidth="1"/>
    <col min="12" max="12" width="13.33203125" style="4" customWidth="1"/>
    <col min="13" max="13" width="15.109375" style="4" customWidth="1"/>
    <col min="14" max="14" width="9.6640625" style="4" customWidth="1"/>
    <col min="15" max="15" width="12.6640625" style="4" customWidth="1"/>
    <col min="16" max="18" width="13.5546875" style="4" customWidth="1"/>
    <col min="19" max="19" width="15" style="4" customWidth="1"/>
    <col min="20" max="20" width="9.109375" style="4" customWidth="1"/>
    <col min="21" max="21" width="10.44140625" style="4" customWidth="1"/>
    <col min="22" max="255" width="9.109375" style="4" customWidth="1"/>
    <col min="256" max="256" width="9.88671875" style="4" customWidth="1"/>
    <col min="257" max="257" width="10.44140625" style="4" customWidth="1"/>
    <col min="258" max="258" width="39.33203125" style="4" customWidth="1"/>
    <col min="259" max="259" width="15" style="4" customWidth="1"/>
    <col min="260" max="260" width="11" style="4" customWidth="1"/>
    <col min="261" max="261" width="11.109375" style="4" customWidth="1"/>
    <col min="262" max="262" width="12.88671875" style="4" customWidth="1"/>
    <col min="263" max="263" width="13.109375" style="4" customWidth="1"/>
    <col min="264" max="267" width="14.109375" style="4" customWidth="1"/>
    <col min="268" max="268" width="14.44140625" style="4" customWidth="1"/>
    <col min="269" max="269" width="9.6640625" style="4" customWidth="1"/>
    <col min="270" max="270" width="12.6640625" style="4" customWidth="1"/>
    <col min="271" max="273" width="13.5546875" style="4" customWidth="1"/>
    <col min="274" max="274" width="12.109375" style="4" customWidth="1"/>
    <col min="275" max="275" width="15" style="4" customWidth="1"/>
    <col min="276" max="511" width="9.109375" style="4" customWidth="1"/>
    <col min="512" max="512" width="9.88671875" style="4" customWidth="1"/>
    <col min="513" max="513" width="10.44140625" style="4" customWidth="1"/>
    <col min="514" max="514" width="39.33203125" style="4" customWidth="1"/>
    <col min="515" max="515" width="15" style="4" customWidth="1"/>
    <col min="516" max="516" width="11" style="4" customWidth="1"/>
    <col min="517" max="517" width="11.109375" style="4" customWidth="1"/>
    <col min="518" max="518" width="12.88671875" style="4" customWidth="1"/>
    <col min="519" max="519" width="13.109375" style="4" customWidth="1"/>
    <col min="520" max="523" width="14.109375" style="4" customWidth="1"/>
    <col min="524" max="524" width="14.44140625" style="4" customWidth="1"/>
    <col min="525" max="525" width="9.6640625" style="4" customWidth="1"/>
    <col min="526" max="526" width="12.6640625" style="4" customWidth="1"/>
    <col min="527" max="529" width="13.5546875" style="4" customWidth="1"/>
    <col min="530" max="530" width="12.109375" style="4" customWidth="1"/>
    <col min="531" max="531" width="15" style="4" customWidth="1"/>
    <col min="532" max="767" width="9.109375" style="4" customWidth="1"/>
    <col min="768" max="768" width="9.88671875" style="4" customWidth="1"/>
    <col min="769" max="769" width="10.44140625" style="4" customWidth="1"/>
    <col min="770" max="770" width="39.33203125" style="4" customWidth="1"/>
    <col min="771" max="771" width="15" style="4" customWidth="1"/>
    <col min="772" max="772" width="11" style="4" customWidth="1"/>
    <col min="773" max="773" width="11.109375" style="4" customWidth="1"/>
    <col min="774" max="774" width="12.88671875" style="4" customWidth="1"/>
    <col min="775" max="775" width="13.109375" style="4" customWidth="1"/>
    <col min="776" max="779" width="14.109375" style="4" customWidth="1"/>
    <col min="780" max="780" width="14.44140625" style="4" customWidth="1"/>
    <col min="781" max="781" width="9.6640625" style="4" customWidth="1"/>
    <col min="782" max="782" width="12.6640625" style="4" customWidth="1"/>
    <col min="783" max="785" width="13.5546875" style="4" customWidth="1"/>
    <col min="786" max="786" width="12.109375" style="4" customWidth="1"/>
    <col min="787" max="787" width="15" style="4" customWidth="1"/>
    <col min="788" max="1023" width="9.109375" style="4" customWidth="1"/>
    <col min="1024" max="1025" width="9.88671875" style="4" customWidth="1"/>
  </cols>
  <sheetData>
    <row r="1" spans="1:21" x14ac:dyDescent="0.3">
      <c r="A1" s="123"/>
      <c r="B1" s="109" t="str">
        <f>INSTRUÇÕES!B1</f>
        <v>Tribunal Regional Federal da 6ª Região</v>
      </c>
      <c r="D1" s="80"/>
      <c r="E1" s="80"/>
      <c r="F1" s="80"/>
      <c r="G1" s="80"/>
      <c r="H1" s="80"/>
      <c r="I1" s="80"/>
      <c r="J1" s="99"/>
      <c r="K1" s="99"/>
      <c r="L1" s="80"/>
      <c r="M1" s="80"/>
      <c r="N1" s="80"/>
    </row>
    <row r="2" spans="1:21" x14ac:dyDescent="0.3">
      <c r="A2" s="123"/>
      <c r="B2" s="109" t="str">
        <f>INSTRUÇÕES!B2</f>
        <v>Seção Judiciária de Minas Gerais</v>
      </c>
      <c r="D2" s="80"/>
      <c r="E2" s="80"/>
      <c r="F2" s="80"/>
      <c r="G2" s="80"/>
      <c r="H2" s="80"/>
      <c r="I2" s="80"/>
      <c r="J2" s="99"/>
      <c r="K2" s="99"/>
      <c r="L2" s="80"/>
      <c r="M2" s="80"/>
      <c r="N2" s="80"/>
    </row>
    <row r="3" spans="1:21" ht="18" x14ac:dyDescent="0.3">
      <c r="A3" s="123"/>
      <c r="B3" s="109" t="str">
        <f>INSTRUÇÕES!B3</f>
        <v>Subseção Judiciária de Viçosa</v>
      </c>
      <c r="D3" s="80"/>
      <c r="E3" s="124" t="s">
        <v>161</v>
      </c>
      <c r="F3" s="80"/>
      <c r="G3" s="80"/>
      <c r="H3" s="80"/>
      <c r="I3" s="80"/>
      <c r="J3" s="99"/>
      <c r="K3" s="99"/>
      <c r="L3" s="80"/>
      <c r="M3" s="80"/>
      <c r="N3" s="80"/>
      <c r="R3" s="80"/>
    </row>
    <row r="4" spans="1:21" s="19" customFormat="1" ht="24.75" customHeight="1" x14ac:dyDescent="0.3">
      <c r="A4" s="125" t="str">
        <f>CONCATENATE("Sindicato utilizado - ",E13,". Vigência: ",E15,". Sendo a data base da categoria ",E16,". Com número de registro no MTE ",E14,".")</f>
        <v>Sindicato utilizado - SINSERTH x SINTAPPI. Vigência: 01/04/2025 à 31/03/2026. Sendo a data base da categoria 1 de abril. Com número de registro no MTE MG001973/2025.</v>
      </c>
      <c r="B4" s="125"/>
      <c r="C4" s="126"/>
      <c r="D4" s="4"/>
      <c r="E4" s="125"/>
      <c r="F4" s="127"/>
      <c r="G4" s="127"/>
      <c r="H4" s="127"/>
      <c r="I4" s="127"/>
      <c r="J4" s="127"/>
      <c r="K4" s="127"/>
      <c r="L4" s="127"/>
      <c r="M4" s="127"/>
      <c r="N4" s="127"/>
      <c r="O4" s="127"/>
      <c r="P4" s="127"/>
      <c r="Q4" s="127"/>
      <c r="R4" s="127"/>
      <c r="S4" s="127"/>
    </row>
    <row r="5" spans="1:21" s="19" customFormat="1" ht="66.75" customHeight="1" x14ac:dyDescent="0.3">
      <c r="A5" s="582" t="s">
        <v>162</v>
      </c>
      <c r="B5" s="582" t="s">
        <v>163</v>
      </c>
      <c r="C5" s="582" t="s">
        <v>22</v>
      </c>
      <c r="D5" s="582" t="s">
        <v>164</v>
      </c>
      <c r="E5" s="582" t="s">
        <v>165</v>
      </c>
      <c r="F5" s="582" t="s">
        <v>166</v>
      </c>
      <c r="G5" s="582" t="s">
        <v>167</v>
      </c>
      <c r="H5" s="582" t="s">
        <v>168</v>
      </c>
      <c r="I5" s="582" t="s">
        <v>169</v>
      </c>
      <c r="J5" s="582" t="s">
        <v>170</v>
      </c>
      <c r="K5" s="582" t="s">
        <v>171</v>
      </c>
      <c r="L5" s="582" t="s">
        <v>172</v>
      </c>
      <c r="M5" s="583" t="s">
        <v>173</v>
      </c>
      <c r="N5" s="128" t="s">
        <v>174</v>
      </c>
      <c r="O5" s="128" t="s">
        <v>175</v>
      </c>
      <c r="P5" s="128" t="s">
        <v>176</v>
      </c>
      <c r="Q5" s="128" t="s">
        <v>177</v>
      </c>
      <c r="R5" s="128" t="s">
        <v>178</v>
      </c>
      <c r="S5" s="582" t="s">
        <v>179</v>
      </c>
      <c r="U5" s="130"/>
    </row>
    <row r="6" spans="1:21" s="19" customFormat="1" ht="15.6" x14ac:dyDescent="0.3">
      <c r="A6" s="582"/>
      <c r="B6" s="582"/>
      <c r="C6" s="582"/>
      <c r="D6" s="582"/>
      <c r="E6" s="582"/>
      <c r="F6" s="582"/>
      <c r="G6" s="582"/>
      <c r="H6" s="582"/>
      <c r="I6" s="582"/>
      <c r="J6" s="582"/>
      <c r="K6" s="582"/>
      <c r="L6" s="582"/>
      <c r="M6" s="583"/>
      <c r="N6" s="131"/>
      <c r="O6" s="132"/>
      <c r="P6" s="132"/>
      <c r="Q6" s="132"/>
      <c r="R6" s="132"/>
      <c r="S6" s="582"/>
      <c r="U6" s="130"/>
    </row>
    <row r="7" spans="1:21" ht="24.75" customHeight="1" x14ac:dyDescent="0.3">
      <c r="A7" s="133">
        <v>333903701</v>
      </c>
      <c r="B7" s="132">
        <v>2</v>
      </c>
      <c r="C7" s="134" t="s">
        <v>180</v>
      </c>
      <c r="D7" s="132">
        <v>200</v>
      </c>
      <c r="E7" s="135">
        <v>2048</v>
      </c>
      <c r="F7" s="136">
        <f>ROUND(((E7/220)*D7),2)</f>
        <v>1861.82</v>
      </c>
      <c r="G7" s="137">
        <v>0</v>
      </c>
      <c r="H7" s="138">
        <v>0</v>
      </c>
      <c r="I7" s="138">
        <v>0</v>
      </c>
      <c r="J7" s="138">
        <v>0</v>
      </c>
      <c r="K7" s="138"/>
      <c r="L7" s="138">
        <v>0</v>
      </c>
      <c r="M7" s="139">
        <f>F7+H7+L7</f>
        <v>1861.82</v>
      </c>
      <c r="N7" s="136">
        <f>Uniformes!H26</f>
        <v>49.96</v>
      </c>
      <c r="O7" s="136"/>
      <c r="P7" s="136"/>
      <c r="Q7" s="136"/>
      <c r="R7" s="136"/>
      <c r="S7" s="140">
        <v>1</v>
      </c>
      <c r="U7" s="130"/>
    </row>
    <row r="8" spans="1:21" s="19" customFormat="1" ht="34.5" customHeight="1" x14ac:dyDescent="0.3">
      <c r="A8" s="584">
        <v>333903702</v>
      </c>
      <c r="B8" s="132">
        <v>1</v>
      </c>
      <c r="C8" s="134" t="s">
        <v>181</v>
      </c>
      <c r="D8" s="132">
        <v>200</v>
      </c>
      <c r="E8" s="135">
        <v>1633.68</v>
      </c>
      <c r="F8" s="136">
        <f>ROUND(((E8/220)*D8),2)</f>
        <v>1485.16</v>
      </c>
      <c r="G8" s="137">
        <v>0</v>
      </c>
      <c r="H8" s="138">
        <v>0</v>
      </c>
      <c r="I8" s="141">
        <v>0.12</v>
      </c>
      <c r="J8" s="142">
        <v>0.25</v>
      </c>
      <c r="K8" s="135">
        <f>F8</f>
        <v>1485.16</v>
      </c>
      <c r="L8" s="143">
        <f>ROUND((K8*I8*J8),2)</f>
        <v>44.55</v>
      </c>
      <c r="M8" s="139">
        <f>F8+H8+L8</f>
        <v>1529.71</v>
      </c>
      <c r="N8" s="136">
        <f>Uniformes!H13+Uniformes!H19</f>
        <v>28.78</v>
      </c>
      <c r="O8" s="136">
        <f>Insumos!K43</f>
        <v>857.54666666666674</v>
      </c>
      <c r="P8" s="136">
        <f>Insumos!K59</f>
        <v>237.12749999999997</v>
      </c>
      <c r="Q8" s="136">
        <f>EPI!F11</f>
        <v>4.9400000000000004</v>
      </c>
      <c r="R8" s="136">
        <f>Equipamentos!$G$15</f>
        <v>7.9700000000000006</v>
      </c>
      <c r="S8" s="140">
        <v>2</v>
      </c>
      <c r="U8" s="130"/>
    </row>
    <row r="9" spans="1:21" s="19" customFormat="1" ht="31.5" customHeight="1" x14ac:dyDescent="0.3">
      <c r="A9" s="584"/>
      <c r="B9" s="132">
        <v>1</v>
      </c>
      <c r="C9" s="134" t="s">
        <v>182</v>
      </c>
      <c r="D9" s="132">
        <v>200</v>
      </c>
      <c r="E9" s="135">
        <v>1633.68</v>
      </c>
      <c r="F9" s="136">
        <f>ROUND(((E9/220)*D9),2)</f>
        <v>1485.16</v>
      </c>
      <c r="G9" s="144">
        <v>0.4</v>
      </c>
      <c r="H9" s="136">
        <f>G9*G26</f>
        <v>648.40000000000009</v>
      </c>
      <c r="I9" s="138">
        <v>0</v>
      </c>
      <c r="J9" s="138">
        <v>0</v>
      </c>
      <c r="K9" s="138"/>
      <c r="L9" s="138">
        <v>0</v>
      </c>
      <c r="M9" s="139">
        <f>F9+H9+L9</f>
        <v>2133.5600000000004</v>
      </c>
      <c r="N9" s="136">
        <f>Uniformes!H13</f>
        <v>26.86</v>
      </c>
      <c r="O9" s="136">
        <f>Insumos!K43</f>
        <v>857.54666666666674</v>
      </c>
      <c r="P9" s="136"/>
      <c r="Q9" s="136">
        <f>EPI!F11</f>
        <v>4.9400000000000004</v>
      </c>
      <c r="R9" s="136">
        <f>Equipamentos!$G$15</f>
        <v>7.9700000000000006</v>
      </c>
      <c r="S9" s="140">
        <v>2</v>
      </c>
      <c r="U9" s="130"/>
    </row>
    <row r="10" spans="1:21" ht="34.5" customHeight="1" x14ac:dyDescent="0.3">
      <c r="A10" s="127" t="s">
        <v>183</v>
      </c>
      <c r="B10" s="5"/>
      <c r="C10" s="5"/>
      <c r="D10" s="127"/>
      <c r="F10" s="127"/>
      <c r="G10" s="127" t="s">
        <v>184</v>
      </c>
      <c r="H10" s="127"/>
      <c r="I10" s="127"/>
      <c r="J10" s="127"/>
      <c r="K10" s="125"/>
      <c r="L10" s="145" t="s">
        <v>185</v>
      </c>
      <c r="M10" s="146">
        <f>SUM(M7:M9)</f>
        <v>5525.09</v>
      </c>
      <c r="N10" s="125"/>
      <c r="O10" s="125"/>
      <c r="P10" s="125"/>
      <c r="Q10" s="125"/>
      <c r="R10" s="125"/>
      <c r="S10" s="125"/>
    </row>
    <row r="11" spans="1:21" ht="24.75" customHeight="1" x14ac:dyDescent="0.3">
      <c r="A11" s="585" t="s">
        <v>186</v>
      </c>
      <c r="B11" s="585"/>
      <c r="C11" s="585"/>
      <c r="D11" s="585"/>
      <c r="E11" s="585"/>
      <c r="F11" s="585"/>
      <c r="G11" s="585"/>
      <c r="N11" s="125"/>
      <c r="O11" s="125"/>
      <c r="P11" s="125"/>
      <c r="Q11" s="125"/>
      <c r="R11" s="125"/>
      <c r="S11" s="125"/>
    </row>
    <row r="12" spans="1:21" ht="24" customHeight="1" x14ac:dyDescent="0.3">
      <c r="A12" s="148">
        <v>1</v>
      </c>
      <c r="B12" s="586" t="s">
        <v>187</v>
      </c>
      <c r="C12" s="586"/>
      <c r="D12" s="586"/>
      <c r="E12" s="587" t="s">
        <v>188</v>
      </c>
      <c r="F12" s="587"/>
      <c r="G12" s="587"/>
      <c r="H12" s="17" t="s">
        <v>189</v>
      </c>
      <c r="N12" s="125"/>
      <c r="O12" s="125"/>
      <c r="P12" s="125"/>
      <c r="Q12" s="125"/>
      <c r="R12" s="125"/>
      <c r="S12" s="71"/>
    </row>
    <row r="13" spans="1:21" ht="24" customHeight="1" x14ac:dyDescent="0.3">
      <c r="A13" s="148">
        <v>2</v>
      </c>
      <c r="B13" s="586" t="s">
        <v>190</v>
      </c>
      <c r="C13" s="586"/>
      <c r="D13" s="586"/>
      <c r="E13" s="587" t="s">
        <v>191</v>
      </c>
      <c r="F13" s="587"/>
      <c r="G13" s="587"/>
      <c r="H13" s="17" t="s">
        <v>192</v>
      </c>
      <c r="N13" s="125"/>
      <c r="O13" s="125"/>
      <c r="P13" s="125"/>
      <c r="Q13" s="125"/>
      <c r="R13" s="125"/>
      <c r="S13" s="71"/>
    </row>
    <row r="14" spans="1:21" ht="24" customHeight="1" x14ac:dyDescent="0.3">
      <c r="A14" s="148">
        <v>3</v>
      </c>
      <c r="B14" s="586" t="s">
        <v>193</v>
      </c>
      <c r="C14" s="586"/>
      <c r="D14" s="586"/>
      <c r="E14" s="587" t="s">
        <v>194</v>
      </c>
      <c r="F14" s="587"/>
      <c r="G14" s="587"/>
      <c r="H14" s="17" t="s">
        <v>195</v>
      </c>
      <c r="N14" s="125"/>
      <c r="O14" s="125"/>
      <c r="P14" s="125"/>
      <c r="Q14" s="125"/>
      <c r="R14" s="125"/>
      <c r="S14" s="71"/>
    </row>
    <row r="15" spans="1:21" ht="24" customHeight="1" x14ac:dyDescent="0.3">
      <c r="A15" s="148">
        <v>4</v>
      </c>
      <c r="B15" s="586" t="s">
        <v>196</v>
      </c>
      <c r="C15" s="586"/>
      <c r="D15" s="586"/>
      <c r="E15" s="587" t="s">
        <v>197</v>
      </c>
      <c r="F15" s="587"/>
      <c r="G15" s="587"/>
      <c r="H15" s="17" t="s">
        <v>198</v>
      </c>
      <c r="N15" s="125"/>
      <c r="O15" s="125"/>
      <c r="P15" s="125"/>
      <c r="Q15" s="125"/>
      <c r="R15" s="125"/>
      <c r="S15" s="71"/>
    </row>
    <row r="16" spans="1:21" ht="24" customHeight="1" x14ac:dyDescent="0.3">
      <c r="A16" s="148">
        <v>5</v>
      </c>
      <c r="B16" s="586" t="s">
        <v>199</v>
      </c>
      <c r="C16" s="586"/>
      <c r="D16" s="586"/>
      <c r="E16" s="587" t="s">
        <v>200</v>
      </c>
      <c r="F16" s="587"/>
      <c r="G16" s="587"/>
      <c r="H16" s="17" t="s">
        <v>201</v>
      </c>
      <c r="N16" s="125"/>
      <c r="O16" s="125"/>
      <c r="P16" s="125"/>
      <c r="Q16" s="125"/>
      <c r="R16" s="125"/>
      <c r="S16" s="71"/>
    </row>
    <row r="17" spans="1:18" s="4" customFormat="1" ht="12.75" customHeight="1" x14ac:dyDescent="0.3">
      <c r="A17" s="149"/>
      <c r="H17" s="17"/>
    </row>
    <row r="18" spans="1:18" s="71" customFormat="1" ht="24.75" customHeight="1" x14ac:dyDescent="0.3">
      <c r="A18" s="585" t="s">
        <v>202</v>
      </c>
      <c r="B18" s="585"/>
      <c r="C18" s="585"/>
      <c r="D18" s="585"/>
      <c r="E18" s="585"/>
      <c r="F18" s="585"/>
      <c r="G18" s="585"/>
      <c r="H18" s="17"/>
      <c r="I18" s="125"/>
      <c r="J18" s="125"/>
      <c r="K18" s="125"/>
      <c r="L18" s="125"/>
      <c r="M18" s="125"/>
      <c r="N18" s="125"/>
      <c r="O18" s="125"/>
      <c r="P18" s="125"/>
      <c r="Q18" s="125"/>
      <c r="R18" s="125"/>
    </row>
    <row r="19" spans="1:18" s="4" customFormat="1" ht="24" customHeight="1" x14ac:dyDescent="0.3">
      <c r="A19" s="148" t="s">
        <v>203</v>
      </c>
      <c r="B19" s="586" t="s">
        <v>204</v>
      </c>
      <c r="C19" s="586"/>
      <c r="D19" s="586"/>
      <c r="E19" s="586"/>
      <c r="F19" s="586"/>
      <c r="G19" s="144">
        <f>Encargos!C57</f>
        <v>0.76400000000000001</v>
      </c>
      <c r="H19" s="17"/>
    </row>
    <row r="20" spans="1:18" s="4" customFormat="1" ht="12.75" customHeight="1" x14ac:dyDescent="0.3">
      <c r="A20" s="149"/>
      <c r="G20" s="5"/>
      <c r="H20" s="17"/>
    </row>
    <row r="21" spans="1:18" s="4" customFormat="1" ht="24.75" customHeight="1" x14ac:dyDescent="0.3">
      <c r="A21" s="103">
        <v>1</v>
      </c>
      <c r="B21" s="586" t="s">
        <v>205</v>
      </c>
      <c r="C21" s="586"/>
      <c r="D21" s="586"/>
      <c r="E21" s="586"/>
      <c r="F21" s="586"/>
      <c r="G21" s="150">
        <f>G22*G23</f>
        <v>0.06</v>
      </c>
      <c r="H21" s="17"/>
    </row>
    <row r="22" spans="1:18" s="4" customFormat="1" ht="24.75" customHeight="1" x14ac:dyDescent="0.3">
      <c r="A22" s="103">
        <v>2</v>
      </c>
      <c r="B22" s="586" t="s">
        <v>206</v>
      </c>
      <c r="C22" s="586"/>
      <c r="D22" s="586"/>
      <c r="E22" s="586"/>
      <c r="F22" s="586"/>
      <c r="G22" s="141">
        <v>0.03</v>
      </c>
      <c r="H22" s="17" t="s">
        <v>207</v>
      </c>
    </row>
    <row r="23" spans="1:18" s="4" customFormat="1" ht="24.75" customHeight="1" x14ac:dyDescent="0.3">
      <c r="A23" s="103">
        <v>3</v>
      </c>
      <c r="B23" s="586" t="s">
        <v>208</v>
      </c>
      <c r="C23" s="586"/>
      <c r="D23" s="586"/>
      <c r="E23" s="586"/>
      <c r="F23" s="586"/>
      <c r="G23" s="151">
        <v>2</v>
      </c>
      <c r="H23" s="17" t="s">
        <v>209</v>
      </c>
    </row>
    <row r="24" spans="1:18" s="4" customFormat="1" ht="12.75" customHeight="1" x14ac:dyDescent="0.3">
      <c r="A24" s="149"/>
      <c r="B24" s="125"/>
      <c r="C24" s="125"/>
      <c r="D24" s="125"/>
      <c r="E24" s="125"/>
      <c r="F24" s="125"/>
      <c r="H24" s="17"/>
    </row>
    <row r="25" spans="1:18" s="4" customFormat="1" ht="24.75" customHeight="1" x14ac:dyDescent="0.3">
      <c r="A25" s="585" t="s">
        <v>210</v>
      </c>
      <c r="B25" s="585"/>
      <c r="C25" s="585"/>
      <c r="D25" s="585"/>
      <c r="E25" s="585"/>
      <c r="F25" s="585"/>
      <c r="G25" s="585"/>
      <c r="H25" s="17"/>
    </row>
    <row r="26" spans="1:18" s="4" customFormat="1" ht="24.75" customHeight="1" x14ac:dyDescent="0.3">
      <c r="A26" s="103">
        <v>1</v>
      </c>
      <c r="B26" s="586" t="s">
        <v>211</v>
      </c>
      <c r="C26" s="586"/>
      <c r="D26" s="586"/>
      <c r="E26" s="586"/>
      <c r="F26" s="586"/>
      <c r="G26" s="135">
        <v>1621</v>
      </c>
      <c r="H26" s="17" t="s">
        <v>212</v>
      </c>
    </row>
    <row r="27" spans="1:18" s="4" customFormat="1" ht="12.75" customHeight="1" x14ac:dyDescent="0.3">
      <c r="A27" s="152"/>
      <c r="B27" s="153"/>
      <c r="C27" s="153"/>
      <c r="D27" s="153"/>
      <c r="E27" s="153"/>
      <c r="F27" s="153"/>
      <c r="G27" s="154"/>
      <c r="H27" s="17"/>
    </row>
    <row r="28" spans="1:18" s="71" customFormat="1" ht="24.75" customHeight="1" x14ac:dyDescent="0.3">
      <c r="A28" s="585" t="s">
        <v>213</v>
      </c>
      <c r="B28" s="585"/>
      <c r="C28" s="585"/>
      <c r="D28" s="585"/>
      <c r="E28" s="585"/>
      <c r="F28" s="585"/>
      <c r="G28" s="585"/>
      <c r="H28" s="17"/>
      <c r="I28" s="4"/>
      <c r="J28" s="4"/>
      <c r="K28" s="125"/>
      <c r="L28" s="125"/>
      <c r="M28" s="125"/>
      <c r="N28" s="125"/>
      <c r="O28" s="125"/>
      <c r="P28" s="125"/>
      <c r="Q28" s="125"/>
      <c r="R28" s="125"/>
    </row>
    <row r="29" spans="1:18" s="4" customFormat="1" ht="26.25" customHeight="1" x14ac:dyDescent="0.3">
      <c r="A29" s="148">
        <v>1</v>
      </c>
      <c r="B29" s="586" t="s">
        <v>214</v>
      </c>
      <c r="C29" s="586"/>
      <c r="D29" s="586"/>
      <c r="E29" s="586"/>
      <c r="F29" s="586"/>
      <c r="G29" s="155">
        <v>5.27</v>
      </c>
      <c r="H29" s="17" t="s">
        <v>215</v>
      </c>
    </row>
    <row r="30" spans="1:18" s="4" customFormat="1" ht="26.25" customHeight="1" x14ac:dyDescent="0.3">
      <c r="A30" s="156">
        <v>2</v>
      </c>
      <c r="B30" s="586" t="s">
        <v>216</v>
      </c>
      <c r="C30" s="586"/>
      <c r="D30" s="586"/>
      <c r="E30" s="586"/>
      <c r="F30" s="586"/>
      <c r="G30" s="151">
        <v>0</v>
      </c>
      <c r="H30" s="17" t="s">
        <v>215</v>
      </c>
    </row>
    <row r="31" spans="1:18" s="4" customFormat="1" ht="26.25" customHeight="1" x14ac:dyDescent="0.3">
      <c r="A31" s="588">
        <v>3</v>
      </c>
      <c r="B31" s="589" t="s">
        <v>217</v>
      </c>
      <c r="C31" s="589"/>
      <c r="D31" s="586" t="s">
        <v>218</v>
      </c>
      <c r="E31" s="586"/>
      <c r="F31" s="586"/>
      <c r="G31" s="151">
        <v>3</v>
      </c>
      <c r="H31" s="17" t="s">
        <v>219</v>
      </c>
      <c r="I31" s="125"/>
      <c r="O31" s="17"/>
    </row>
    <row r="32" spans="1:18" s="4" customFormat="1" ht="26.25" customHeight="1" x14ac:dyDescent="0.3">
      <c r="A32" s="588"/>
      <c r="B32" s="589"/>
      <c r="C32" s="589"/>
      <c r="D32" s="586" t="s">
        <v>220</v>
      </c>
      <c r="E32" s="586"/>
      <c r="F32" s="586"/>
      <c r="G32" s="151">
        <v>2</v>
      </c>
      <c r="H32" s="17" t="s">
        <v>221</v>
      </c>
      <c r="I32" s="125"/>
      <c r="O32" s="17"/>
    </row>
    <row r="33" spans="1:18" s="4" customFormat="1" ht="26.25" customHeight="1" x14ac:dyDescent="0.3">
      <c r="A33" s="588"/>
      <c r="B33" s="589"/>
      <c r="C33" s="589"/>
      <c r="D33" s="586" t="s">
        <v>222</v>
      </c>
      <c r="E33" s="586"/>
      <c r="F33" s="586"/>
      <c r="G33" s="157">
        <v>22</v>
      </c>
      <c r="H33" s="17" t="s">
        <v>223</v>
      </c>
      <c r="I33" s="125"/>
      <c r="O33" s="17"/>
    </row>
    <row r="34" spans="1:18" ht="26.25" customHeight="1" x14ac:dyDescent="0.3">
      <c r="A34" s="588"/>
      <c r="B34" s="589"/>
      <c r="C34" s="589"/>
      <c r="D34" s="590" t="s">
        <v>224</v>
      </c>
      <c r="E34" s="590"/>
      <c r="F34" s="590"/>
      <c r="G34" s="158">
        <v>0.06</v>
      </c>
      <c r="H34" s="17" t="s">
        <v>225</v>
      </c>
      <c r="O34" s="17"/>
    </row>
    <row r="35" spans="1:18" s="4" customFormat="1" ht="26.25" customHeight="1" x14ac:dyDescent="0.3">
      <c r="A35" s="588">
        <v>4</v>
      </c>
      <c r="B35" s="589" t="s">
        <v>226</v>
      </c>
      <c r="C35" s="589"/>
      <c r="D35" s="586" t="s">
        <v>227</v>
      </c>
      <c r="E35" s="586"/>
      <c r="F35" s="586"/>
      <c r="G35" s="151">
        <v>29</v>
      </c>
      <c r="H35" s="17" t="s">
        <v>228</v>
      </c>
      <c r="I35" s="125"/>
    </row>
    <row r="36" spans="1:18" ht="26.25" customHeight="1" x14ac:dyDescent="0.3">
      <c r="A36" s="588"/>
      <c r="B36" s="589"/>
      <c r="C36" s="589"/>
      <c r="D36" s="586" t="s">
        <v>222</v>
      </c>
      <c r="E36" s="586"/>
      <c r="F36" s="586"/>
      <c r="G36" s="157">
        <f>G33</f>
        <v>22</v>
      </c>
      <c r="H36" s="17" t="s">
        <v>223</v>
      </c>
      <c r="I36" s="6"/>
      <c r="J36" s="6"/>
      <c r="K36" s="125"/>
      <c r="O36" s="17"/>
    </row>
    <row r="37" spans="1:18" s="4" customFormat="1" ht="26.25" customHeight="1" x14ac:dyDescent="0.3">
      <c r="A37" s="588"/>
      <c r="B37" s="589"/>
      <c r="C37" s="589"/>
      <c r="D37" s="590" t="s">
        <v>224</v>
      </c>
      <c r="E37" s="590"/>
      <c r="F37" s="590"/>
      <c r="G37" s="141">
        <v>0.2</v>
      </c>
      <c r="H37" s="17" t="s">
        <v>225</v>
      </c>
      <c r="O37" s="17"/>
    </row>
    <row r="38" spans="1:18" s="4" customFormat="1" ht="26.25" customHeight="1" x14ac:dyDescent="0.3">
      <c r="A38" s="148">
        <v>5</v>
      </c>
      <c r="B38" s="591" t="s">
        <v>229</v>
      </c>
      <c r="C38" s="591"/>
      <c r="D38" s="591"/>
      <c r="E38" s="591"/>
      <c r="F38" s="591"/>
      <c r="G38" s="151">
        <v>0</v>
      </c>
      <c r="H38" s="17" t="s">
        <v>230</v>
      </c>
      <c r="O38" s="17"/>
    </row>
    <row r="39" spans="1:18" s="4" customFormat="1" ht="26.25" customHeight="1" x14ac:dyDescent="0.3">
      <c r="A39" s="148">
        <v>6</v>
      </c>
      <c r="B39" s="591" t="s">
        <v>229</v>
      </c>
      <c r="C39" s="591"/>
      <c r="D39" s="591"/>
      <c r="E39" s="591"/>
      <c r="F39" s="591"/>
      <c r="G39" s="151">
        <v>0</v>
      </c>
      <c r="H39" s="17" t="s">
        <v>230</v>
      </c>
    </row>
    <row r="40" spans="1:18" s="4" customFormat="1" ht="12.75" customHeight="1" x14ac:dyDescent="0.3">
      <c r="H40" s="17"/>
    </row>
    <row r="41" spans="1:18" s="71" customFormat="1" ht="24.75" customHeight="1" x14ac:dyDescent="0.3">
      <c r="A41" s="585" t="s">
        <v>231</v>
      </c>
      <c r="B41" s="585"/>
      <c r="C41" s="585"/>
      <c r="D41" s="585"/>
      <c r="E41" s="585"/>
      <c r="F41" s="585"/>
      <c r="G41" s="585"/>
      <c r="H41" s="17"/>
      <c r="I41" s="125"/>
      <c r="J41" s="125"/>
      <c r="K41" s="125"/>
      <c r="L41" s="125"/>
      <c r="M41" s="125"/>
      <c r="N41" s="125"/>
      <c r="O41" s="125"/>
      <c r="P41" s="125"/>
      <c r="Q41" s="125"/>
      <c r="R41" s="125"/>
    </row>
    <row r="42" spans="1:18" s="4" customFormat="1" ht="24.75" customHeight="1" x14ac:dyDescent="0.3">
      <c r="A42" s="148">
        <v>1</v>
      </c>
      <c r="B42" s="586" t="s">
        <v>232</v>
      </c>
      <c r="C42" s="586"/>
      <c r="D42" s="586"/>
      <c r="E42" s="586"/>
      <c r="F42" s="586"/>
      <c r="G42" s="141">
        <v>0.03</v>
      </c>
      <c r="H42" s="17" t="s">
        <v>233</v>
      </c>
    </row>
    <row r="43" spans="1:18" s="4" customFormat="1" ht="24.75" customHeight="1" x14ac:dyDescent="0.3">
      <c r="A43" s="148">
        <v>2</v>
      </c>
      <c r="B43" s="586" t="s">
        <v>234</v>
      </c>
      <c r="C43" s="586"/>
      <c r="D43" s="586"/>
      <c r="E43" s="586"/>
      <c r="F43" s="586"/>
      <c r="G43" s="141">
        <v>6.7900000000000002E-2</v>
      </c>
      <c r="H43" s="17" t="s">
        <v>233</v>
      </c>
    </row>
    <row r="44" spans="1:18" s="4" customFormat="1" ht="12.75" customHeight="1" x14ac:dyDescent="0.3">
      <c r="H44" s="17"/>
    </row>
    <row r="45" spans="1:18" s="71" customFormat="1" ht="24.75" customHeight="1" x14ac:dyDescent="0.3">
      <c r="A45" s="585" t="s">
        <v>235</v>
      </c>
      <c r="B45" s="585"/>
      <c r="C45" s="585"/>
      <c r="D45" s="585"/>
      <c r="E45" s="585"/>
      <c r="F45" s="585"/>
      <c r="G45" s="585"/>
      <c r="H45" s="17"/>
      <c r="I45" s="125"/>
      <c r="J45" s="125"/>
      <c r="K45" s="125"/>
      <c r="L45" s="125"/>
      <c r="M45" s="125"/>
      <c r="N45" s="125"/>
      <c r="O45" s="125"/>
      <c r="P45" s="125"/>
      <c r="Q45" s="125"/>
      <c r="R45" s="125"/>
    </row>
    <row r="46" spans="1:18" s="71" customFormat="1" ht="24.75" customHeight="1" x14ac:dyDescent="0.3">
      <c r="A46" s="583" t="s">
        <v>236</v>
      </c>
      <c r="B46" s="585"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585"/>
      <c r="D46" s="585"/>
      <c r="E46" s="585"/>
      <c r="F46" s="585"/>
      <c r="G46" s="585"/>
      <c r="H46" s="17"/>
      <c r="I46" s="125"/>
      <c r="J46" s="125"/>
      <c r="K46" s="125"/>
      <c r="L46" s="125"/>
      <c r="M46" s="125"/>
      <c r="N46" s="125"/>
      <c r="O46" s="125"/>
      <c r="P46" s="125"/>
      <c r="Q46" s="125"/>
      <c r="R46" s="125"/>
    </row>
    <row r="47" spans="1:18" s="71" customFormat="1" ht="24.75" customHeight="1" x14ac:dyDescent="0.3">
      <c r="A47" s="583"/>
      <c r="B47" s="583"/>
      <c r="C47" s="585"/>
      <c r="D47" s="585"/>
      <c r="E47" s="585"/>
      <c r="F47" s="585"/>
      <c r="G47" s="585"/>
      <c r="H47" s="17"/>
      <c r="I47" s="125"/>
      <c r="J47" s="125"/>
      <c r="K47" s="125"/>
      <c r="L47" s="125"/>
      <c r="M47" s="125"/>
      <c r="N47" s="125"/>
      <c r="O47" s="125"/>
      <c r="P47" s="125"/>
      <c r="Q47" s="125"/>
      <c r="R47" s="125"/>
    </row>
    <row r="48" spans="1:18" s="71" customFormat="1" ht="24.75" customHeight="1" x14ac:dyDescent="0.3">
      <c r="A48" s="583"/>
      <c r="B48" s="583"/>
      <c r="C48" s="585"/>
      <c r="D48" s="585"/>
      <c r="E48" s="585"/>
      <c r="F48" s="585"/>
      <c r="G48" s="585"/>
      <c r="H48" s="17"/>
      <c r="I48" s="125"/>
      <c r="J48" s="125"/>
      <c r="K48" s="125"/>
      <c r="L48" s="125"/>
      <c r="M48" s="125"/>
      <c r="N48" s="125"/>
      <c r="O48" s="125"/>
      <c r="P48" s="125"/>
      <c r="Q48" s="125"/>
      <c r="R48" s="125"/>
    </row>
    <row r="49" spans="1:18" s="4" customFormat="1" ht="24" customHeight="1" x14ac:dyDescent="0.3">
      <c r="A49" s="148">
        <v>1</v>
      </c>
      <c r="B49" s="586" t="s">
        <v>237</v>
      </c>
      <c r="C49" s="586"/>
      <c r="D49" s="586"/>
      <c r="E49" s="586"/>
      <c r="F49" s="587" t="s">
        <v>238</v>
      </c>
      <c r="G49" s="587"/>
      <c r="H49" s="17" t="s">
        <v>239</v>
      </c>
      <c r="R49" s="159"/>
    </row>
    <row r="50" spans="1:18" s="4" customFormat="1" ht="24" customHeight="1" x14ac:dyDescent="0.3">
      <c r="A50" s="148">
        <v>2</v>
      </c>
      <c r="B50" s="586" t="s">
        <v>240</v>
      </c>
      <c r="C50" s="586"/>
      <c r="D50" s="586"/>
      <c r="E50" s="586"/>
      <c r="F50" s="586"/>
      <c r="G50" s="141">
        <v>7.5999999999999998E-2</v>
      </c>
      <c r="H50" s="17" t="s">
        <v>241</v>
      </c>
    </row>
    <row r="51" spans="1:18" s="4" customFormat="1" ht="24" customHeight="1" x14ac:dyDescent="0.3">
      <c r="A51" s="148">
        <v>3</v>
      </c>
      <c r="B51" s="586" t="s">
        <v>242</v>
      </c>
      <c r="C51" s="586"/>
      <c r="D51" s="586"/>
      <c r="E51" s="586"/>
      <c r="F51" s="586"/>
      <c r="G51" s="141">
        <v>1.6500000000000001E-2</v>
      </c>
      <c r="H51" s="17" t="s">
        <v>241</v>
      </c>
    </row>
    <row r="52" spans="1:18" s="4" customFormat="1" ht="24" customHeight="1" x14ac:dyDescent="0.3">
      <c r="A52" s="148">
        <v>4</v>
      </c>
      <c r="B52" s="586" t="s">
        <v>243</v>
      </c>
      <c r="C52" s="586"/>
      <c r="D52" s="586"/>
      <c r="E52" s="586"/>
      <c r="F52" s="586"/>
      <c r="G52" s="141">
        <v>0.03</v>
      </c>
      <c r="H52" s="17" t="s">
        <v>244</v>
      </c>
    </row>
    <row r="53" spans="1:18" s="4" customFormat="1" ht="24" customHeight="1" x14ac:dyDescent="0.3">
      <c r="A53" s="148">
        <v>5</v>
      </c>
      <c r="B53" s="591" t="s">
        <v>229</v>
      </c>
      <c r="C53" s="591"/>
      <c r="D53" s="591"/>
      <c r="E53" s="591"/>
      <c r="F53" s="591"/>
      <c r="G53" s="141">
        <v>0</v>
      </c>
      <c r="H53" s="17" t="s">
        <v>245</v>
      </c>
    </row>
    <row r="54" spans="1:18" s="4" customFormat="1" ht="21.75" customHeight="1" x14ac:dyDescent="0.3">
      <c r="A54" s="148">
        <v>6</v>
      </c>
      <c r="B54" s="586" t="s">
        <v>246</v>
      </c>
      <c r="C54" s="586"/>
      <c r="D54" s="586"/>
      <c r="E54" s="586"/>
      <c r="F54" s="586"/>
      <c r="G54" s="144">
        <f>SUM(G50:G53)</f>
        <v>0.1225</v>
      </c>
      <c r="H54" s="17"/>
    </row>
    <row r="55" spans="1:18" ht="12.75" customHeight="1" x14ac:dyDescent="0.3"/>
    <row r="56" spans="1:18" s="4" customFormat="1" x14ac:dyDescent="0.3"/>
    <row r="58" spans="1:18" ht="66.75" hidden="1" customHeight="1" x14ac:dyDescent="0.3">
      <c r="A58" s="583" t="s">
        <v>247</v>
      </c>
      <c r="B58" s="583"/>
      <c r="C58" s="583"/>
      <c r="D58" s="583"/>
      <c r="E58" s="583"/>
      <c r="F58" s="583"/>
      <c r="G58" s="583"/>
      <c r="H58" s="583"/>
      <c r="I58" s="147" t="s">
        <v>248</v>
      </c>
      <c r="J58" s="129" t="s">
        <v>249</v>
      </c>
      <c r="K58" s="147" t="s">
        <v>250</v>
      </c>
      <c r="L58" s="147" t="s">
        <v>248</v>
      </c>
      <c r="M58" s="147" t="s">
        <v>251</v>
      </c>
      <c r="N58" s="583" t="s">
        <v>252</v>
      </c>
      <c r="O58" s="583"/>
      <c r="P58" s="129" t="s">
        <v>253</v>
      </c>
      <c r="Q58" s="129" t="s">
        <v>253</v>
      </c>
      <c r="R58" s="129" t="s">
        <v>254</v>
      </c>
    </row>
    <row r="59" spans="1:18" ht="15" hidden="1" customHeight="1" x14ac:dyDescent="0.3">
      <c r="A59" s="588" t="s">
        <v>255</v>
      </c>
      <c r="B59" s="588"/>
      <c r="C59" s="148" t="s">
        <v>256</v>
      </c>
      <c r="D59" s="160">
        <f>IPCA!G23</f>
        <v>0</v>
      </c>
      <c r="E59" s="586" t="s">
        <v>257</v>
      </c>
      <c r="F59" s="586"/>
      <c r="G59" s="586"/>
      <c r="H59" s="586"/>
      <c r="I59" s="161" t="s">
        <v>258</v>
      </c>
      <c r="J59" s="161" t="s">
        <v>258</v>
      </c>
      <c r="K59" s="161" t="s">
        <v>258</v>
      </c>
      <c r="L59" s="161" t="s">
        <v>258</v>
      </c>
      <c r="M59" s="161" t="s">
        <v>258</v>
      </c>
      <c r="N59" s="592">
        <f>ROUND((100%+D59),2)</f>
        <v>1</v>
      </c>
      <c r="O59" s="592"/>
      <c r="P59" s="162"/>
      <c r="Q59" s="162"/>
      <c r="R59" s="163"/>
    </row>
    <row r="60" spans="1:18" ht="15" hidden="1" customHeight="1" x14ac:dyDescent="0.3">
      <c r="A60" s="588" t="s">
        <v>259</v>
      </c>
      <c r="B60" s="588"/>
      <c r="C60" s="148" t="s">
        <v>256</v>
      </c>
      <c r="D60" s="160">
        <f>IPCA!N23</f>
        <v>0</v>
      </c>
      <c r="E60" s="586" t="s">
        <v>257</v>
      </c>
      <c r="F60" s="586"/>
      <c r="G60" s="586"/>
      <c r="H60" s="586"/>
      <c r="I60" s="161" t="s">
        <v>258</v>
      </c>
      <c r="J60" s="161" t="s">
        <v>258</v>
      </c>
      <c r="K60" s="161" t="s">
        <v>258</v>
      </c>
      <c r="L60" s="161" t="s">
        <v>258</v>
      </c>
      <c r="M60" s="161" t="s">
        <v>258</v>
      </c>
      <c r="N60" s="592">
        <f>ROUND((100%+D60),2)</f>
        <v>1</v>
      </c>
      <c r="O60" s="592"/>
      <c r="P60" s="162"/>
      <c r="Q60" s="162"/>
      <c r="R60" s="163"/>
    </row>
    <row r="61" spans="1:18" ht="15" hidden="1" customHeight="1" x14ac:dyDescent="0.3">
      <c r="A61" s="588" t="s">
        <v>260</v>
      </c>
      <c r="B61" s="588"/>
      <c r="C61" s="148" t="s">
        <v>256</v>
      </c>
      <c r="D61" s="160">
        <f>IPCA!U23</f>
        <v>0</v>
      </c>
      <c r="E61" s="586" t="s">
        <v>257</v>
      </c>
      <c r="F61" s="586"/>
      <c r="G61" s="586"/>
      <c r="H61" s="586"/>
      <c r="I61" s="161" t="s">
        <v>258</v>
      </c>
      <c r="J61" s="161" t="s">
        <v>258</v>
      </c>
      <c r="K61" s="161" t="s">
        <v>258</v>
      </c>
      <c r="L61" s="161" t="s">
        <v>258</v>
      </c>
      <c r="M61" s="161" t="s">
        <v>258</v>
      </c>
      <c r="N61" s="592">
        <f>ROUND((100%+D61),2)</f>
        <v>1</v>
      </c>
      <c r="O61" s="592"/>
      <c r="P61" s="162"/>
      <c r="Q61" s="162"/>
      <c r="R61" s="163"/>
    </row>
    <row r="62" spans="1:18" ht="15" hidden="1" customHeight="1" x14ac:dyDescent="0.3">
      <c r="A62" s="588" t="s">
        <v>261</v>
      </c>
      <c r="B62" s="588"/>
      <c r="C62" s="148" t="s">
        <v>256</v>
      </c>
      <c r="D62" s="160">
        <f>IPCA!AB23</f>
        <v>0</v>
      </c>
      <c r="E62" s="586" t="s">
        <v>257</v>
      </c>
      <c r="F62" s="586"/>
      <c r="G62" s="586"/>
      <c r="H62" s="586"/>
      <c r="I62" s="161" t="s">
        <v>258</v>
      </c>
      <c r="J62" s="161" t="s">
        <v>258</v>
      </c>
      <c r="K62" s="161" t="s">
        <v>258</v>
      </c>
      <c r="L62" s="161" t="s">
        <v>258</v>
      </c>
      <c r="M62" s="161" t="s">
        <v>258</v>
      </c>
      <c r="N62" s="592">
        <f>ROUND((100%+D62),2)</f>
        <v>1</v>
      </c>
      <c r="O62" s="592"/>
      <c r="P62" s="162"/>
      <c r="Q62" s="162"/>
      <c r="R62" s="163"/>
    </row>
    <row r="63" spans="1:18" ht="15" hidden="1" customHeight="1" x14ac:dyDescent="0.3">
      <c r="A63" s="588" t="s">
        <v>262</v>
      </c>
      <c r="B63" s="588"/>
      <c r="C63" s="148" t="s">
        <v>256</v>
      </c>
      <c r="D63" s="160">
        <f>IPCA!AI23</f>
        <v>0</v>
      </c>
      <c r="E63" s="586" t="s">
        <v>257</v>
      </c>
      <c r="F63" s="586"/>
      <c r="G63" s="586"/>
      <c r="H63" s="586"/>
      <c r="I63" s="161" t="s">
        <v>258</v>
      </c>
      <c r="J63" s="161" t="s">
        <v>258</v>
      </c>
      <c r="K63" s="161" t="s">
        <v>258</v>
      </c>
      <c r="L63" s="161" t="s">
        <v>258</v>
      </c>
      <c r="M63" s="161" t="s">
        <v>258</v>
      </c>
      <c r="N63" s="592">
        <f>ROUND((100%+D63),2)</f>
        <v>1</v>
      </c>
      <c r="O63" s="592"/>
      <c r="P63" s="162"/>
      <c r="Q63" s="162"/>
      <c r="R63" s="163"/>
    </row>
    <row r="64" spans="1:18" hidden="1" x14ac:dyDescent="0.3">
      <c r="B64" s="164"/>
      <c r="C64" s="164"/>
      <c r="D64" s="164"/>
      <c r="E64" s="164"/>
    </row>
    <row r="65" spans="1:11" ht="30" hidden="1" customHeight="1" x14ac:dyDescent="0.3">
      <c r="A65" s="583" t="s">
        <v>263</v>
      </c>
      <c r="B65" s="583"/>
      <c r="C65" s="583"/>
      <c r="D65" s="129" t="s">
        <v>264</v>
      </c>
      <c r="E65" s="164"/>
    </row>
    <row r="66" spans="1:11" ht="15.75" hidden="1" customHeight="1" x14ac:dyDescent="0.3">
      <c r="A66" s="583"/>
      <c r="B66" s="583"/>
      <c r="C66" s="583"/>
      <c r="D66" s="161" t="s">
        <v>265</v>
      </c>
      <c r="E66" s="164"/>
    </row>
    <row r="67" spans="1:11" ht="30" hidden="1" customHeight="1" x14ac:dyDescent="0.3">
      <c r="A67" s="583" t="s">
        <v>266</v>
      </c>
      <c r="B67" s="583"/>
      <c r="C67" s="583"/>
      <c r="D67" s="129" t="s">
        <v>264</v>
      </c>
      <c r="E67" s="164"/>
    </row>
    <row r="68" spans="1:11" ht="15.75" hidden="1" customHeight="1" x14ac:dyDescent="0.3">
      <c r="A68" s="583"/>
      <c r="B68" s="583"/>
      <c r="C68" s="583"/>
      <c r="D68" s="161" t="s">
        <v>265</v>
      </c>
      <c r="E68" s="164"/>
    </row>
    <row r="69" spans="1:11" ht="30" hidden="1" customHeight="1" x14ac:dyDescent="0.3">
      <c r="A69" s="583" t="s">
        <v>267</v>
      </c>
      <c r="B69" s="583"/>
      <c r="C69" s="583"/>
      <c r="D69" s="129" t="s">
        <v>264</v>
      </c>
      <c r="E69" s="164"/>
    </row>
    <row r="70" spans="1:11" ht="15.75" hidden="1" customHeight="1" x14ac:dyDescent="0.3">
      <c r="A70" s="583"/>
      <c r="B70" s="583"/>
      <c r="C70" s="583"/>
      <c r="D70" s="161" t="s">
        <v>265</v>
      </c>
      <c r="E70" s="164"/>
    </row>
    <row r="71" spans="1:11" ht="42.75" hidden="1" customHeight="1" x14ac:dyDescent="0.3">
      <c r="A71" s="583" t="s">
        <v>268</v>
      </c>
      <c r="B71" s="583"/>
      <c r="C71" s="583"/>
      <c r="D71" s="129" t="s">
        <v>264</v>
      </c>
      <c r="E71" s="165" t="s">
        <v>269</v>
      </c>
      <c r="F71" s="129" t="s">
        <v>270</v>
      </c>
      <c r="G71" s="129" t="s">
        <v>271</v>
      </c>
      <c r="H71" s="129" t="s">
        <v>272</v>
      </c>
      <c r="I71" s="129" t="s">
        <v>273</v>
      </c>
      <c r="J71" s="129" t="s">
        <v>274</v>
      </c>
      <c r="K71" s="164"/>
    </row>
    <row r="72" spans="1:11" ht="15.75" hidden="1" customHeight="1" x14ac:dyDescent="0.3">
      <c r="A72" s="583"/>
      <c r="B72" s="583"/>
      <c r="C72" s="583"/>
      <c r="D72" s="161" t="s">
        <v>265</v>
      </c>
      <c r="E72" s="161">
        <v>1.55</v>
      </c>
      <c r="F72" s="148">
        <f>ROUND(IF(Dados!$M$59="SIM",E72*Dados!$N$59,E72),2)</f>
        <v>1.55</v>
      </c>
      <c r="G72" s="148">
        <f>ROUND(IF(Dados!$M$60="SIM",F72*Dados!$N$60,F72),2)</f>
        <v>1.55</v>
      </c>
      <c r="H72" s="148">
        <f>ROUND(IF(Dados!$M$61="SIM",G72*Dados!$N$61,G72),2)</f>
        <v>1.55</v>
      </c>
      <c r="I72" s="148">
        <f>ROUND(IF(Dados!$M$62="SIM",H72*Dados!$N$62,H72),2)</f>
        <v>1.55</v>
      </c>
      <c r="J72" s="148">
        <f>ROUND(IF(Dados!$M$63="SIM",I72*Dados!$N$63,I72),2)</f>
        <v>1.55</v>
      </c>
    </row>
    <row r="73" spans="1:11" hidden="1" x14ac:dyDescent="0.3">
      <c r="E73" s="164"/>
    </row>
    <row r="74" spans="1:11" ht="15.75" hidden="1" customHeight="1" x14ac:dyDescent="0.3">
      <c r="A74" s="593" t="s">
        <v>275</v>
      </c>
      <c r="B74" s="593"/>
      <c r="C74" s="593"/>
      <c r="D74" s="593"/>
      <c r="E74" s="593"/>
      <c r="F74" s="593"/>
      <c r="G74" s="593"/>
      <c r="H74" s="593"/>
    </row>
    <row r="75" spans="1:11" hidden="1" x14ac:dyDescent="0.3">
      <c r="A75" s="594" t="s">
        <v>276</v>
      </c>
      <c r="B75" s="594"/>
      <c r="C75" s="594"/>
      <c r="D75" s="594"/>
      <c r="E75" s="594"/>
      <c r="F75" s="595" t="s">
        <v>277</v>
      </c>
      <c r="G75" s="595"/>
      <c r="H75" s="166"/>
    </row>
    <row r="76" spans="1:11" ht="43.5" hidden="1" customHeight="1" x14ac:dyDescent="0.3">
      <c r="A76" s="596" t="s">
        <v>278</v>
      </c>
      <c r="B76" s="596"/>
      <c r="C76" s="596"/>
      <c r="D76" s="596"/>
      <c r="E76" s="596"/>
      <c r="F76" s="596"/>
      <c r="G76" s="596"/>
      <c r="H76" s="596"/>
    </row>
    <row r="77" spans="1:11" hidden="1" x14ac:dyDescent="0.3">
      <c r="A77" s="594" t="s">
        <v>279</v>
      </c>
      <c r="B77" s="594"/>
      <c r="C77" s="594"/>
      <c r="D77" s="594"/>
      <c r="E77" s="594"/>
      <c r="F77" s="595" t="s">
        <v>277</v>
      </c>
      <c r="G77" s="595"/>
      <c r="H77" s="166"/>
    </row>
    <row r="78" spans="1:11" ht="43.5" hidden="1" customHeight="1" x14ac:dyDescent="0.3">
      <c r="A78" s="597" t="s">
        <v>280</v>
      </c>
      <c r="B78" s="597"/>
      <c r="C78" s="597"/>
      <c r="D78" s="597"/>
      <c r="E78" s="597"/>
      <c r="F78" s="597"/>
      <c r="G78" s="597"/>
      <c r="H78" s="597"/>
    </row>
    <row r="79" spans="1:11" hidden="1" x14ac:dyDescent="0.3">
      <c r="A79" s="594" t="s">
        <v>281</v>
      </c>
      <c r="B79" s="594"/>
      <c r="C79" s="594"/>
      <c r="D79" s="594"/>
      <c r="E79" s="594"/>
      <c r="F79" s="595" t="s">
        <v>277</v>
      </c>
      <c r="G79" s="595"/>
      <c r="H79" s="166"/>
    </row>
    <row r="80" spans="1:11" ht="43.5" hidden="1" customHeight="1" x14ac:dyDescent="0.3">
      <c r="A80" s="596" t="s">
        <v>282</v>
      </c>
      <c r="B80" s="596"/>
      <c r="C80" s="596"/>
      <c r="D80" s="596"/>
      <c r="E80" s="596"/>
      <c r="F80" s="596"/>
      <c r="G80" s="596"/>
      <c r="H80" s="596"/>
    </row>
    <row r="81" spans="1:8" hidden="1" x14ac:dyDescent="0.3">
      <c r="A81" s="598" t="s">
        <v>283</v>
      </c>
      <c r="B81" s="598"/>
      <c r="C81" s="598"/>
      <c r="D81" s="598"/>
      <c r="E81" s="598"/>
      <c r="F81" s="595" t="s">
        <v>277</v>
      </c>
      <c r="G81" s="595"/>
      <c r="H81" s="167"/>
    </row>
    <row r="82" spans="1:8" ht="43.5" hidden="1" customHeight="1" x14ac:dyDescent="0.3">
      <c r="A82" s="596" t="s">
        <v>284</v>
      </c>
      <c r="B82" s="596"/>
      <c r="C82" s="596"/>
      <c r="D82" s="596"/>
      <c r="E82" s="596"/>
      <c r="F82" s="596"/>
      <c r="G82" s="596"/>
      <c r="H82" s="596"/>
    </row>
    <row r="83" spans="1:8" hidden="1" x14ac:dyDescent="0.3"/>
    <row r="84" spans="1:8" hidden="1" x14ac:dyDescent="0.3"/>
    <row r="85" spans="1:8" hidden="1" x14ac:dyDescent="0.3"/>
    <row r="86" spans="1:8" hidden="1" x14ac:dyDescent="0.3"/>
    <row r="87" spans="1:8" hidden="1" x14ac:dyDescent="0.3"/>
    <row r="88" spans="1:8" hidden="1" x14ac:dyDescent="0.3"/>
    <row r="89" spans="1:8" hidden="1" x14ac:dyDescent="0.3"/>
    <row r="90" spans="1:8" hidden="1" x14ac:dyDescent="0.3"/>
    <row r="91" spans="1:8" hidden="1" x14ac:dyDescent="0.3"/>
    <row r="92" spans="1:8" hidden="1" x14ac:dyDescent="0.3"/>
    <row r="93" spans="1:8" hidden="1" x14ac:dyDescent="0.3"/>
    <row r="94" spans="1:8" hidden="1" x14ac:dyDescent="0.3"/>
    <row r="95" spans="1:8" hidden="1" x14ac:dyDescent="0.3"/>
    <row r="96" spans="1:8"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sheetData>
  <sheetProtection algorithmName="SHA-512" hashValue="y3FJqrCZ47B6qyK0qwQrmCeHnHkYaR6/lH61Ee4F1XkFU7C2UJaWYTrhqeV+jj7HqcR+230w0bBr9HJXMT7Ygg==" saltValue="sa2BlznWEWnGe+uBARqZHg==" spinCount="100000" sheet="1" objects="1" scenarios="1"/>
  <mergeCells count="96">
    <mergeCell ref="A82:H82"/>
    <mergeCell ref="A78:H78"/>
    <mergeCell ref="A79:E79"/>
    <mergeCell ref="F79:G79"/>
    <mergeCell ref="A80:H80"/>
    <mergeCell ref="A81:E81"/>
    <mergeCell ref="F81:G81"/>
    <mergeCell ref="A75:E75"/>
    <mergeCell ref="F75:G75"/>
    <mergeCell ref="A76:H76"/>
    <mergeCell ref="A77:E77"/>
    <mergeCell ref="F77:G77"/>
    <mergeCell ref="A65:C66"/>
    <mergeCell ref="A67:C68"/>
    <mergeCell ref="A69:C70"/>
    <mergeCell ref="A71:C72"/>
    <mergeCell ref="A74:H74"/>
    <mergeCell ref="A62:B62"/>
    <mergeCell ref="E62:H62"/>
    <mergeCell ref="N62:O62"/>
    <mergeCell ref="A63:B63"/>
    <mergeCell ref="E63:H63"/>
    <mergeCell ref="N63:O63"/>
    <mergeCell ref="A60:B60"/>
    <mergeCell ref="E60:H60"/>
    <mergeCell ref="N60:O60"/>
    <mergeCell ref="A61:B61"/>
    <mergeCell ref="E61:H61"/>
    <mergeCell ref="N61:O61"/>
    <mergeCell ref="A58:H58"/>
    <mergeCell ref="N58:O58"/>
    <mergeCell ref="A59:B59"/>
    <mergeCell ref="E59:H59"/>
    <mergeCell ref="N59:O59"/>
    <mergeCell ref="B50:F50"/>
    <mergeCell ref="B51:F51"/>
    <mergeCell ref="B52:F52"/>
    <mergeCell ref="B53:F53"/>
    <mergeCell ref="B54:F54"/>
    <mergeCell ref="A45:G45"/>
    <mergeCell ref="A46:A48"/>
    <mergeCell ref="B46:G48"/>
    <mergeCell ref="B49:E49"/>
    <mergeCell ref="F49:G49"/>
    <mergeCell ref="B38:F38"/>
    <mergeCell ref="B39:F39"/>
    <mergeCell ref="A41:G41"/>
    <mergeCell ref="B42:F42"/>
    <mergeCell ref="B43:F43"/>
    <mergeCell ref="A35:A37"/>
    <mergeCell ref="B35:C37"/>
    <mergeCell ref="D35:F35"/>
    <mergeCell ref="D36:F36"/>
    <mergeCell ref="D37:F37"/>
    <mergeCell ref="A31:A34"/>
    <mergeCell ref="B31:C34"/>
    <mergeCell ref="D31:F31"/>
    <mergeCell ref="D32:F32"/>
    <mergeCell ref="D33:F33"/>
    <mergeCell ref="D34:F34"/>
    <mergeCell ref="A25:G25"/>
    <mergeCell ref="B26:F26"/>
    <mergeCell ref="A28:G28"/>
    <mergeCell ref="B29:F29"/>
    <mergeCell ref="B30:F30"/>
    <mergeCell ref="A18:G18"/>
    <mergeCell ref="B19:F19"/>
    <mergeCell ref="B21:F21"/>
    <mergeCell ref="B22:F22"/>
    <mergeCell ref="B23:F23"/>
    <mergeCell ref="B14:D14"/>
    <mergeCell ref="E14:G14"/>
    <mergeCell ref="B15:D15"/>
    <mergeCell ref="E15:G15"/>
    <mergeCell ref="B16:D16"/>
    <mergeCell ref="E16:G16"/>
    <mergeCell ref="A11:G11"/>
    <mergeCell ref="B12:D12"/>
    <mergeCell ref="E12:G12"/>
    <mergeCell ref="B13:D13"/>
    <mergeCell ref="E13:G13"/>
    <mergeCell ref="K5:K6"/>
    <mergeCell ref="L5:L6"/>
    <mergeCell ref="M5:M6"/>
    <mergeCell ref="S5:S6"/>
    <mergeCell ref="A8:A9"/>
    <mergeCell ref="F5:F6"/>
    <mergeCell ref="G5:G6"/>
    <mergeCell ref="H5:H6"/>
    <mergeCell ref="I5:I6"/>
    <mergeCell ref="J5:J6"/>
    <mergeCell ref="A5:A6"/>
    <mergeCell ref="B5:B6"/>
    <mergeCell ref="C5:C6"/>
    <mergeCell ref="D5:D6"/>
    <mergeCell ref="E5:E6"/>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M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2" fitToHeight="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showGridLines="0" view="pageBreakPreview" topLeftCell="A21" zoomScale="60" zoomScaleNormal="100" workbookViewId="0">
      <selection activeCell="A31" sqref="A31"/>
    </sheetView>
  </sheetViews>
  <sheetFormatPr defaultColWidth="8.6640625" defaultRowHeight="14.4" x14ac:dyDescent="0.3"/>
  <cols>
    <col min="1" max="1" width="9" customWidth="1"/>
    <col min="2" max="2" width="55.5546875" customWidth="1"/>
    <col min="3" max="3" width="13.109375" customWidth="1"/>
    <col min="4" max="4" width="4.88671875" customWidth="1"/>
    <col min="5" max="5" width="41.6640625" customWidth="1"/>
    <col min="6" max="8" width="11" customWidth="1"/>
    <col min="9" max="257" width="9" customWidth="1"/>
    <col min="258" max="258" width="55.5546875" customWidth="1"/>
    <col min="259" max="259" width="13.109375" customWidth="1"/>
    <col min="260" max="260" width="9" customWidth="1"/>
    <col min="261" max="261" width="35.109375" customWidth="1"/>
    <col min="262" max="264" width="11" customWidth="1"/>
    <col min="265" max="513" width="9" customWidth="1"/>
    <col min="514" max="514" width="55.5546875" customWidth="1"/>
    <col min="515" max="515" width="13.109375" customWidth="1"/>
    <col min="516" max="516" width="9" customWidth="1"/>
    <col min="517" max="517" width="35.109375" customWidth="1"/>
    <col min="518" max="520" width="11" customWidth="1"/>
    <col min="521" max="769" width="9" customWidth="1"/>
    <col min="770" max="770" width="55.5546875" customWidth="1"/>
    <col min="771" max="771" width="13.109375" customWidth="1"/>
    <col min="772" max="772" width="9" customWidth="1"/>
    <col min="773" max="773" width="35.109375" customWidth="1"/>
    <col min="774" max="776" width="11" customWidth="1"/>
    <col min="777" max="1025" width="9" customWidth="1"/>
  </cols>
  <sheetData>
    <row r="1" spans="1:4" x14ac:dyDescent="0.3">
      <c r="A1" s="168"/>
      <c r="B1" s="107" t="str">
        <f>INSTRUÇÕES!B1</f>
        <v>Tribunal Regional Federal da 6ª Região</v>
      </c>
      <c r="C1" s="169"/>
    </row>
    <row r="2" spans="1:4" x14ac:dyDescent="0.3">
      <c r="A2" s="170"/>
      <c r="B2" s="109" t="str">
        <f>INSTRUÇÕES!B2</f>
        <v>Seção Judiciária de Minas Gerais</v>
      </c>
      <c r="C2" s="171"/>
    </row>
    <row r="3" spans="1:4" x14ac:dyDescent="0.3">
      <c r="A3" s="172"/>
      <c r="B3" s="109" t="str">
        <f>INSTRUÇÕES!B3</f>
        <v>Subseção Judiciária de Viçosa</v>
      </c>
      <c r="C3" s="171"/>
    </row>
    <row r="4" spans="1:4" ht="21.75" customHeight="1" x14ac:dyDescent="0.3">
      <c r="A4" s="599" t="s">
        <v>285</v>
      </c>
      <c r="B4" s="599"/>
      <c r="C4" s="599"/>
    </row>
    <row r="5" spans="1:4" ht="21.75" customHeight="1" x14ac:dyDescent="0.3">
      <c r="A5" s="599" t="s">
        <v>286</v>
      </c>
      <c r="B5" s="599"/>
      <c r="C5" s="599"/>
    </row>
    <row r="6" spans="1:4" ht="26.25" customHeight="1" x14ac:dyDescent="0.3">
      <c r="A6" s="600" t="s">
        <v>287</v>
      </c>
      <c r="B6" s="600"/>
      <c r="C6" s="600"/>
    </row>
    <row r="7" spans="1:4" x14ac:dyDescent="0.3">
      <c r="A7" s="601" t="s">
        <v>288</v>
      </c>
      <c r="B7" s="601"/>
      <c r="C7" s="601"/>
    </row>
    <row r="8" spans="1:4" ht="15.75" customHeight="1" x14ac:dyDescent="0.3">
      <c r="A8" s="173" t="s">
        <v>54</v>
      </c>
      <c r="B8" s="174" t="s">
        <v>289</v>
      </c>
      <c r="C8" s="175" t="s">
        <v>290</v>
      </c>
    </row>
    <row r="9" spans="1:4" ht="15.75" customHeight="1" x14ac:dyDescent="0.3">
      <c r="A9" s="176" t="s">
        <v>291</v>
      </c>
      <c r="B9" s="602" t="s">
        <v>292</v>
      </c>
      <c r="C9" s="602"/>
    </row>
    <row r="10" spans="1:4" ht="15.75" customHeight="1" x14ac:dyDescent="0.3">
      <c r="A10" s="177">
        <v>1</v>
      </c>
      <c r="B10" s="178" t="s">
        <v>293</v>
      </c>
      <c r="C10" s="179">
        <v>0.2</v>
      </c>
    </row>
    <row r="11" spans="1:4" ht="15.75" customHeight="1" x14ac:dyDescent="0.3">
      <c r="A11" s="177">
        <v>2</v>
      </c>
      <c r="B11" s="178" t="s">
        <v>294</v>
      </c>
      <c r="C11" s="179">
        <v>1.4999999999999999E-2</v>
      </c>
    </row>
    <row r="12" spans="1:4" ht="15.75" customHeight="1" x14ac:dyDescent="0.3">
      <c r="A12" s="177">
        <v>3</v>
      </c>
      <c r="B12" s="178" t="s">
        <v>295</v>
      </c>
      <c r="C12" s="179">
        <v>0.01</v>
      </c>
    </row>
    <row r="13" spans="1:4" ht="15.75" customHeight="1" x14ac:dyDescent="0.3">
      <c r="A13" s="177">
        <v>4</v>
      </c>
      <c r="B13" s="178" t="s">
        <v>296</v>
      </c>
      <c r="C13" s="179">
        <v>2E-3</v>
      </c>
    </row>
    <row r="14" spans="1:4" ht="15.75" customHeight="1" x14ac:dyDescent="0.3">
      <c r="A14" s="177">
        <v>5</v>
      </c>
      <c r="B14" s="178" t="s">
        <v>297</v>
      </c>
      <c r="C14" s="179">
        <v>2.5000000000000001E-2</v>
      </c>
    </row>
    <row r="15" spans="1:4" ht="15.75" customHeight="1" x14ac:dyDescent="0.3">
      <c r="A15" s="177">
        <v>6</v>
      </c>
      <c r="B15" s="178" t="s">
        <v>298</v>
      </c>
      <c r="C15" s="179">
        <v>0.08</v>
      </c>
    </row>
    <row r="16" spans="1:4" ht="15.75" customHeight="1" x14ac:dyDescent="0.3">
      <c r="A16" s="177">
        <v>7</v>
      </c>
      <c r="B16" s="178" t="s">
        <v>299</v>
      </c>
      <c r="C16" s="180">
        <f>Dados!G21</f>
        <v>0.06</v>
      </c>
      <c r="D16" s="181" t="s">
        <v>300</v>
      </c>
    </row>
    <row r="17" spans="1:3" ht="15.75" customHeight="1" x14ac:dyDescent="0.3">
      <c r="A17" s="177">
        <v>8</v>
      </c>
      <c r="B17" s="178" t="s">
        <v>301</v>
      </c>
      <c r="C17" s="179">
        <v>6.0000000000000001E-3</v>
      </c>
    </row>
    <row r="18" spans="1:3" ht="15.75" customHeight="1" x14ac:dyDescent="0.3">
      <c r="A18" s="603" t="s">
        <v>302</v>
      </c>
      <c r="B18" s="603"/>
      <c r="C18" s="182">
        <f>SUM(C10:C17)</f>
        <v>0.39800000000000008</v>
      </c>
    </row>
    <row r="19" spans="1:3" ht="15.75" customHeight="1" x14ac:dyDescent="0.3">
      <c r="A19" s="604" t="s">
        <v>303</v>
      </c>
      <c r="B19" s="604"/>
      <c r="C19" s="604"/>
    </row>
    <row r="20" spans="1:3" ht="15.75" customHeight="1" x14ac:dyDescent="0.3">
      <c r="A20" s="604" t="s">
        <v>304</v>
      </c>
      <c r="B20" s="604"/>
      <c r="C20" s="604"/>
    </row>
    <row r="21" spans="1:3" ht="15.75" customHeight="1" x14ac:dyDescent="0.3">
      <c r="A21" s="177">
        <v>9</v>
      </c>
      <c r="B21" s="183" t="s">
        <v>305</v>
      </c>
      <c r="C21" s="184">
        <f>ROUND((100%/11),4)</f>
        <v>9.0899999999999995E-2</v>
      </c>
    </row>
    <row r="22" spans="1:3" ht="15.75" customHeight="1" x14ac:dyDescent="0.3">
      <c r="A22" s="177">
        <v>10</v>
      </c>
      <c r="B22" s="183" t="s">
        <v>306</v>
      </c>
      <c r="C22" s="184">
        <f>ROUND((C21/3),4)</f>
        <v>3.0300000000000001E-2</v>
      </c>
    </row>
    <row r="23" spans="1:3" ht="15.75" customHeight="1" x14ac:dyDescent="0.3">
      <c r="A23" s="605" t="s">
        <v>307</v>
      </c>
      <c r="B23" s="605"/>
      <c r="C23" s="185">
        <f>SUM(C21:C22)</f>
        <v>0.1212</v>
      </c>
    </row>
    <row r="24" spans="1:3" ht="15.75" customHeight="1" x14ac:dyDescent="0.3">
      <c r="A24" s="606" t="s">
        <v>308</v>
      </c>
      <c r="B24" s="606"/>
      <c r="C24" s="180">
        <f>(C18*C23)</f>
        <v>4.8237600000000012E-2</v>
      </c>
    </row>
    <row r="25" spans="1:3" ht="15.75" customHeight="1" x14ac:dyDescent="0.3">
      <c r="A25" s="605" t="s">
        <v>309</v>
      </c>
      <c r="B25" s="605"/>
      <c r="C25" s="185">
        <f>SUM(C23:C24)</f>
        <v>0.16943760000000002</v>
      </c>
    </row>
    <row r="26" spans="1:3" ht="15.75" customHeight="1" x14ac:dyDescent="0.3">
      <c r="A26" s="176" t="s">
        <v>310</v>
      </c>
      <c r="B26" s="602" t="s">
        <v>311</v>
      </c>
      <c r="C26" s="602"/>
    </row>
    <row r="27" spans="1:3" ht="15.75" customHeight="1" x14ac:dyDescent="0.3">
      <c r="A27" s="177">
        <v>11</v>
      </c>
      <c r="B27" s="178" t="s">
        <v>312</v>
      </c>
      <c r="C27" s="179">
        <f>ROUND((0.0144*0.1*0.4509*6/12),4)</f>
        <v>2.9999999999999997E-4</v>
      </c>
    </row>
    <row r="28" spans="1:3" ht="15.75" customHeight="1" x14ac:dyDescent="0.3">
      <c r="A28" s="606" t="s">
        <v>313</v>
      </c>
      <c r="B28" s="606"/>
      <c r="C28" s="186">
        <f>C18*C27</f>
        <v>1.1940000000000002E-4</v>
      </c>
    </row>
    <row r="29" spans="1:3" ht="15.75" customHeight="1" x14ac:dyDescent="0.3">
      <c r="A29" s="605" t="s">
        <v>314</v>
      </c>
      <c r="B29" s="605"/>
      <c r="C29" s="187">
        <f>SUM(C27:C28)</f>
        <v>4.194E-4</v>
      </c>
    </row>
    <row r="30" spans="1:3" ht="15.75" customHeight="1" x14ac:dyDescent="0.3">
      <c r="A30" s="176" t="s">
        <v>315</v>
      </c>
      <c r="B30" s="602" t="s">
        <v>316</v>
      </c>
      <c r="C30" s="602"/>
    </row>
    <row r="31" spans="1:3" ht="15.75" customHeight="1" x14ac:dyDescent="0.3">
      <c r="A31" s="177">
        <v>12</v>
      </c>
      <c r="B31" s="178" t="s">
        <v>317</v>
      </c>
      <c r="C31" s="179">
        <f>ROUND((100%/12)*5%,4)</f>
        <v>4.1999999999999997E-3</v>
      </c>
    </row>
    <row r="32" spans="1:3" ht="15.75" customHeight="1" x14ac:dyDescent="0.3">
      <c r="A32" s="607" t="s">
        <v>318</v>
      </c>
      <c r="B32" s="607"/>
      <c r="C32" s="180">
        <f>C15*C31</f>
        <v>3.3599999999999998E-4</v>
      </c>
    </row>
    <row r="33" spans="1:8" ht="15.75" customHeight="1" x14ac:dyDescent="0.3">
      <c r="A33" s="177">
        <v>13</v>
      </c>
      <c r="B33" s="178" t="s">
        <v>319</v>
      </c>
      <c r="C33" s="184">
        <f>ROUND((C15*0.4*0.9*(1+1/11+1/11+(1/3*1/11))),5)</f>
        <v>3.4909999999999997E-2</v>
      </c>
    </row>
    <row r="34" spans="1:8" ht="15.75" customHeight="1" x14ac:dyDescent="0.3">
      <c r="A34" s="177">
        <v>14</v>
      </c>
      <c r="B34" s="178" t="s">
        <v>320</v>
      </c>
      <c r="C34" s="179">
        <v>4.0000000000000002E-4</v>
      </c>
    </row>
    <row r="35" spans="1:8" ht="15.75" customHeight="1" x14ac:dyDescent="0.3">
      <c r="A35" s="607" t="s">
        <v>321</v>
      </c>
      <c r="B35" s="607"/>
      <c r="C35" s="180">
        <f>ROUND((C34*C18),4)</f>
        <v>2.0000000000000001E-4</v>
      </c>
    </row>
    <row r="36" spans="1:8" ht="15.75" customHeight="1" x14ac:dyDescent="0.3">
      <c r="A36" s="177">
        <v>15</v>
      </c>
      <c r="B36" s="178" t="s">
        <v>322</v>
      </c>
      <c r="C36" s="180">
        <f>(0.4*C15/100)</f>
        <v>3.2000000000000003E-4</v>
      </c>
    </row>
    <row r="37" spans="1:8" ht="15.75" customHeight="1" x14ac:dyDescent="0.3">
      <c r="A37" s="608" t="s">
        <v>323</v>
      </c>
      <c r="B37" s="608"/>
      <c r="C37" s="185">
        <f>SUM(C31:C36)</f>
        <v>4.0365999999999992E-2</v>
      </c>
    </row>
    <row r="38" spans="1:8" ht="15.75" customHeight="1" x14ac:dyDescent="0.3">
      <c r="A38" s="176" t="s">
        <v>324</v>
      </c>
      <c r="B38" s="602" t="s">
        <v>325</v>
      </c>
      <c r="C38" s="602"/>
    </row>
    <row r="39" spans="1:8" ht="15.75" customHeight="1" x14ac:dyDescent="0.3">
      <c r="A39" s="177">
        <v>16</v>
      </c>
      <c r="B39" s="178" t="s">
        <v>326</v>
      </c>
      <c r="C39" s="184">
        <f>ROUND((100%/11),4)</f>
        <v>9.0899999999999995E-2</v>
      </c>
    </row>
    <row r="40" spans="1:8" ht="15.75" customHeight="1" x14ac:dyDescent="0.3">
      <c r="A40" s="177">
        <v>17</v>
      </c>
      <c r="B40" s="178" t="s">
        <v>327</v>
      </c>
      <c r="C40" s="179">
        <v>1.66E-2</v>
      </c>
    </row>
    <row r="41" spans="1:8" ht="15.75" customHeight="1" x14ac:dyDescent="0.3">
      <c r="A41" s="177">
        <v>18</v>
      </c>
      <c r="B41" s="178" t="s">
        <v>328</v>
      </c>
      <c r="C41" s="179">
        <v>2.9999999999999997E-4</v>
      </c>
    </row>
    <row r="42" spans="1:8" ht="15.75" customHeight="1" x14ac:dyDescent="0.3">
      <c r="A42" s="177">
        <v>19</v>
      </c>
      <c r="B42" s="178" t="s">
        <v>329</v>
      </c>
      <c r="C42" s="179">
        <v>2.8E-3</v>
      </c>
    </row>
    <row r="43" spans="1:8" ht="15.75" customHeight="1" x14ac:dyDescent="0.3">
      <c r="A43" s="177">
        <v>20</v>
      </c>
      <c r="B43" s="178" t="s">
        <v>330</v>
      </c>
      <c r="C43" s="179">
        <f>ROUND((15/30/12*0.0078),4)</f>
        <v>2.9999999999999997E-4</v>
      </c>
    </row>
    <row r="44" spans="1:8" ht="15.75" customHeight="1" x14ac:dyDescent="0.3">
      <c r="A44" s="608" t="s">
        <v>307</v>
      </c>
      <c r="B44" s="608"/>
      <c r="C44" s="185">
        <f>SUM(C39:C43)</f>
        <v>0.11089999999999998</v>
      </c>
      <c r="E44" s="609" t="s">
        <v>331</v>
      </c>
      <c r="F44" s="609"/>
      <c r="G44" s="609"/>
      <c r="H44" s="609"/>
    </row>
    <row r="45" spans="1:8" ht="15.75" customHeight="1" x14ac:dyDescent="0.3">
      <c r="A45" s="607" t="s">
        <v>332</v>
      </c>
      <c r="B45" s="607"/>
      <c r="C45" s="180">
        <f>C18*C44</f>
        <v>4.4138200000000002E-2</v>
      </c>
      <c r="E45" s="609"/>
      <c r="F45" s="609"/>
      <c r="G45" s="609"/>
      <c r="H45" s="609"/>
    </row>
    <row r="46" spans="1:8" ht="15" customHeight="1" x14ac:dyDescent="0.3">
      <c r="A46" s="608" t="s">
        <v>333</v>
      </c>
      <c r="B46" s="608"/>
      <c r="C46" s="185">
        <f>SUM(C44:C45)</f>
        <v>0.15503819999999999</v>
      </c>
      <c r="E46" s="610" t="s">
        <v>334</v>
      </c>
      <c r="F46" s="611" t="s">
        <v>335</v>
      </c>
      <c r="G46" s="611"/>
      <c r="H46" s="611"/>
    </row>
    <row r="47" spans="1:8" ht="15.75" customHeight="1" x14ac:dyDescent="0.3">
      <c r="A47" s="188" t="s">
        <v>336</v>
      </c>
      <c r="B47" s="189" t="s">
        <v>337</v>
      </c>
      <c r="C47" s="185" t="s">
        <v>203</v>
      </c>
      <c r="E47" s="610"/>
      <c r="F47" s="611" t="s">
        <v>338</v>
      </c>
      <c r="G47" s="611"/>
      <c r="H47" s="611"/>
    </row>
    <row r="48" spans="1:8" ht="15.75" customHeight="1" x14ac:dyDescent="0.3">
      <c r="A48" s="177">
        <v>21</v>
      </c>
      <c r="B48" s="178" t="s">
        <v>339</v>
      </c>
      <c r="C48" s="179">
        <f>1*1%/12</f>
        <v>8.3333333333333339E-4</v>
      </c>
      <c r="E48" s="190" t="s">
        <v>340</v>
      </c>
      <c r="F48" s="191" t="s">
        <v>341</v>
      </c>
      <c r="G48" s="191" t="s">
        <v>342</v>
      </c>
      <c r="H48" s="192" t="s">
        <v>343</v>
      </c>
    </row>
    <row r="49" spans="1:8" ht="15.75" customHeight="1" x14ac:dyDescent="0.3">
      <c r="A49" s="608" t="s">
        <v>344</v>
      </c>
      <c r="B49" s="608"/>
      <c r="C49" s="185">
        <f>SUM(C47:C48)</f>
        <v>8.3333333333333339E-4</v>
      </c>
      <c r="E49" s="190" t="s">
        <v>345</v>
      </c>
      <c r="F49" s="193">
        <v>0.34300000000000003</v>
      </c>
      <c r="G49" s="193">
        <v>0.39800000000000002</v>
      </c>
      <c r="H49" s="194">
        <f>$C$18</f>
        <v>0.39800000000000008</v>
      </c>
    </row>
    <row r="50" spans="1:8" ht="15.75" customHeight="1" x14ac:dyDescent="0.3">
      <c r="A50" s="612" t="s">
        <v>346</v>
      </c>
      <c r="B50" s="612"/>
      <c r="C50" s="612"/>
      <c r="E50" s="190" t="s">
        <v>347</v>
      </c>
      <c r="F50" s="193">
        <v>5.0000000000000001E-3</v>
      </c>
      <c r="G50" s="193">
        <v>0.06</v>
      </c>
      <c r="H50" s="194">
        <f>$C$16</f>
        <v>0.06</v>
      </c>
    </row>
    <row r="51" spans="1:8" ht="15.75" customHeight="1" x14ac:dyDescent="0.3">
      <c r="A51" s="607" t="s">
        <v>292</v>
      </c>
      <c r="B51" s="607"/>
      <c r="C51" s="180">
        <f>ROUND(C18,4)</f>
        <v>0.39800000000000002</v>
      </c>
      <c r="E51" s="195" t="s">
        <v>348</v>
      </c>
      <c r="F51" s="196">
        <f>$C$21</f>
        <v>9.0899999999999995E-2</v>
      </c>
      <c r="G51" s="196">
        <f>$F$51</f>
        <v>9.0899999999999995E-2</v>
      </c>
      <c r="H51" s="180">
        <f>$F$51</f>
        <v>9.0899999999999995E-2</v>
      </c>
    </row>
    <row r="52" spans="1:8" ht="15.75" customHeight="1" x14ac:dyDescent="0.3">
      <c r="A52" s="607" t="s">
        <v>349</v>
      </c>
      <c r="B52" s="607"/>
      <c r="C52" s="180">
        <f>ROUND(C25,4)</f>
        <v>0.1694</v>
      </c>
      <c r="E52" s="195" t="s">
        <v>350</v>
      </c>
      <c r="F52" s="196">
        <f>$C$39</f>
        <v>9.0899999999999995E-2</v>
      </c>
      <c r="G52" s="196">
        <f>$F$52</f>
        <v>9.0899999999999995E-2</v>
      </c>
      <c r="H52" s="180">
        <f>$F$52</f>
        <v>9.0899999999999995E-2</v>
      </c>
    </row>
    <row r="53" spans="1:8" ht="15.75" customHeight="1" x14ac:dyDescent="0.3">
      <c r="A53" s="607" t="s">
        <v>311</v>
      </c>
      <c r="B53" s="607"/>
      <c r="C53" s="180">
        <f>ROUND(C29,4)</f>
        <v>4.0000000000000002E-4</v>
      </c>
      <c r="E53" s="195" t="s">
        <v>351</v>
      </c>
      <c r="F53" s="196">
        <f>$C$22</f>
        <v>3.0300000000000001E-2</v>
      </c>
      <c r="G53" s="196">
        <f>$F$53</f>
        <v>3.0300000000000001E-2</v>
      </c>
      <c r="H53" s="180">
        <f>$F$53</f>
        <v>3.0300000000000001E-2</v>
      </c>
    </row>
    <row r="54" spans="1:8" ht="15.75" customHeight="1" x14ac:dyDescent="0.3">
      <c r="A54" s="607" t="s">
        <v>352</v>
      </c>
      <c r="B54" s="607"/>
      <c r="C54" s="180">
        <f>ROUND(C37,4)</f>
        <v>4.0399999999999998E-2</v>
      </c>
      <c r="E54" s="197" t="s">
        <v>307</v>
      </c>
      <c r="F54" s="198">
        <f>SUM(F51:F53)</f>
        <v>0.21209999999999998</v>
      </c>
      <c r="G54" s="198">
        <f>SUM(G51:G53)</f>
        <v>0.21209999999999998</v>
      </c>
      <c r="H54" s="199">
        <f>ROUND((SUM(H51:H53)),4)</f>
        <v>0.21210000000000001</v>
      </c>
    </row>
    <row r="55" spans="1:8" ht="15.75" customHeight="1" x14ac:dyDescent="0.3">
      <c r="A55" s="607" t="s">
        <v>353</v>
      </c>
      <c r="B55" s="607"/>
      <c r="C55" s="180">
        <f>ROUND(C46,4)</f>
        <v>0.155</v>
      </c>
      <c r="E55" s="195" t="s">
        <v>354</v>
      </c>
      <c r="F55" s="196">
        <f>F54*F49</f>
        <v>7.2750300000000004E-2</v>
      </c>
      <c r="G55" s="196">
        <f>G54*G49</f>
        <v>8.4415799999999999E-2</v>
      </c>
      <c r="H55" s="180">
        <f>ROUND((H54*H49),4)</f>
        <v>8.4400000000000003E-2</v>
      </c>
    </row>
    <row r="56" spans="1:8" ht="15.75" customHeight="1" x14ac:dyDescent="0.3">
      <c r="A56" s="607" t="s">
        <v>339</v>
      </c>
      <c r="B56" s="607"/>
      <c r="C56" s="180">
        <f>ROUND(C49,4)</f>
        <v>8.0000000000000004E-4</v>
      </c>
      <c r="E56" s="195" t="s">
        <v>355</v>
      </c>
      <c r="F56" s="196">
        <v>3.4909999999999997E-2</v>
      </c>
      <c r="G56" s="196">
        <v>3.4909999999999997E-2</v>
      </c>
      <c r="H56" s="200">
        <f>C33</f>
        <v>3.4909999999999997E-2</v>
      </c>
    </row>
    <row r="57" spans="1:8" ht="15.75" customHeight="1" x14ac:dyDescent="0.3">
      <c r="A57" s="613" t="s">
        <v>356</v>
      </c>
      <c r="B57" s="613"/>
      <c r="C57" s="182">
        <f>SUM(C51:C56)</f>
        <v>0.76400000000000001</v>
      </c>
      <c r="E57" s="201" t="s">
        <v>357</v>
      </c>
      <c r="F57" s="202">
        <f>SUM(F54:F56)</f>
        <v>0.3197603</v>
      </c>
      <c r="G57" s="202">
        <f>SUM(G54:G56)</f>
        <v>0.33142579999999999</v>
      </c>
      <c r="H57" s="203">
        <f>ROUND((SUM(H54:H56)),4)</f>
        <v>0.33139999999999997</v>
      </c>
    </row>
    <row r="58" spans="1:8" ht="24" x14ac:dyDescent="0.3">
      <c r="A58" s="204" t="s">
        <v>45</v>
      </c>
      <c r="B58" s="205"/>
      <c r="C58" s="206"/>
      <c r="E58" s="195" t="s">
        <v>358</v>
      </c>
      <c r="F58" s="207" t="s">
        <v>203</v>
      </c>
      <c r="G58" s="207" t="s">
        <v>203</v>
      </c>
      <c r="H58" s="208" t="s">
        <v>203</v>
      </c>
    </row>
    <row r="59" spans="1:8" ht="54.75" customHeight="1" x14ac:dyDescent="0.3">
      <c r="A59" s="614" t="s">
        <v>359</v>
      </c>
      <c r="B59" s="614"/>
      <c r="C59" s="614"/>
      <c r="E59" s="209" t="s">
        <v>360</v>
      </c>
      <c r="F59" s="210">
        <f>F57</f>
        <v>0.3197603</v>
      </c>
      <c r="G59" s="210">
        <f>G57</f>
        <v>0.33142579999999999</v>
      </c>
      <c r="H59" s="211">
        <f>ROUND((H57),4)</f>
        <v>0.33139999999999997</v>
      </c>
    </row>
    <row r="61" spans="1:8" ht="12.75" customHeight="1" x14ac:dyDescent="0.3"/>
  </sheetData>
  <sheetProtection algorithmName="SHA-512" hashValue="xsKswc9sAmQMRvD5ZNxGYEeQexumfeLby27CPKj3MegxbMGcoEDGz/kZJhBH/jRfuZNn9JnsO0yWcgz7yQaPzQ==" saltValue="3UW/J0S3R7m3c9UKpvk6lw=="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9"/>
  <sheetViews>
    <sheetView showGridLines="0" view="pageBreakPreview" topLeftCell="A50" zoomScale="60" zoomScaleNormal="85" workbookViewId="0">
      <selection activeCell="B17" sqref="B17"/>
    </sheetView>
  </sheetViews>
  <sheetFormatPr defaultColWidth="8.6640625" defaultRowHeight="14.4" x14ac:dyDescent="0.3"/>
  <cols>
    <col min="1" max="1" width="5" style="75" customWidth="1"/>
    <col min="2" max="2" width="59.109375" style="80" customWidth="1"/>
    <col min="3" max="3" width="10.44140625" style="80" customWidth="1"/>
    <col min="4" max="7" width="18.44140625" style="80" customWidth="1"/>
    <col min="8" max="8" width="23.6640625" customWidth="1"/>
    <col min="9" max="9" width="4.33203125" customWidth="1"/>
    <col min="10" max="10" width="16.109375" customWidth="1"/>
    <col min="11" max="11" width="12.44140625" style="80" customWidth="1"/>
    <col min="12" max="12" width="8.5546875" hidden="1" customWidth="1"/>
    <col min="13" max="13" width="9" customWidth="1"/>
    <col min="14" max="14" width="26.109375" hidden="1" customWidth="1"/>
    <col min="15" max="19" width="11.5546875" hidden="1" customWidth="1"/>
    <col min="20" max="256" width="9" customWidth="1"/>
    <col min="257" max="257" width="8.33203125" customWidth="1"/>
    <col min="258" max="258" width="44.5546875" customWidth="1"/>
    <col min="259" max="259" width="7.44140625" customWidth="1"/>
    <col min="260" max="260" width="13" customWidth="1"/>
    <col min="261" max="261" width="11.6640625" customWidth="1"/>
    <col min="262" max="262" width="10.5546875" customWidth="1"/>
    <col min="263" max="263" width="14.44140625" customWidth="1"/>
    <col min="264" max="264" width="35.44140625" customWidth="1"/>
    <col min="265" max="265" width="14" customWidth="1"/>
    <col min="266" max="266" width="11.6640625" customWidth="1"/>
    <col min="267" max="267" width="13.5546875" customWidth="1"/>
    <col min="268" max="512" width="9" customWidth="1"/>
    <col min="513" max="513" width="8.33203125" customWidth="1"/>
    <col min="514" max="514" width="44.5546875" customWidth="1"/>
    <col min="515" max="515" width="7.44140625" customWidth="1"/>
    <col min="516" max="516" width="13" customWidth="1"/>
    <col min="517" max="517" width="11.6640625" customWidth="1"/>
    <col min="518" max="518" width="10.5546875" customWidth="1"/>
    <col min="519" max="519" width="14.44140625" customWidth="1"/>
    <col min="520" max="520" width="35.44140625" customWidth="1"/>
    <col min="521" max="521" width="14" customWidth="1"/>
    <col min="522" max="522" width="11.6640625" customWidth="1"/>
    <col min="523" max="523" width="13.5546875" customWidth="1"/>
    <col min="524" max="768" width="9" customWidth="1"/>
    <col min="769" max="769" width="8.33203125" customWidth="1"/>
    <col min="770" max="770" width="44.5546875" customWidth="1"/>
    <col min="771" max="771" width="7.44140625" customWidth="1"/>
    <col min="772" max="772" width="13" customWidth="1"/>
    <col min="773" max="773" width="11.6640625" customWidth="1"/>
    <col min="774" max="774" width="10.5546875" customWidth="1"/>
    <col min="775" max="775" width="14.44140625" customWidth="1"/>
    <col min="776" max="776" width="35.44140625" customWidth="1"/>
    <col min="777" max="777" width="14" customWidth="1"/>
    <col min="778" max="778" width="11.6640625" customWidth="1"/>
    <col min="779" max="779" width="13.5546875" customWidth="1"/>
    <col min="780" max="1025" width="9" customWidth="1"/>
  </cols>
  <sheetData>
    <row r="1" spans="1:22" s="80" customFormat="1" ht="13.8" x14ac:dyDescent="0.3">
      <c r="A1" s="212"/>
      <c r="B1" s="107" t="str">
        <f>INSTRUÇÕES!B1</f>
        <v>Tribunal Regional Federal da 6ª Região</v>
      </c>
      <c r="C1" s="213"/>
      <c r="D1" s="213"/>
      <c r="E1" s="213"/>
      <c r="F1" s="213"/>
      <c r="G1" s="213"/>
      <c r="H1" s="214"/>
    </row>
    <row r="2" spans="1:22" s="80" customFormat="1" ht="13.8" x14ac:dyDescent="0.3">
      <c r="A2" s="215"/>
      <c r="B2" s="109" t="str">
        <f>INSTRUÇÕES!B2</f>
        <v>Seção Judiciária de Minas Gerais</v>
      </c>
      <c r="H2" s="216"/>
    </row>
    <row r="3" spans="1:22" s="80" customFormat="1" x14ac:dyDescent="0.3">
      <c r="A3" s="215"/>
      <c r="B3" s="109" t="str">
        <f>INSTRUÇÕES!B3</f>
        <v>Subseção Judiciária de Viçosa</v>
      </c>
      <c r="H3" s="216"/>
      <c r="N3" s="4"/>
      <c r="O3" s="4"/>
      <c r="P3" s="4"/>
      <c r="Q3" s="4"/>
      <c r="R3" s="4"/>
      <c r="S3" s="4"/>
      <c r="T3" s="4"/>
    </row>
    <row r="4" spans="1:22" s="80" customFormat="1" ht="18" x14ac:dyDescent="0.3">
      <c r="A4" s="615" t="s">
        <v>361</v>
      </c>
      <c r="B4" s="615"/>
      <c r="C4" s="615"/>
      <c r="D4" s="615"/>
      <c r="E4" s="615"/>
      <c r="F4" s="615"/>
      <c r="G4" s="615"/>
      <c r="H4" s="615"/>
      <c r="I4" s="217"/>
      <c r="J4" s="217"/>
      <c r="U4" s="4"/>
      <c r="V4" s="4"/>
    </row>
    <row r="5" spans="1:22" s="4" customFormat="1" ht="14.25" customHeight="1" x14ac:dyDescent="0.3">
      <c r="A5" s="616" t="s">
        <v>362</v>
      </c>
      <c r="B5" s="616"/>
      <c r="C5" s="616"/>
      <c r="D5" s="616"/>
      <c r="E5" s="616"/>
      <c r="F5" s="616"/>
      <c r="G5" s="616"/>
      <c r="H5" s="616"/>
      <c r="K5" s="218"/>
      <c r="N5" s="564" t="s">
        <v>363</v>
      </c>
      <c r="O5" s="564"/>
      <c r="P5" s="564"/>
      <c r="Q5" s="564"/>
      <c r="R5" s="564"/>
      <c r="S5" s="564"/>
      <c r="T5" s="80"/>
      <c r="U5" s="80"/>
      <c r="V5" s="80"/>
    </row>
    <row r="6" spans="1:22" s="80" customFormat="1" ht="14.25" customHeight="1" x14ac:dyDescent="0.3">
      <c r="A6" s="617"/>
      <c r="B6" s="618" t="s">
        <v>364</v>
      </c>
      <c r="C6" s="618"/>
      <c r="D6" s="618"/>
      <c r="E6" s="618"/>
      <c r="F6" s="618"/>
      <c r="G6" s="618"/>
      <c r="H6" s="619"/>
      <c r="I6" s="79"/>
      <c r="J6" s="620" t="s">
        <v>365</v>
      </c>
      <c r="K6" s="620"/>
      <c r="L6" s="620"/>
      <c r="N6" s="564"/>
      <c r="O6" s="564"/>
      <c r="P6" s="564"/>
      <c r="Q6" s="564"/>
      <c r="R6" s="564"/>
      <c r="S6" s="564"/>
    </row>
    <row r="7" spans="1:22" s="80" customFormat="1" ht="41.4" x14ac:dyDescent="0.3">
      <c r="A7" s="617"/>
      <c r="B7" s="221" t="s">
        <v>59</v>
      </c>
      <c r="C7" s="222" t="s">
        <v>60</v>
      </c>
      <c r="D7" s="222" t="s">
        <v>61</v>
      </c>
      <c r="E7" s="223" t="s">
        <v>366</v>
      </c>
      <c r="F7" s="224" t="s">
        <v>66</v>
      </c>
      <c r="G7" s="222" t="s">
        <v>367</v>
      </c>
      <c r="H7" s="619"/>
      <c r="I7" s="79"/>
      <c r="J7" s="223" t="s">
        <v>64</v>
      </c>
      <c r="K7" s="224" t="s">
        <v>63</v>
      </c>
      <c r="L7" s="223" t="s">
        <v>368</v>
      </c>
      <c r="N7" s="225" t="s">
        <v>369</v>
      </c>
      <c r="O7" s="226" t="s">
        <v>270</v>
      </c>
      <c r="P7" s="226" t="s">
        <v>271</v>
      </c>
      <c r="Q7" s="226" t="s">
        <v>272</v>
      </c>
      <c r="R7" s="226" t="s">
        <v>273</v>
      </c>
      <c r="S7" s="227" t="s">
        <v>274</v>
      </c>
    </row>
    <row r="8" spans="1:22" s="80" customFormat="1" ht="42" customHeight="1" x14ac:dyDescent="0.3">
      <c r="A8" s="228">
        <v>1</v>
      </c>
      <c r="B8" s="229" t="s">
        <v>370</v>
      </c>
      <c r="C8" s="230" t="s">
        <v>371</v>
      </c>
      <c r="D8" s="230" t="s">
        <v>372</v>
      </c>
      <c r="E8" s="230">
        <v>2</v>
      </c>
      <c r="F8" s="231" t="s">
        <v>373</v>
      </c>
      <c r="G8" s="232">
        <v>15.23</v>
      </c>
      <c r="H8" s="233"/>
      <c r="I8" s="79"/>
      <c r="J8" s="230">
        <f>'Ocorrências Mensais - FAT'!G25</f>
        <v>2</v>
      </c>
      <c r="K8" s="234">
        <f t="shared" ref="K8:K40" si="0">G8*J8</f>
        <v>30.46</v>
      </c>
      <c r="L8" s="15">
        <f t="shared" ref="L8:L40" si="1">IF(F8="MENSAL",1,IF(F8="BIMESTRAL",2,IF(F8="TRIMESTRAL",3,IF(F8="QUADRIMESTRAL",4,IF(F8="SEMESTRAL",6,IF(F8="ANUAL",12,IF(F8="BIENAL",24,"")))))))</f>
        <v>1</v>
      </c>
      <c r="N8" s="235">
        <v>6</v>
      </c>
      <c r="O8" s="15">
        <f>ROUND(IF(Dados!$J$55="SIM",N8*Dados!$N$55,N8),2)</f>
        <v>6</v>
      </c>
      <c r="P8" s="15">
        <f>ROUND(IF(Dados!$J$56="SIM",O8*Dados!$N$56,O8),2)</f>
        <v>6</v>
      </c>
      <c r="Q8" s="15">
        <f>ROUND(IF(Dados!$J$57="SIM",P8*Dados!$N$57,P8),2)</f>
        <v>6</v>
      </c>
      <c r="R8" s="15">
        <f>ROUND(IF(Dados!$J$58="SIM",Q8*Dados!$N$58,Q8),2)</f>
        <v>6</v>
      </c>
      <c r="S8" s="93">
        <f>ROUND(IF(Dados!$J$59="SIM",R8*Dados!$N$59,R8),2)</f>
        <v>6</v>
      </c>
    </row>
    <row r="9" spans="1:22" s="80" customFormat="1" ht="41.4" x14ac:dyDescent="0.3">
      <c r="A9" s="228">
        <v>2</v>
      </c>
      <c r="B9" s="229" t="s">
        <v>374</v>
      </c>
      <c r="C9" s="230" t="s">
        <v>60</v>
      </c>
      <c r="D9" s="230" t="s">
        <v>375</v>
      </c>
      <c r="E9" s="230">
        <v>4</v>
      </c>
      <c r="F9" s="231" t="s">
        <v>373</v>
      </c>
      <c r="G9" s="232">
        <v>7.38</v>
      </c>
      <c r="H9" s="233"/>
      <c r="I9" s="79"/>
      <c r="J9" s="230">
        <f>'Ocorrências Mensais - FAT'!G26</f>
        <v>4</v>
      </c>
      <c r="K9" s="234">
        <f t="shared" si="0"/>
        <v>29.52</v>
      </c>
      <c r="L9" s="15">
        <f t="shared" si="1"/>
        <v>1</v>
      </c>
      <c r="N9" s="235">
        <v>3.8</v>
      </c>
      <c r="O9" s="15">
        <f>ROUND(IF(Dados!$J$55="SIM",N9*Dados!$N$55,N9),2)</f>
        <v>3.8</v>
      </c>
      <c r="P9" s="15">
        <f>ROUND(IF(Dados!$J$56="SIM",O9*Dados!$N$56,O9),2)</f>
        <v>3.8</v>
      </c>
      <c r="Q9" s="15">
        <f>ROUND(IF(Dados!$J$57="SIM",P9*Dados!$N$57,P9),2)</f>
        <v>3.8</v>
      </c>
      <c r="R9" s="15">
        <f>ROUND(IF(Dados!$J$58="SIM",Q9*Dados!$N$58,Q9),2)</f>
        <v>3.8</v>
      </c>
      <c r="S9" s="93">
        <f>ROUND(IF(Dados!$J$59="SIM",R9*Dados!$N$59,R9),2)</f>
        <v>3.8</v>
      </c>
    </row>
    <row r="10" spans="1:22" s="80" customFormat="1" ht="82.8" x14ac:dyDescent="0.3">
      <c r="A10" s="228">
        <v>3</v>
      </c>
      <c r="B10" s="229" t="s">
        <v>376</v>
      </c>
      <c r="C10" s="230" t="s">
        <v>371</v>
      </c>
      <c r="D10" s="230" t="s">
        <v>377</v>
      </c>
      <c r="E10" s="230">
        <v>1</v>
      </c>
      <c r="F10" s="231" t="s">
        <v>373</v>
      </c>
      <c r="G10" s="232">
        <v>57.39</v>
      </c>
      <c r="H10" s="233"/>
      <c r="I10" s="79"/>
      <c r="J10" s="230">
        <f>'Ocorrências Mensais - FAT'!G27</f>
        <v>1</v>
      </c>
      <c r="K10" s="234">
        <f t="shared" si="0"/>
        <v>57.39</v>
      </c>
      <c r="L10" s="15">
        <f t="shared" si="1"/>
        <v>1</v>
      </c>
      <c r="N10" s="235">
        <v>4.1399999999999997</v>
      </c>
      <c r="O10" s="15">
        <f>ROUND(IF(Dados!$J$55="SIM",N10*Dados!$N$55,N10),2)</f>
        <v>4.1399999999999997</v>
      </c>
      <c r="P10" s="15">
        <f>ROUND(IF(Dados!$J$56="SIM",O10*Dados!$N$56,O10),2)</f>
        <v>4.1399999999999997</v>
      </c>
      <c r="Q10" s="15">
        <f>ROUND(IF(Dados!$J$57="SIM",P10*Dados!$N$57,P10),2)</f>
        <v>4.1399999999999997</v>
      </c>
      <c r="R10" s="15">
        <f>ROUND(IF(Dados!$J$58="SIM",Q10*Dados!$N$58,Q10),2)</f>
        <v>4.1399999999999997</v>
      </c>
      <c r="S10" s="93">
        <f>ROUND(IF(Dados!$J$59="SIM",R10*Dados!$N$59,R10),2)</f>
        <v>4.1399999999999997</v>
      </c>
    </row>
    <row r="11" spans="1:22" s="80" customFormat="1" ht="55.2" x14ac:dyDescent="0.3">
      <c r="A11" s="228">
        <v>4</v>
      </c>
      <c r="B11" s="229" t="s">
        <v>378</v>
      </c>
      <c r="C11" s="230" t="s">
        <v>60</v>
      </c>
      <c r="D11" s="230"/>
      <c r="E11" s="230">
        <v>4</v>
      </c>
      <c r="F11" s="231" t="s">
        <v>379</v>
      </c>
      <c r="G11" s="232">
        <v>26.38</v>
      </c>
      <c r="H11" s="233"/>
      <c r="I11" s="79"/>
      <c r="J11" s="230">
        <f>'Ocorrências Mensais - FAT'!G28</f>
        <v>0.33333333333333331</v>
      </c>
      <c r="K11" s="234">
        <f t="shared" si="0"/>
        <v>8.793333333333333</v>
      </c>
      <c r="L11" s="15">
        <f t="shared" si="1"/>
        <v>12</v>
      </c>
      <c r="N11" s="235"/>
      <c r="O11" s="15"/>
      <c r="P11" s="15"/>
      <c r="Q11" s="15"/>
      <c r="R11" s="15"/>
      <c r="S11" s="93"/>
    </row>
    <row r="12" spans="1:22" s="80" customFormat="1" ht="41.4" x14ac:dyDescent="0.3">
      <c r="A12" s="228">
        <v>5</v>
      </c>
      <c r="B12" s="229" t="s">
        <v>380</v>
      </c>
      <c r="C12" s="230" t="s">
        <v>60</v>
      </c>
      <c r="D12" s="230" t="s">
        <v>381</v>
      </c>
      <c r="E12" s="230">
        <v>1</v>
      </c>
      <c r="F12" s="231" t="s">
        <v>379</v>
      </c>
      <c r="G12" s="232">
        <v>10.41</v>
      </c>
      <c r="H12" s="233"/>
      <c r="I12" s="79"/>
      <c r="J12" s="230">
        <f>'Ocorrências Mensais - FAT'!G29</f>
        <v>8.3333333333333329E-2</v>
      </c>
      <c r="K12" s="234">
        <f t="shared" si="0"/>
        <v>0.86749999999999994</v>
      </c>
      <c r="L12" s="15">
        <f t="shared" si="1"/>
        <v>12</v>
      </c>
      <c r="N12" s="235">
        <v>1.4</v>
      </c>
      <c r="O12" s="15">
        <f>ROUND(IF(Dados!$J$55="SIM",N12*Dados!$N$55,N12),2)</f>
        <v>1.4</v>
      </c>
      <c r="P12" s="15">
        <f>ROUND(IF(Dados!$J$56="SIM",O12*Dados!$N$56,O12),2)</f>
        <v>1.4</v>
      </c>
      <c r="Q12" s="15">
        <f>ROUND(IF(Dados!$J$57="SIM",P12*Dados!$N$57,P12),2)</f>
        <v>1.4</v>
      </c>
      <c r="R12" s="15">
        <f>ROUND(IF(Dados!$J$58="SIM",Q12*Dados!$N$58,Q12),2)</f>
        <v>1.4</v>
      </c>
      <c r="S12" s="93">
        <f>ROUND(IF(Dados!$J$59="SIM",R12*Dados!$N$59,R12),2)</f>
        <v>1.4</v>
      </c>
    </row>
    <row r="13" spans="1:22" s="80" customFormat="1" ht="41.4" x14ac:dyDescent="0.3">
      <c r="A13" s="228">
        <v>6</v>
      </c>
      <c r="B13" s="229" t="s">
        <v>382</v>
      </c>
      <c r="C13" s="230" t="s">
        <v>60</v>
      </c>
      <c r="D13" s="230" t="s">
        <v>383</v>
      </c>
      <c r="E13" s="230">
        <v>1</v>
      </c>
      <c r="F13" s="231" t="s">
        <v>379</v>
      </c>
      <c r="G13" s="232">
        <v>11.08</v>
      </c>
      <c r="H13" s="233"/>
      <c r="I13" s="79"/>
      <c r="J13" s="230">
        <f>'Ocorrências Mensais - FAT'!G30</f>
        <v>8.3333333333333329E-2</v>
      </c>
      <c r="K13" s="234">
        <f t="shared" si="0"/>
        <v>0.92333333333333334</v>
      </c>
      <c r="L13" s="15">
        <f t="shared" si="1"/>
        <v>12</v>
      </c>
      <c r="N13" s="235">
        <v>3.2</v>
      </c>
      <c r="O13" s="15">
        <f>ROUND(IF(Dados!$J$55="SIM",N13*Dados!$N$55,N13),2)</f>
        <v>3.2</v>
      </c>
      <c r="P13" s="15">
        <f>ROUND(IF(Dados!$J$56="SIM",O13*Dados!$N$56,O13),2)</f>
        <v>3.2</v>
      </c>
      <c r="Q13" s="15">
        <f>ROUND(IF(Dados!$J$57="SIM",P13*Dados!$N$57,P13),2)</f>
        <v>3.2</v>
      </c>
      <c r="R13" s="15">
        <f>ROUND(IF(Dados!$J$58="SIM",Q13*Dados!$N$58,Q13),2)</f>
        <v>3.2</v>
      </c>
      <c r="S13" s="93">
        <f>ROUND(IF(Dados!$J$59="SIM",R13*Dados!$N$59,R13),2)</f>
        <v>3.2</v>
      </c>
    </row>
    <row r="14" spans="1:22" s="80" customFormat="1" ht="13.8" x14ac:dyDescent="0.3">
      <c r="A14" s="228">
        <v>7</v>
      </c>
      <c r="B14" s="229" t="s">
        <v>384</v>
      </c>
      <c r="C14" s="230" t="s">
        <v>371</v>
      </c>
      <c r="D14" s="230" t="s">
        <v>385</v>
      </c>
      <c r="E14" s="230">
        <v>3</v>
      </c>
      <c r="F14" s="231" t="s">
        <v>373</v>
      </c>
      <c r="G14" s="232">
        <v>44.79</v>
      </c>
      <c r="H14" s="233"/>
      <c r="I14" s="79"/>
      <c r="J14" s="230">
        <f>'Ocorrências Mensais - FAT'!G31</f>
        <v>3</v>
      </c>
      <c r="K14" s="234">
        <f t="shared" si="0"/>
        <v>134.37</v>
      </c>
      <c r="L14" s="15">
        <f t="shared" si="1"/>
        <v>1</v>
      </c>
      <c r="N14" s="235">
        <v>4</v>
      </c>
      <c r="O14" s="15">
        <f>ROUND(IF(Dados!$J$55="SIM",N14*Dados!$N$55,N14),2)</f>
        <v>4</v>
      </c>
      <c r="P14" s="15">
        <f>ROUND(IF(Dados!$J$56="SIM",O14*Dados!$N$56,O14),2)</f>
        <v>4</v>
      </c>
      <c r="Q14" s="15">
        <f>ROUND(IF(Dados!$J$57="SIM",P14*Dados!$N$57,P14),2)</f>
        <v>4</v>
      </c>
      <c r="R14" s="15">
        <f>ROUND(IF(Dados!$J$58="SIM",Q14*Dados!$N$58,Q14),2)</f>
        <v>4</v>
      </c>
      <c r="S14" s="93">
        <f>ROUND(IF(Dados!$J$59="SIM",R14*Dados!$N$59,R14),2)</f>
        <v>4</v>
      </c>
    </row>
    <row r="15" spans="1:22" s="80" customFormat="1" ht="41.4" x14ac:dyDescent="0.3">
      <c r="A15" s="228">
        <v>8</v>
      </c>
      <c r="B15" s="229" t="s">
        <v>386</v>
      </c>
      <c r="C15" s="230" t="s">
        <v>371</v>
      </c>
      <c r="D15" s="230"/>
      <c r="E15" s="230">
        <v>2</v>
      </c>
      <c r="F15" s="231" t="s">
        <v>373</v>
      </c>
      <c r="G15" s="232">
        <v>45.9</v>
      </c>
      <c r="H15" s="233"/>
      <c r="I15" s="79"/>
      <c r="J15" s="230">
        <f>'Ocorrências Mensais - FAT'!G32</f>
        <v>2</v>
      </c>
      <c r="K15" s="234">
        <f t="shared" si="0"/>
        <v>91.8</v>
      </c>
      <c r="L15" s="15">
        <f t="shared" si="1"/>
        <v>1</v>
      </c>
      <c r="N15" s="235"/>
      <c r="O15" s="15"/>
      <c r="P15" s="15"/>
      <c r="Q15" s="15"/>
      <c r="R15" s="15"/>
      <c r="S15" s="93"/>
    </row>
    <row r="16" spans="1:22" s="80" customFormat="1" ht="55.2" x14ac:dyDescent="0.3">
      <c r="A16" s="228">
        <v>9</v>
      </c>
      <c r="B16" s="229" t="s">
        <v>387</v>
      </c>
      <c r="C16" s="230" t="s">
        <v>60</v>
      </c>
      <c r="D16" s="230" t="s">
        <v>388</v>
      </c>
      <c r="E16" s="230">
        <v>5</v>
      </c>
      <c r="F16" s="231" t="s">
        <v>373</v>
      </c>
      <c r="G16" s="232">
        <v>2.99</v>
      </c>
      <c r="H16" s="233"/>
      <c r="I16" s="79"/>
      <c r="J16" s="230">
        <f>'Ocorrências Mensais - FAT'!G33</f>
        <v>5</v>
      </c>
      <c r="K16" s="234">
        <f t="shared" si="0"/>
        <v>14.950000000000001</v>
      </c>
      <c r="L16" s="15">
        <f t="shared" si="1"/>
        <v>1</v>
      </c>
      <c r="N16" s="235">
        <v>1.2</v>
      </c>
      <c r="O16" s="15">
        <f>ROUND(IF(Dados!$J$55="SIM",N16*Dados!$N$55,N16),2)</f>
        <v>1.2</v>
      </c>
      <c r="P16" s="15">
        <f>ROUND(IF(Dados!$J$56="SIM",O16*Dados!$N$56,O16),2)</f>
        <v>1.2</v>
      </c>
      <c r="Q16" s="15">
        <f>ROUND(IF(Dados!$J$57="SIM",P16*Dados!$N$57,P16),2)</f>
        <v>1.2</v>
      </c>
      <c r="R16" s="15">
        <f>ROUND(IF(Dados!$J$58="SIM",Q16*Dados!$N$58,Q16),2)</f>
        <v>1.2</v>
      </c>
      <c r="S16" s="93">
        <f>ROUND(IF(Dados!$J$59="SIM",R16*Dados!$N$59,R16),2)</f>
        <v>1.2</v>
      </c>
    </row>
    <row r="17" spans="1:19" s="80" customFormat="1" ht="27.6" x14ac:dyDescent="0.3">
      <c r="A17" s="228">
        <v>10</v>
      </c>
      <c r="B17" s="229" t="s">
        <v>389</v>
      </c>
      <c r="C17" s="230" t="s">
        <v>60</v>
      </c>
      <c r="D17" s="230" t="s">
        <v>390</v>
      </c>
      <c r="E17" s="230">
        <v>1</v>
      </c>
      <c r="F17" s="231" t="s">
        <v>379</v>
      </c>
      <c r="G17" s="232">
        <v>5.57</v>
      </c>
      <c r="H17" s="233"/>
      <c r="I17" s="79"/>
      <c r="J17" s="230">
        <f>'Ocorrências Mensais - FAT'!G34</f>
        <v>8.3333333333333329E-2</v>
      </c>
      <c r="K17" s="234">
        <f t="shared" si="0"/>
        <v>0.46416666666666667</v>
      </c>
      <c r="L17" s="15">
        <f t="shared" si="1"/>
        <v>12</v>
      </c>
      <c r="N17" s="235">
        <v>1.3</v>
      </c>
      <c r="O17" s="15">
        <f>ROUND(IF(Dados!$J$55="SIM",N17*Dados!$N$55,N17),2)</f>
        <v>1.3</v>
      </c>
      <c r="P17" s="15">
        <f>ROUND(IF(Dados!$J$56="SIM",O17*Dados!$N$56,O17),2)</f>
        <v>1.3</v>
      </c>
      <c r="Q17" s="15">
        <f>ROUND(IF(Dados!$J$57="SIM",P17*Dados!$N$57,P17),2)</f>
        <v>1.3</v>
      </c>
      <c r="R17" s="15">
        <f>ROUND(IF(Dados!$J$58="SIM",Q17*Dados!$N$58,Q17),2)</f>
        <v>1.3</v>
      </c>
      <c r="S17" s="93">
        <f>ROUND(IF(Dados!$J$59="SIM",R17*Dados!$N$59,R17),2)</f>
        <v>1.3</v>
      </c>
    </row>
    <row r="18" spans="1:19" s="80" customFormat="1" ht="69" x14ac:dyDescent="0.3">
      <c r="A18" s="228">
        <v>11</v>
      </c>
      <c r="B18" s="229" t="s">
        <v>391</v>
      </c>
      <c r="C18" s="230" t="s">
        <v>392</v>
      </c>
      <c r="D18" s="230" t="s">
        <v>393</v>
      </c>
      <c r="E18" s="230">
        <v>6</v>
      </c>
      <c r="F18" s="231" t="s">
        <v>373</v>
      </c>
      <c r="G18" s="232">
        <v>6.4</v>
      </c>
      <c r="H18" s="233"/>
      <c r="I18" s="79"/>
      <c r="J18" s="230">
        <f>'Ocorrências Mensais - FAT'!G35</f>
        <v>6</v>
      </c>
      <c r="K18" s="234">
        <f t="shared" si="0"/>
        <v>38.400000000000006</v>
      </c>
      <c r="L18" s="15">
        <f t="shared" si="1"/>
        <v>1</v>
      </c>
      <c r="N18" s="235">
        <v>1</v>
      </c>
      <c r="O18" s="15">
        <f>ROUND(IF(Dados!$J$55="SIM",N18*Dados!$N$55,N18),2)</f>
        <v>1</v>
      </c>
      <c r="P18" s="15">
        <f>ROUND(IF(Dados!$J$56="SIM",O18*Dados!$N$56,O18),2)</f>
        <v>1</v>
      </c>
      <c r="Q18" s="15">
        <f>ROUND(IF(Dados!$J$57="SIM",P18*Dados!$N$57,P18),2)</f>
        <v>1</v>
      </c>
      <c r="R18" s="15">
        <f>ROUND(IF(Dados!$J$58="SIM",Q18*Dados!$N$58,Q18),2)</f>
        <v>1</v>
      </c>
      <c r="S18" s="93">
        <f>ROUND(IF(Dados!$J$59="SIM",R18*Dados!$N$59,R18),2)</f>
        <v>1</v>
      </c>
    </row>
    <row r="19" spans="1:19" s="80" customFormat="1" ht="124.2" x14ac:dyDescent="0.3">
      <c r="A19" s="228">
        <v>12</v>
      </c>
      <c r="B19" s="229" t="s">
        <v>394</v>
      </c>
      <c r="C19" s="230" t="s">
        <v>60</v>
      </c>
      <c r="D19" s="230" t="s">
        <v>395</v>
      </c>
      <c r="E19" s="230">
        <v>3</v>
      </c>
      <c r="F19" s="231" t="s">
        <v>373</v>
      </c>
      <c r="G19" s="232">
        <v>4.28</v>
      </c>
      <c r="H19" s="233"/>
      <c r="I19" s="79"/>
      <c r="J19" s="230">
        <f>'Ocorrências Mensais - FAT'!G36</f>
        <v>3</v>
      </c>
      <c r="K19" s="234">
        <f t="shared" si="0"/>
        <v>12.84</v>
      </c>
      <c r="L19" s="15">
        <f t="shared" si="1"/>
        <v>1</v>
      </c>
      <c r="N19" s="235">
        <v>1.4</v>
      </c>
      <c r="O19" s="15">
        <f>ROUND(IF(Dados!$J$55="SIM",N19*Dados!$N$55,N19),2)</f>
        <v>1.4</v>
      </c>
      <c r="P19" s="15">
        <f>ROUND(IF(Dados!$J$56="SIM",O19*Dados!$N$56,O19),2)</f>
        <v>1.4</v>
      </c>
      <c r="Q19" s="15">
        <f>ROUND(IF(Dados!$J$57="SIM",P19*Dados!$N$57,P19),2)</f>
        <v>1.4</v>
      </c>
      <c r="R19" s="15">
        <f>ROUND(IF(Dados!$J$58="SIM",Q19*Dados!$N$58,Q19),2)</f>
        <v>1.4</v>
      </c>
      <c r="S19" s="93">
        <f>ROUND(IF(Dados!$J$59="SIM",R19*Dados!$N$59,R19),2)</f>
        <v>1.4</v>
      </c>
    </row>
    <row r="20" spans="1:19" s="80" customFormat="1" ht="41.4" x14ac:dyDescent="0.3">
      <c r="A20" s="228">
        <v>13</v>
      </c>
      <c r="B20" s="229" t="s">
        <v>396</v>
      </c>
      <c r="C20" s="230" t="s">
        <v>392</v>
      </c>
      <c r="D20" s="230" t="s">
        <v>397</v>
      </c>
      <c r="E20" s="230">
        <v>2</v>
      </c>
      <c r="F20" s="231" t="s">
        <v>373</v>
      </c>
      <c r="G20" s="232">
        <v>2.94</v>
      </c>
      <c r="H20" s="233"/>
      <c r="I20" s="79"/>
      <c r="J20" s="230">
        <f>'Ocorrências Mensais - FAT'!G37</f>
        <v>2</v>
      </c>
      <c r="K20" s="234">
        <f t="shared" si="0"/>
        <v>5.88</v>
      </c>
      <c r="L20" s="15">
        <f t="shared" si="1"/>
        <v>1</v>
      </c>
      <c r="N20" s="235">
        <v>9.1</v>
      </c>
      <c r="O20" s="15">
        <f>ROUND(IF(Dados!$J$55="SIM",N20*Dados!$N$55,N20),2)</f>
        <v>9.1</v>
      </c>
      <c r="P20" s="15">
        <f>ROUND(IF(Dados!$J$56="SIM",O20*Dados!$N$56,O20),2)</f>
        <v>9.1</v>
      </c>
      <c r="Q20" s="15">
        <f>ROUND(IF(Dados!$J$57="SIM",P20*Dados!$N$57,P20),2)</f>
        <v>9.1</v>
      </c>
      <c r="R20" s="15">
        <f>ROUND(IF(Dados!$J$58="SIM",Q20*Dados!$N$58,Q20),2)</f>
        <v>9.1</v>
      </c>
      <c r="S20" s="93">
        <f>ROUND(IF(Dados!$J$59="SIM",R20*Dados!$N$59,R20),2)</f>
        <v>9.1</v>
      </c>
    </row>
    <row r="21" spans="1:19" s="80" customFormat="1" ht="13.8" x14ac:dyDescent="0.3">
      <c r="A21" s="228">
        <v>14</v>
      </c>
      <c r="B21" s="229" t="s">
        <v>398</v>
      </c>
      <c r="C21" s="230" t="s">
        <v>60</v>
      </c>
      <c r="D21" s="230" t="s">
        <v>399</v>
      </c>
      <c r="E21" s="230">
        <v>2</v>
      </c>
      <c r="F21" s="231" t="s">
        <v>373</v>
      </c>
      <c r="G21" s="232">
        <v>9.9</v>
      </c>
      <c r="H21" s="233"/>
      <c r="I21" s="79"/>
      <c r="J21" s="230">
        <f>'Ocorrências Mensais - FAT'!G38</f>
        <v>2</v>
      </c>
      <c r="K21" s="234">
        <f t="shared" si="0"/>
        <v>19.8</v>
      </c>
      <c r="L21" s="15">
        <f t="shared" si="1"/>
        <v>1</v>
      </c>
      <c r="N21" s="235">
        <v>1</v>
      </c>
      <c r="O21" s="15">
        <f>ROUND(IF(Dados!$J$55="SIM",N21*Dados!$N$55,N21),2)</f>
        <v>1</v>
      </c>
      <c r="P21" s="15">
        <f>ROUND(IF(Dados!$J$56="SIM",O21*Dados!$N$56,O21),2)</f>
        <v>1</v>
      </c>
      <c r="Q21" s="15">
        <f>ROUND(IF(Dados!$J$57="SIM",P21*Dados!$N$57,P21),2)</f>
        <v>1</v>
      </c>
      <c r="R21" s="15">
        <f>ROUND(IF(Dados!$J$58="SIM",Q21*Dados!$N$58,Q21),2)</f>
        <v>1</v>
      </c>
      <c r="S21" s="93">
        <f>ROUND(IF(Dados!$J$59="SIM",R21*Dados!$N$59,R21),2)</f>
        <v>1</v>
      </c>
    </row>
    <row r="22" spans="1:19" s="80" customFormat="1" ht="55.2" x14ac:dyDescent="0.3">
      <c r="A22" s="228">
        <v>15</v>
      </c>
      <c r="B22" s="229" t="s">
        <v>400</v>
      </c>
      <c r="C22" s="230" t="s">
        <v>401</v>
      </c>
      <c r="D22" s="230" t="s">
        <v>402</v>
      </c>
      <c r="E22" s="230">
        <v>4</v>
      </c>
      <c r="F22" s="231" t="s">
        <v>373</v>
      </c>
      <c r="G22" s="232">
        <v>13.38</v>
      </c>
      <c r="H22" s="233"/>
      <c r="I22" s="79"/>
      <c r="J22" s="230">
        <f>'Ocorrências Mensais - FAT'!G39</f>
        <v>4</v>
      </c>
      <c r="K22" s="234">
        <f t="shared" si="0"/>
        <v>53.52</v>
      </c>
      <c r="L22" s="15">
        <f t="shared" si="1"/>
        <v>1</v>
      </c>
      <c r="N22" s="235">
        <v>1.59</v>
      </c>
      <c r="O22" s="15">
        <f>ROUND(IF(Dados!$J$55="SIM",N22*Dados!$N$55,N22),2)</f>
        <v>1.59</v>
      </c>
      <c r="P22" s="15">
        <f>ROUND(IF(Dados!$J$56="SIM",O22*Dados!$N$56,O22),2)</f>
        <v>1.59</v>
      </c>
      <c r="Q22" s="15">
        <f>ROUND(IF(Dados!$J$57="SIM",P22*Dados!$N$57,P22),2)</f>
        <v>1.59</v>
      </c>
      <c r="R22" s="15">
        <f>ROUND(IF(Dados!$J$58="SIM",Q22*Dados!$N$58,Q22),2)</f>
        <v>1.59</v>
      </c>
      <c r="S22" s="93">
        <f>ROUND(IF(Dados!$J$59="SIM",R22*Dados!$N$59,R22),2)</f>
        <v>1.59</v>
      </c>
    </row>
    <row r="23" spans="1:19" s="80" customFormat="1" ht="69" x14ac:dyDescent="0.3">
      <c r="A23" s="228">
        <v>16</v>
      </c>
      <c r="B23" s="229" t="s">
        <v>403</v>
      </c>
      <c r="C23" s="230" t="s">
        <v>60</v>
      </c>
      <c r="D23" s="230" t="s">
        <v>399</v>
      </c>
      <c r="E23" s="230">
        <v>15</v>
      </c>
      <c r="F23" s="231" t="s">
        <v>373</v>
      </c>
      <c r="G23" s="232">
        <v>5.08</v>
      </c>
      <c r="H23" s="233"/>
      <c r="I23" s="79"/>
      <c r="J23" s="230">
        <f>'Ocorrências Mensais - FAT'!G40</f>
        <v>15</v>
      </c>
      <c r="K23" s="234">
        <f t="shared" si="0"/>
        <v>76.2</v>
      </c>
      <c r="L23" s="15">
        <f t="shared" si="1"/>
        <v>1</v>
      </c>
      <c r="N23" s="235">
        <v>10.9</v>
      </c>
      <c r="O23" s="15">
        <f>ROUND(IF(Dados!$J$55="SIM",N23*Dados!$N$55,N23),2)</f>
        <v>10.9</v>
      </c>
      <c r="P23" s="15">
        <f>ROUND(IF(Dados!$J$56="SIM",O23*Dados!$N$56,O23),2)</f>
        <v>10.9</v>
      </c>
      <c r="Q23" s="15">
        <f>ROUND(IF(Dados!$J$57="SIM",P23*Dados!$N$57,P23),2)</f>
        <v>10.9</v>
      </c>
      <c r="R23" s="15">
        <f>ROUND(IF(Dados!$J$58="SIM",Q23*Dados!$N$58,Q23),2)</f>
        <v>10.9</v>
      </c>
      <c r="S23" s="93">
        <f>ROUND(IF(Dados!$J$59="SIM",R23*Dados!$N$59,R23),2)</f>
        <v>10.9</v>
      </c>
    </row>
    <row r="24" spans="1:19" s="80" customFormat="1" ht="27.6" x14ac:dyDescent="0.3">
      <c r="A24" s="228">
        <v>17</v>
      </c>
      <c r="B24" s="229" t="s">
        <v>404</v>
      </c>
      <c r="C24" s="230" t="s">
        <v>60</v>
      </c>
      <c r="D24" s="230" t="s">
        <v>402</v>
      </c>
      <c r="E24" s="230">
        <v>1</v>
      </c>
      <c r="F24" s="231" t="s">
        <v>379</v>
      </c>
      <c r="G24" s="232">
        <v>13.09</v>
      </c>
      <c r="H24" s="233"/>
      <c r="I24" s="79"/>
      <c r="J24" s="230">
        <f>'Ocorrências Mensais - FAT'!G41</f>
        <v>8.3333333333333329E-2</v>
      </c>
      <c r="K24" s="234">
        <f t="shared" si="0"/>
        <v>1.0908333333333333</v>
      </c>
      <c r="L24" s="15">
        <f t="shared" si="1"/>
        <v>12</v>
      </c>
      <c r="N24" s="235">
        <v>3</v>
      </c>
      <c r="O24" s="15">
        <f>ROUND(IF(Dados!$J$55="SIM",N24*Dados!$N$55,N24),2)</f>
        <v>3</v>
      </c>
      <c r="P24" s="15">
        <f>ROUND(IF(Dados!$J$56="SIM",O24*Dados!$N$56,O24),2)</f>
        <v>3</v>
      </c>
      <c r="Q24" s="15">
        <f>ROUND(IF(Dados!$J$57="SIM",P24*Dados!$N$57,P24),2)</f>
        <v>3</v>
      </c>
      <c r="R24" s="15">
        <f>ROUND(IF(Dados!$J$58="SIM",Q24*Dados!$N$58,Q24),2)</f>
        <v>3</v>
      </c>
      <c r="S24" s="93">
        <f>ROUND(IF(Dados!$J$59="SIM",R24*Dados!$N$59,R24),2)</f>
        <v>3</v>
      </c>
    </row>
    <row r="25" spans="1:19" s="80" customFormat="1" ht="13.8" x14ac:dyDescent="0.3">
      <c r="A25" s="228">
        <v>18</v>
      </c>
      <c r="B25" s="229" t="s">
        <v>405</v>
      </c>
      <c r="C25" s="230" t="s">
        <v>60</v>
      </c>
      <c r="D25" s="230" t="s">
        <v>406</v>
      </c>
      <c r="E25" s="230">
        <v>4</v>
      </c>
      <c r="F25" s="231" t="s">
        <v>373</v>
      </c>
      <c r="G25" s="232">
        <v>10</v>
      </c>
      <c r="H25" s="233"/>
      <c r="I25" s="79"/>
      <c r="J25" s="230">
        <f>'Ocorrências Mensais - FAT'!G42</f>
        <v>4</v>
      </c>
      <c r="K25" s="234">
        <f t="shared" si="0"/>
        <v>40</v>
      </c>
      <c r="L25" s="15">
        <f t="shared" si="1"/>
        <v>1</v>
      </c>
      <c r="N25" s="235">
        <v>1</v>
      </c>
      <c r="O25" s="15">
        <f>ROUND(IF(Dados!$J$55="SIM",N25*Dados!$N$55,N25),2)</f>
        <v>1</v>
      </c>
      <c r="P25" s="15">
        <f>ROUND(IF(Dados!$J$56="SIM",O25*Dados!$N$56,O25),2)</f>
        <v>1</v>
      </c>
      <c r="Q25" s="15">
        <f>ROUND(IF(Dados!$J$57="SIM",P25*Dados!$N$57,P25),2)</f>
        <v>1</v>
      </c>
      <c r="R25" s="15">
        <f>ROUND(IF(Dados!$J$58="SIM",Q25*Dados!$N$58,Q25),2)</f>
        <v>1</v>
      </c>
      <c r="S25" s="93">
        <f>ROUND(IF(Dados!$J$59="SIM",R25*Dados!$N$59,R25),2)</f>
        <v>1</v>
      </c>
    </row>
    <row r="26" spans="1:19" s="80" customFormat="1" ht="40.5" customHeight="1" x14ac:dyDescent="0.3">
      <c r="A26" s="228">
        <v>19</v>
      </c>
      <c r="B26" s="229" t="s">
        <v>407</v>
      </c>
      <c r="C26" s="230" t="s">
        <v>408</v>
      </c>
      <c r="D26" s="230" t="s">
        <v>409</v>
      </c>
      <c r="E26" s="230">
        <v>10</v>
      </c>
      <c r="F26" s="231" t="s">
        <v>373</v>
      </c>
      <c r="G26" s="232">
        <v>16.11</v>
      </c>
      <c r="H26" s="233"/>
      <c r="I26" s="79"/>
      <c r="J26" s="230">
        <f>'Ocorrências Mensais - FAT'!G43</f>
        <v>10</v>
      </c>
      <c r="K26" s="234">
        <f t="shared" si="0"/>
        <v>161.1</v>
      </c>
      <c r="L26" s="15">
        <f t="shared" si="1"/>
        <v>1</v>
      </c>
      <c r="N26" s="235">
        <v>2</v>
      </c>
      <c r="O26" s="15">
        <f>ROUND(IF(Dados!$J$55="SIM",N26*Dados!$N$55,N26),2)</f>
        <v>2</v>
      </c>
      <c r="P26" s="15">
        <f>ROUND(IF(Dados!$J$56="SIM",O26*Dados!$N$56,O26),2)</f>
        <v>2</v>
      </c>
      <c r="Q26" s="15">
        <f>ROUND(IF(Dados!$J$57="SIM",P26*Dados!$N$57,P26),2)</f>
        <v>2</v>
      </c>
      <c r="R26" s="15">
        <f>ROUND(IF(Dados!$J$58="SIM",Q26*Dados!$N$58,Q26),2)</f>
        <v>2</v>
      </c>
      <c r="S26" s="93">
        <f>ROUND(IF(Dados!$J$59="SIM",R26*Dados!$N$59,R26),2)</f>
        <v>2</v>
      </c>
    </row>
    <row r="27" spans="1:19" s="80" customFormat="1" ht="41.4" x14ac:dyDescent="0.3">
      <c r="A27" s="228">
        <v>20</v>
      </c>
      <c r="B27" s="229" t="s">
        <v>410</v>
      </c>
      <c r="C27" s="230" t="s">
        <v>392</v>
      </c>
      <c r="D27" s="230" t="s">
        <v>411</v>
      </c>
      <c r="E27" s="230">
        <v>25</v>
      </c>
      <c r="F27" s="231" t="s">
        <v>373</v>
      </c>
      <c r="G27" s="232">
        <v>22.89</v>
      </c>
      <c r="H27" s="233"/>
      <c r="I27" s="79"/>
      <c r="J27" s="230">
        <f>'Ocorrências Mensais - FAT'!G44</f>
        <v>25</v>
      </c>
      <c r="K27" s="234">
        <f t="shared" si="0"/>
        <v>572.25</v>
      </c>
      <c r="L27" s="15">
        <f t="shared" si="1"/>
        <v>1</v>
      </c>
      <c r="N27" s="235">
        <v>20</v>
      </c>
      <c r="O27" s="15">
        <f>ROUND(IF(Dados!$J$55="SIM",N27*Dados!$N$55,N27),2)</f>
        <v>20</v>
      </c>
      <c r="P27" s="15">
        <f>ROUND(IF(Dados!$J$56="SIM",O27*Dados!$N$56,O27),2)</f>
        <v>20</v>
      </c>
      <c r="Q27" s="15">
        <f>ROUND(IF(Dados!$J$57="SIM",P27*Dados!$N$57,P27),2)</f>
        <v>20</v>
      </c>
      <c r="R27" s="15">
        <f>ROUND(IF(Dados!$J$58="SIM",Q27*Dados!$N$58,Q27),2)</f>
        <v>20</v>
      </c>
      <c r="S27" s="93">
        <f>ROUND(IF(Dados!$J$59="SIM",R27*Dados!$N$59,R27),2)</f>
        <v>20</v>
      </c>
    </row>
    <row r="28" spans="1:19" s="80" customFormat="1" ht="27.6" x14ac:dyDescent="0.3">
      <c r="A28" s="228">
        <v>21</v>
      </c>
      <c r="B28" s="229" t="s">
        <v>412</v>
      </c>
      <c r="C28" s="230" t="s">
        <v>60</v>
      </c>
      <c r="D28" s="230" t="s">
        <v>413</v>
      </c>
      <c r="E28" s="230">
        <v>30</v>
      </c>
      <c r="F28" s="231" t="s">
        <v>373</v>
      </c>
      <c r="G28" s="232">
        <v>2.41</v>
      </c>
      <c r="H28" s="233"/>
      <c r="I28" s="79"/>
      <c r="J28" s="230">
        <f>'Ocorrências Mensais - FAT'!G45</f>
        <v>30</v>
      </c>
      <c r="K28" s="234">
        <f t="shared" si="0"/>
        <v>72.300000000000011</v>
      </c>
      <c r="L28" s="15">
        <f t="shared" si="1"/>
        <v>1</v>
      </c>
      <c r="N28" s="235">
        <v>6.3</v>
      </c>
      <c r="O28" s="15">
        <f>ROUND(IF(Dados!$J$55="SIM",N28*Dados!$N$55,N28),2)</f>
        <v>6.3</v>
      </c>
      <c r="P28" s="15">
        <f>ROUND(IF(Dados!$J$56="SIM",O28*Dados!$N$56,O28),2)</f>
        <v>6.3</v>
      </c>
      <c r="Q28" s="15">
        <f>ROUND(IF(Dados!$J$57="SIM",P28*Dados!$N$57,P28),2)</f>
        <v>6.3</v>
      </c>
      <c r="R28" s="15">
        <f>ROUND(IF(Dados!$J$58="SIM",Q28*Dados!$N$58,Q28),2)</f>
        <v>6.3</v>
      </c>
      <c r="S28" s="93">
        <f>ROUND(IF(Dados!$J$59="SIM",R28*Dados!$N$59,R28),2)</f>
        <v>6.3</v>
      </c>
    </row>
    <row r="29" spans="1:19" s="80" customFormat="1" ht="41.4" x14ac:dyDescent="0.3">
      <c r="A29" s="228">
        <v>22</v>
      </c>
      <c r="B29" s="229" t="s">
        <v>414</v>
      </c>
      <c r="C29" s="230" t="s">
        <v>60</v>
      </c>
      <c r="D29" s="230" t="s">
        <v>415</v>
      </c>
      <c r="E29" s="230">
        <v>6</v>
      </c>
      <c r="F29" s="231" t="s">
        <v>379</v>
      </c>
      <c r="G29" s="232">
        <v>25.67</v>
      </c>
      <c r="H29" s="233"/>
      <c r="I29" s="79"/>
      <c r="J29" s="230">
        <f>'Ocorrências Mensais - FAT'!G46</f>
        <v>0.5</v>
      </c>
      <c r="K29" s="234">
        <f t="shared" si="0"/>
        <v>12.835000000000001</v>
      </c>
      <c r="L29" s="15">
        <f t="shared" si="1"/>
        <v>12</v>
      </c>
      <c r="N29" s="235">
        <v>8.99</v>
      </c>
      <c r="O29" s="15">
        <f>ROUND(IF(Dados!$J$55="SIM",N29*Dados!$N$55,N29),2)</f>
        <v>8.99</v>
      </c>
      <c r="P29" s="15">
        <f>ROUND(IF(Dados!$J$56="SIM",O29*Dados!$N$56,O29),2)</f>
        <v>8.99</v>
      </c>
      <c r="Q29" s="15">
        <f>ROUND(IF(Dados!$J$57="SIM",P29*Dados!$N$57,P29),2)</f>
        <v>8.99</v>
      </c>
      <c r="R29" s="15">
        <f>ROUND(IF(Dados!$J$58="SIM",Q29*Dados!$N$58,Q29),2)</f>
        <v>8.99</v>
      </c>
      <c r="S29" s="93">
        <f>ROUND(IF(Dados!$J$59="SIM",R29*Dados!$N$59,R29),2)</f>
        <v>8.99</v>
      </c>
    </row>
    <row r="30" spans="1:19" s="80" customFormat="1" ht="27.6" x14ac:dyDescent="0.3">
      <c r="A30" s="228">
        <v>23</v>
      </c>
      <c r="B30" s="229" t="s">
        <v>416</v>
      </c>
      <c r="C30" s="230" t="s">
        <v>392</v>
      </c>
      <c r="D30" s="230" t="s">
        <v>417</v>
      </c>
      <c r="E30" s="230">
        <v>1</v>
      </c>
      <c r="F30" s="231" t="s">
        <v>418</v>
      </c>
      <c r="G30" s="232">
        <v>12</v>
      </c>
      <c r="H30" s="233"/>
      <c r="I30" s="79"/>
      <c r="J30" s="230">
        <f>'Ocorrências Mensais - FAT'!G47</f>
        <v>0.5</v>
      </c>
      <c r="K30" s="234">
        <f t="shared" si="0"/>
        <v>6</v>
      </c>
      <c r="L30" s="15">
        <f t="shared" si="1"/>
        <v>2</v>
      </c>
      <c r="N30" s="235">
        <v>5</v>
      </c>
      <c r="O30" s="15">
        <f>ROUND(IF(Dados!$J$55="SIM",N30*Dados!$N$55,N30),2)</f>
        <v>5</v>
      </c>
      <c r="P30" s="15">
        <f>ROUND(IF(Dados!$J$56="SIM",O30*Dados!$N$56,O30),2)</f>
        <v>5</v>
      </c>
      <c r="Q30" s="15">
        <f>ROUND(IF(Dados!$J$57="SIM",P30*Dados!$N$57,P30),2)</f>
        <v>5</v>
      </c>
      <c r="R30" s="15">
        <f>ROUND(IF(Dados!$J$58="SIM",Q30*Dados!$N$58,Q30),2)</f>
        <v>5</v>
      </c>
      <c r="S30" s="93">
        <f>ROUND(IF(Dados!$J$59="SIM",R30*Dados!$N$59,R30),2)</f>
        <v>5</v>
      </c>
    </row>
    <row r="31" spans="1:19" s="80" customFormat="1" ht="27.6" x14ac:dyDescent="0.3">
      <c r="A31" s="228">
        <v>24</v>
      </c>
      <c r="B31" s="229" t="s">
        <v>419</v>
      </c>
      <c r="C31" s="230" t="s">
        <v>420</v>
      </c>
      <c r="D31" s="230" t="s">
        <v>421</v>
      </c>
      <c r="E31" s="230">
        <v>2</v>
      </c>
      <c r="F31" s="231" t="s">
        <v>373</v>
      </c>
      <c r="G31" s="232">
        <v>15.6</v>
      </c>
      <c r="H31" s="233"/>
      <c r="I31" s="79"/>
      <c r="J31" s="230">
        <f>'Ocorrências Mensais - FAT'!G48</f>
        <v>2</v>
      </c>
      <c r="K31" s="234">
        <f t="shared" si="0"/>
        <v>31.2</v>
      </c>
      <c r="L31" s="15">
        <f t="shared" si="1"/>
        <v>1</v>
      </c>
      <c r="N31" s="235">
        <v>1.5</v>
      </c>
      <c r="O31" s="15">
        <f>ROUND(IF(Dados!$J$55="SIM",N31*Dados!$N$55,N31),2)</f>
        <v>1.5</v>
      </c>
      <c r="P31" s="15">
        <f>ROUND(IF(Dados!$J$56="SIM",O31*Dados!$N$56,O31),2)</f>
        <v>1.5</v>
      </c>
      <c r="Q31" s="15">
        <f>ROUND(IF(Dados!$J$57="SIM",P31*Dados!$N$57,P31),2)</f>
        <v>1.5</v>
      </c>
      <c r="R31" s="15">
        <f>ROUND(IF(Dados!$J$58="SIM",Q31*Dados!$N$58,Q31),2)</f>
        <v>1.5</v>
      </c>
      <c r="S31" s="93">
        <f>ROUND(IF(Dados!$J$59="SIM",R31*Dados!$N$59,R31),2)</f>
        <v>1.5</v>
      </c>
    </row>
    <row r="32" spans="1:19" s="80" customFormat="1" ht="27.6" x14ac:dyDescent="0.3">
      <c r="A32" s="228">
        <v>25</v>
      </c>
      <c r="B32" s="229" t="s">
        <v>422</v>
      </c>
      <c r="C32" s="230" t="s">
        <v>371</v>
      </c>
      <c r="D32" s="230" t="s">
        <v>423</v>
      </c>
      <c r="E32" s="230">
        <v>2</v>
      </c>
      <c r="F32" s="231" t="s">
        <v>373</v>
      </c>
      <c r="G32" s="232">
        <v>23.76</v>
      </c>
      <c r="H32" s="233"/>
      <c r="I32" s="79"/>
      <c r="J32" s="230">
        <f>'Ocorrências Mensais - FAT'!G49</f>
        <v>2</v>
      </c>
      <c r="K32" s="234">
        <f t="shared" si="0"/>
        <v>47.52</v>
      </c>
      <c r="L32" s="15">
        <f t="shared" si="1"/>
        <v>1</v>
      </c>
      <c r="N32" s="235">
        <v>3.2</v>
      </c>
      <c r="O32" s="15">
        <f>ROUND(IF(Dados!$J$55="SIM",N32*Dados!$N$55,N32),2)</f>
        <v>3.2</v>
      </c>
      <c r="P32" s="15">
        <f>ROUND(IF(Dados!$J$56="SIM",O32*Dados!$N$56,O32),2)</f>
        <v>3.2</v>
      </c>
      <c r="Q32" s="15">
        <f>ROUND(IF(Dados!$J$57="SIM",P32*Dados!$N$57,P32),2)</f>
        <v>3.2</v>
      </c>
      <c r="R32" s="15">
        <f>ROUND(IF(Dados!$J$58="SIM",Q32*Dados!$N$58,Q32),2)</f>
        <v>3.2</v>
      </c>
      <c r="S32" s="93">
        <f>ROUND(IF(Dados!$J$59="SIM",R32*Dados!$N$59,R32),2)</f>
        <v>3.2</v>
      </c>
    </row>
    <row r="33" spans="1:19" s="80" customFormat="1" ht="27.6" x14ac:dyDescent="0.3">
      <c r="A33" s="228">
        <v>26</v>
      </c>
      <c r="B33" s="229" t="s">
        <v>424</v>
      </c>
      <c r="C33" s="230" t="s">
        <v>60</v>
      </c>
      <c r="D33" s="230" t="s">
        <v>425</v>
      </c>
      <c r="E33" s="230">
        <v>16</v>
      </c>
      <c r="F33" s="231" t="s">
        <v>418</v>
      </c>
      <c r="G33" s="232">
        <v>8.23</v>
      </c>
      <c r="H33" s="233"/>
      <c r="I33" s="79"/>
      <c r="J33" s="230">
        <f>'Ocorrências Mensais - FAT'!G50</f>
        <v>8</v>
      </c>
      <c r="K33" s="234">
        <f t="shared" si="0"/>
        <v>65.84</v>
      </c>
      <c r="L33" s="15">
        <f t="shared" si="1"/>
        <v>2</v>
      </c>
      <c r="N33" s="235">
        <v>3.99</v>
      </c>
      <c r="O33" s="15">
        <f>ROUND(IF(Dados!$J$55="SIM",N33*Dados!$N$55,N33),2)</f>
        <v>3.99</v>
      </c>
      <c r="P33" s="15">
        <f>ROUND(IF(Dados!$J$56="SIM",O33*Dados!$N$56,O33),2)</f>
        <v>3.99</v>
      </c>
      <c r="Q33" s="15">
        <f>ROUND(IF(Dados!$J$57="SIM",P33*Dados!$N$57,P33),2)</f>
        <v>3.99</v>
      </c>
      <c r="R33" s="15">
        <f>ROUND(IF(Dados!$J$58="SIM",Q33*Dados!$N$58,Q33),2)</f>
        <v>3.99</v>
      </c>
      <c r="S33" s="93">
        <f>ROUND(IF(Dados!$J$59="SIM",R33*Dados!$N$59,R33),2)</f>
        <v>3.99</v>
      </c>
    </row>
    <row r="34" spans="1:19" s="80" customFormat="1" ht="41.4" x14ac:dyDescent="0.3">
      <c r="A34" s="228">
        <v>27</v>
      </c>
      <c r="B34" s="229" t="s">
        <v>426</v>
      </c>
      <c r="C34" s="230" t="s">
        <v>392</v>
      </c>
      <c r="D34" s="230" t="s">
        <v>427</v>
      </c>
      <c r="E34" s="230">
        <v>2</v>
      </c>
      <c r="F34" s="231" t="s">
        <v>373</v>
      </c>
      <c r="G34" s="232">
        <v>16.489999999999998</v>
      </c>
      <c r="H34" s="233"/>
      <c r="I34" s="79"/>
      <c r="J34" s="230">
        <f>'Ocorrências Mensais - FAT'!G51</f>
        <v>2</v>
      </c>
      <c r="K34" s="234">
        <f t="shared" si="0"/>
        <v>32.979999999999997</v>
      </c>
      <c r="L34" s="15">
        <f t="shared" si="1"/>
        <v>1</v>
      </c>
      <c r="N34" s="235">
        <v>1.4</v>
      </c>
      <c r="O34" s="15">
        <f>ROUND(IF(Dados!$J$55="SIM",N34*Dados!$N$55,N34),2)</f>
        <v>1.4</v>
      </c>
      <c r="P34" s="15">
        <f>ROUND(IF(Dados!$J$56="SIM",O34*Dados!$N$56,O34),2)</f>
        <v>1.4</v>
      </c>
      <c r="Q34" s="15">
        <f>ROUND(IF(Dados!$J$57="SIM",P34*Dados!$N$57,P34),2)</f>
        <v>1.4</v>
      </c>
      <c r="R34" s="15">
        <f>ROUND(IF(Dados!$J$58="SIM",Q34*Dados!$N$58,Q34),2)</f>
        <v>1.4</v>
      </c>
      <c r="S34" s="93">
        <f>ROUND(IF(Dados!$J$59="SIM",R34*Dados!$N$59,R34),2)</f>
        <v>1.4</v>
      </c>
    </row>
    <row r="35" spans="1:19" s="80" customFormat="1" ht="55.2" x14ac:dyDescent="0.3">
      <c r="A35" s="228">
        <v>28</v>
      </c>
      <c r="B35" s="229" t="s">
        <v>428</v>
      </c>
      <c r="C35" s="230" t="s">
        <v>392</v>
      </c>
      <c r="D35" s="230" t="s">
        <v>427</v>
      </c>
      <c r="E35" s="230">
        <v>1</v>
      </c>
      <c r="F35" s="231" t="s">
        <v>373</v>
      </c>
      <c r="G35" s="232">
        <v>60.16</v>
      </c>
      <c r="H35" s="233"/>
      <c r="I35" s="79"/>
      <c r="J35" s="230">
        <f>'Ocorrências Mensais - FAT'!G52</f>
        <v>1</v>
      </c>
      <c r="K35" s="234">
        <f t="shared" si="0"/>
        <v>60.16</v>
      </c>
      <c r="L35" s="15">
        <f t="shared" si="1"/>
        <v>1</v>
      </c>
      <c r="N35" s="235">
        <v>2.04</v>
      </c>
      <c r="O35" s="15">
        <f>ROUND(IF(Dados!$J$55="SIM",N35*Dados!$N$55,N35),2)</f>
        <v>2.04</v>
      </c>
      <c r="P35" s="15">
        <f>ROUND(IF(Dados!$J$56="SIM",O35*Dados!$N$56,O35),2)</f>
        <v>2.04</v>
      </c>
      <c r="Q35" s="15">
        <f>ROUND(IF(Dados!$J$57="SIM",P35*Dados!$N$57,P35),2)</f>
        <v>2.04</v>
      </c>
      <c r="R35" s="15">
        <f>ROUND(IF(Dados!$J$58="SIM",Q35*Dados!$N$58,Q35),2)</f>
        <v>2.04</v>
      </c>
      <c r="S35" s="93">
        <f>ROUND(IF(Dados!$J$59="SIM",R35*Dados!$N$59,R35),2)</f>
        <v>2.04</v>
      </c>
    </row>
    <row r="36" spans="1:19" s="80" customFormat="1" ht="27.6" x14ac:dyDescent="0.3">
      <c r="A36" s="228">
        <v>29</v>
      </c>
      <c r="B36" s="229" t="s">
        <v>429</v>
      </c>
      <c r="C36" s="230" t="s">
        <v>60</v>
      </c>
      <c r="D36" s="230" t="s">
        <v>415</v>
      </c>
      <c r="E36" s="230">
        <v>1</v>
      </c>
      <c r="F36" s="231" t="s">
        <v>379</v>
      </c>
      <c r="G36" s="232">
        <v>18.22</v>
      </c>
      <c r="H36" s="233"/>
      <c r="I36" s="79"/>
      <c r="J36" s="230">
        <f>'Ocorrências Mensais - FAT'!G53</f>
        <v>8.3333333333333329E-2</v>
      </c>
      <c r="K36" s="234">
        <f t="shared" si="0"/>
        <v>1.5183333333333331</v>
      </c>
      <c r="L36" s="15">
        <f t="shared" si="1"/>
        <v>12</v>
      </c>
      <c r="N36" s="235">
        <v>6.55</v>
      </c>
      <c r="O36" s="15">
        <f>ROUND(IF(Dados!$J$55="SIM",N36*Dados!$N$55,N36),2)</f>
        <v>6.55</v>
      </c>
      <c r="P36" s="15">
        <f>ROUND(IF(Dados!$J$56="SIM",O36*Dados!$N$56,O36),2)</f>
        <v>6.55</v>
      </c>
      <c r="Q36" s="15">
        <f>ROUND(IF(Dados!$J$57="SIM",P36*Dados!$N$57,P36),2)</f>
        <v>6.55</v>
      </c>
      <c r="R36" s="15">
        <f>ROUND(IF(Dados!$J$58="SIM",Q36*Dados!$N$58,Q36),2)</f>
        <v>6.55</v>
      </c>
      <c r="S36" s="93">
        <f>ROUND(IF(Dados!$J$59="SIM",R36*Dados!$N$59,R36),2)</f>
        <v>6.55</v>
      </c>
    </row>
    <row r="37" spans="1:19" s="80" customFormat="1" ht="42.75" customHeight="1" x14ac:dyDescent="0.3">
      <c r="A37" s="228">
        <v>30</v>
      </c>
      <c r="B37" s="229" t="s">
        <v>430</v>
      </c>
      <c r="C37" s="230" t="s">
        <v>60</v>
      </c>
      <c r="D37" s="230" t="s">
        <v>431</v>
      </c>
      <c r="E37" s="230">
        <v>2</v>
      </c>
      <c r="F37" s="231" t="s">
        <v>379</v>
      </c>
      <c r="G37" s="232">
        <v>18.100000000000001</v>
      </c>
      <c r="H37" s="233"/>
      <c r="I37" s="79"/>
      <c r="J37" s="230">
        <f>'Ocorrências Mensais - FAT'!G54</f>
        <v>0.16666666666666666</v>
      </c>
      <c r="K37" s="234">
        <f t="shared" si="0"/>
        <v>3.0166666666666666</v>
      </c>
      <c r="L37" s="15">
        <f t="shared" si="1"/>
        <v>12</v>
      </c>
      <c r="N37" s="235">
        <v>2.8</v>
      </c>
      <c r="O37" s="15">
        <f>ROUND(IF(Dados!$J$55="SIM",N37*Dados!$N$55,N37),2)</f>
        <v>2.8</v>
      </c>
      <c r="P37" s="15">
        <f>ROUND(IF(Dados!$J$56="SIM",O37*Dados!$N$56,O37),2)</f>
        <v>2.8</v>
      </c>
      <c r="Q37" s="15">
        <f>ROUND(IF(Dados!$J$57="SIM",P37*Dados!$N$57,P37),2)</f>
        <v>2.8</v>
      </c>
      <c r="R37" s="15">
        <f>ROUND(IF(Dados!$J$58="SIM",Q37*Dados!$N$58,Q37),2)</f>
        <v>2.8</v>
      </c>
      <c r="S37" s="93">
        <f>ROUND(IF(Dados!$J$59="SIM",R37*Dados!$N$59,R37),2)</f>
        <v>2.8</v>
      </c>
    </row>
    <row r="38" spans="1:19" s="80" customFormat="1" ht="27.6" x14ac:dyDescent="0.3">
      <c r="A38" s="228">
        <v>31</v>
      </c>
      <c r="B38" s="229" t="s">
        <v>432</v>
      </c>
      <c r="C38" s="230" t="s">
        <v>60</v>
      </c>
      <c r="D38" s="230" t="s">
        <v>433</v>
      </c>
      <c r="E38" s="230">
        <v>1</v>
      </c>
      <c r="F38" s="231" t="s">
        <v>418</v>
      </c>
      <c r="G38" s="232">
        <v>16.11</v>
      </c>
      <c r="H38" s="233"/>
      <c r="I38" s="79"/>
      <c r="J38" s="230">
        <f>'Ocorrências Mensais - FAT'!G55</f>
        <v>0.5</v>
      </c>
      <c r="K38" s="234">
        <f t="shared" si="0"/>
        <v>8.0549999999999997</v>
      </c>
      <c r="L38" s="15">
        <f t="shared" si="1"/>
        <v>2</v>
      </c>
      <c r="N38" s="235">
        <v>19.899999999999999</v>
      </c>
      <c r="O38" s="15">
        <f>ROUND(IF(Dados!$J$55="SIM",N38*Dados!$N$55,N38),2)</f>
        <v>19.899999999999999</v>
      </c>
      <c r="P38" s="15">
        <f>ROUND(IF(Dados!$J$56="SIM",O38*Dados!$N$56,O38),2)</f>
        <v>19.899999999999999</v>
      </c>
      <c r="Q38" s="15">
        <f>ROUND(IF(Dados!$J$57="SIM",P38*Dados!$N$57,P38),2)</f>
        <v>19.899999999999999</v>
      </c>
      <c r="R38" s="15">
        <f>ROUND(IF(Dados!$J$58="SIM",Q38*Dados!$N$58,Q38),2)</f>
        <v>19.899999999999999</v>
      </c>
      <c r="S38" s="93">
        <f>ROUND(IF(Dados!$J$59="SIM",R38*Dados!$N$59,R38),2)</f>
        <v>19.899999999999999</v>
      </c>
    </row>
    <row r="39" spans="1:19" s="80" customFormat="1" ht="13.8" x14ac:dyDescent="0.3">
      <c r="A39" s="228">
        <v>32</v>
      </c>
      <c r="B39" s="229" t="s">
        <v>434</v>
      </c>
      <c r="C39" s="230" t="s">
        <v>60</v>
      </c>
      <c r="D39" s="230"/>
      <c r="E39" s="230">
        <v>4</v>
      </c>
      <c r="F39" s="231" t="s">
        <v>379</v>
      </c>
      <c r="G39" s="232">
        <v>31.9</v>
      </c>
      <c r="H39" s="233"/>
      <c r="I39" s="79"/>
      <c r="J39" s="230">
        <f>'Ocorrências Mensais - FAT'!G56</f>
        <v>0.33333333333333331</v>
      </c>
      <c r="K39" s="234">
        <f t="shared" si="0"/>
        <v>10.633333333333333</v>
      </c>
      <c r="L39" s="15">
        <f t="shared" si="1"/>
        <v>12</v>
      </c>
      <c r="N39" s="235">
        <v>5.8</v>
      </c>
      <c r="O39" s="15">
        <f>ROUND(IF(Dados!$J$55="SIM",N39*Dados!$N$55,N39),2)</f>
        <v>5.8</v>
      </c>
      <c r="P39" s="15">
        <f>ROUND(IF(Dados!$J$56="SIM",O39*Dados!$N$56,O39),2)</f>
        <v>5.8</v>
      </c>
      <c r="Q39" s="15">
        <f>ROUND(IF(Dados!$J$57="SIM",P39*Dados!$N$57,P39),2)</f>
        <v>5.8</v>
      </c>
      <c r="R39" s="15">
        <f>ROUND(IF(Dados!$J$58="SIM",Q39*Dados!$N$58,Q39),2)</f>
        <v>5.8</v>
      </c>
      <c r="S39" s="93">
        <f>ROUND(IF(Dados!$J$59="SIM",R39*Dados!$N$59,R39),2)</f>
        <v>5.8</v>
      </c>
    </row>
    <row r="40" spans="1:19" s="80" customFormat="1" ht="27.6" x14ac:dyDescent="0.3">
      <c r="A40" s="228">
        <v>33</v>
      </c>
      <c r="B40" s="229" t="s">
        <v>435</v>
      </c>
      <c r="C40" s="230" t="s">
        <v>60</v>
      </c>
      <c r="D40" s="230" t="s">
        <v>436</v>
      </c>
      <c r="E40" s="230">
        <v>1</v>
      </c>
      <c r="F40" s="231" t="s">
        <v>379</v>
      </c>
      <c r="G40" s="232">
        <v>148.99</v>
      </c>
      <c r="H40" s="233"/>
      <c r="I40" s="79"/>
      <c r="J40" s="230">
        <f>'Ocorrências Mensais - FAT'!G57</f>
        <v>8.3333333333333329E-2</v>
      </c>
      <c r="K40" s="234">
        <f t="shared" si="0"/>
        <v>12.415833333333333</v>
      </c>
      <c r="L40" s="15">
        <f t="shared" si="1"/>
        <v>12</v>
      </c>
      <c r="N40" s="235">
        <v>6</v>
      </c>
      <c r="O40" s="15">
        <f>ROUND(IF(Dados!$J$55="SIM",N40*Dados!$N$55,N40),2)</f>
        <v>6</v>
      </c>
      <c r="P40" s="15">
        <f>ROUND(IF(Dados!$J$56="SIM",O40*Dados!$N$56,O40),2)</f>
        <v>6</v>
      </c>
      <c r="Q40" s="15">
        <f>ROUND(IF(Dados!$J$57="SIM",P40*Dados!$N$57,P40),2)</f>
        <v>6</v>
      </c>
      <c r="R40" s="15">
        <f>ROUND(IF(Dados!$J$58="SIM",Q40*Dados!$N$58,Q40),2)</f>
        <v>6</v>
      </c>
      <c r="S40" s="93">
        <f>ROUND(IF(Dados!$J$59="SIM",R40*Dados!$N$59,R40),2)</f>
        <v>6</v>
      </c>
    </row>
    <row r="41" spans="1:19" ht="15.6" x14ac:dyDescent="0.3">
      <c r="A41" s="621"/>
      <c r="B41" s="621"/>
      <c r="C41" s="621"/>
      <c r="D41" s="621"/>
      <c r="E41" s="621"/>
      <c r="F41" s="621"/>
      <c r="G41" s="621"/>
      <c r="H41" s="236"/>
      <c r="I41" s="71"/>
      <c r="J41" s="237" t="s">
        <v>185</v>
      </c>
      <c r="K41" s="238">
        <f>SUM(K8:K40)</f>
        <v>1715.0933333333335</v>
      </c>
      <c r="N41" s="239"/>
      <c r="O41" s="75"/>
      <c r="P41" s="75"/>
      <c r="Q41" s="75"/>
      <c r="R41" s="75"/>
      <c r="S41" s="75"/>
    </row>
    <row r="42" spans="1:19" ht="31.2" x14ac:dyDescent="0.3">
      <c r="A42" s="240"/>
      <c r="H42" s="241"/>
      <c r="J42" s="242" t="s">
        <v>437</v>
      </c>
      <c r="K42" s="238">
        <f>Dados!B9+Dados!B8</f>
        <v>2</v>
      </c>
      <c r="N42" s="239"/>
      <c r="O42" s="75"/>
      <c r="P42" s="75"/>
      <c r="Q42" s="75"/>
      <c r="R42" s="75"/>
      <c r="S42" s="75"/>
    </row>
    <row r="43" spans="1:19" ht="15.6" x14ac:dyDescent="0.3">
      <c r="A43" s="240"/>
      <c r="H43" s="241"/>
      <c r="J43" s="242" t="s">
        <v>438</v>
      </c>
      <c r="K43" s="238">
        <f>K41/K42</f>
        <v>857.54666666666674</v>
      </c>
      <c r="N43" s="239"/>
      <c r="O43" s="75"/>
      <c r="P43" s="75"/>
      <c r="Q43" s="75"/>
      <c r="R43" s="75"/>
      <c r="S43" s="75"/>
    </row>
    <row r="44" spans="1:19" ht="17.399999999999999" customHeight="1" x14ac:dyDescent="0.3">
      <c r="A44" s="615" t="s">
        <v>439</v>
      </c>
      <c r="B44" s="615"/>
      <c r="C44" s="615"/>
      <c r="D44" s="615"/>
      <c r="E44" s="615"/>
      <c r="F44" s="615"/>
      <c r="G44" s="615"/>
      <c r="H44" s="615"/>
      <c r="I44" s="80"/>
      <c r="J44" s="80"/>
      <c r="L44" s="80"/>
      <c r="N44" s="564" t="s">
        <v>363</v>
      </c>
      <c r="O44" s="564"/>
      <c r="P44" s="564"/>
      <c r="Q44" s="564"/>
      <c r="R44" s="564"/>
      <c r="S44" s="564"/>
    </row>
    <row r="45" spans="1:19" x14ac:dyDescent="0.3">
      <c r="A45" s="243"/>
      <c r="B45" s="79"/>
      <c r="C45" s="79"/>
      <c r="D45" s="79"/>
      <c r="E45" s="79"/>
      <c r="F45" s="79"/>
      <c r="G45" s="79"/>
      <c r="H45" s="244"/>
      <c r="I45" s="80"/>
      <c r="J45" s="80"/>
      <c r="L45" s="80"/>
      <c r="N45" s="564"/>
      <c r="O45" s="564"/>
      <c r="P45" s="564"/>
      <c r="Q45" s="564"/>
      <c r="R45" s="564"/>
      <c r="S45" s="564"/>
    </row>
    <row r="46" spans="1:19" ht="14.25" customHeight="1" x14ac:dyDescent="0.3">
      <c r="A46" s="622" t="s">
        <v>54</v>
      </c>
      <c r="B46" s="618" t="s">
        <v>364</v>
      </c>
      <c r="C46" s="618"/>
      <c r="D46" s="618"/>
      <c r="E46" s="245"/>
      <c r="F46" s="245"/>
      <c r="G46" s="245"/>
      <c r="H46" s="623" t="s">
        <v>440</v>
      </c>
      <c r="I46" s="80"/>
      <c r="J46" s="620" t="s">
        <v>365</v>
      </c>
      <c r="K46" s="620"/>
      <c r="L46" s="620"/>
      <c r="N46" s="564"/>
      <c r="O46" s="564"/>
      <c r="P46" s="564"/>
      <c r="Q46" s="564"/>
      <c r="R46" s="564"/>
      <c r="S46" s="564"/>
    </row>
    <row r="47" spans="1:19" ht="41.4" x14ac:dyDescent="0.3">
      <c r="A47" s="622"/>
      <c r="B47" s="219" t="s">
        <v>59</v>
      </c>
      <c r="C47" s="222" t="s">
        <v>60</v>
      </c>
      <c r="D47" s="222" t="s">
        <v>441</v>
      </c>
      <c r="E47" s="223" t="s">
        <v>366</v>
      </c>
      <c r="F47" s="224" t="s">
        <v>66</v>
      </c>
      <c r="G47" s="222" t="s">
        <v>367</v>
      </c>
      <c r="H47" s="623"/>
      <c r="I47" s="80"/>
      <c r="J47" s="246" t="s">
        <v>64</v>
      </c>
      <c r="K47" s="246" t="s">
        <v>63</v>
      </c>
      <c r="L47" s="223" t="s">
        <v>368</v>
      </c>
      <c r="N47" s="225" t="s">
        <v>369</v>
      </c>
      <c r="O47" s="226" t="s">
        <v>270</v>
      </c>
      <c r="P47" s="226" t="s">
        <v>271</v>
      </c>
      <c r="Q47" s="226" t="s">
        <v>272</v>
      </c>
      <c r="R47" s="226" t="s">
        <v>273</v>
      </c>
      <c r="S47" s="227" t="s">
        <v>274</v>
      </c>
    </row>
    <row r="48" spans="1:19" ht="41.4" x14ac:dyDescent="0.3">
      <c r="A48" s="41">
        <v>1</v>
      </c>
      <c r="B48" s="247" t="s">
        <v>380</v>
      </c>
      <c r="C48" s="230" t="s">
        <v>442</v>
      </c>
      <c r="D48" s="248" t="s">
        <v>381</v>
      </c>
      <c r="E48" s="248">
        <v>1</v>
      </c>
      <c r="F48" s="248" t="s">
        <v>379</v>
      </c>
      <c r="G48" s="232">
        <v>10.41</v>
      </c>
      <c r="H48" s="249"/>
      <c r="I48" s="80"/>
      <c r="J48" s="230">
        <f>'Ocorrências Mensais - FAT'!G66</f>
        <v>8.3333333333333329E-2</v>
      </c>
      <c r="K48" s="234">
        <f t="shared" ref="K48:K56" si="2">G48*J48</f>
        <v>0.86749999999999994</v>
      </c>
      <c r="L48" s="15">
        <f t="shared" ref="L48:L56" si="3">IF(F48="MENSAL",1,IF(F48="BIMESTRAL",2,IF(F48="TRIMESTRAL",3,IF(F48="QUADRIMESTRAL",4,IF(F48="SEMESTRAL",6,IF(F48="ANUAL",12,IF(F48="BIENAL",24,"")))))))</f>
        <v>12</v>
      </c>
      <c r="N48" s="250">
        <v>3.1</v>
      </c>
      <c r="O48" s="15">
        <f>ROUND(IF(Dados!$J$55="SIM",N48*Dados!$N$55,N48),2)</f>
        <v>3.1</v>
      </c>
      <c r="P48" s="15">
        <f>ROUND(IF(Dados!$J$56="SIM",O48*Dados!$N$56,O48),2)</f>
        <v>3.1</v>
      </c>
      <c r="Q48" s="15">
        <f>ROUND(IF(Dados!$J$57="SIM",P48*Dados!$N$57,P48),2)</f>
        <v>3.1</v>
      </c>
      <c r="R48" s="15">
        <f>ROUND(IF(Dados!$J$58="SIM",Q48*Dados!$N$58,Q48),2)</f>
        <v>3.1</v>
      </c>
      <c r="S48" s="93">
        <f>ROUND(IF(Dados!$J$59="SIM",R48*Dados!$N$59,R48),2)</f>
        <v>3.1</v>
      </c>
    </row>
    <row r="49" spans="1:19" ht="55.2" x14ac:dyDescent="0.3">
      <c r="A49" s="41">
        <v>2</v>
      </c>
      <c r="B49" s="247" t="s">
        <v>387</v>
      </c>
      <c r="C49" s="230" t="s">
        <v>442</v>
      </c>
      <c r="D49" s="248" t="s">
        <v>388</v>
      </c>
      <c r="E49" s="248">
        <v>10</v>
      </c>
      <c r="F49" s="248" t="s">
        <v>373</v>
      </c>
      <c r="G49" s="232">
        <v>2.99</v>
      </c>
      <c r="H49" s="249"/>
      <c r="I49" s="80"/>
      <c r="J49" s="230">
        <f>'Ocorrências Mensais - FAT'!G67</f>
        <v>10</v>
      </c>
      <c r="K49" s="234">
        <f t="shared" si="2"/>
        <v>29.900000000000002</v>
      </c>
      <c r="L49" s="15">
        <f t="shared" si="3"/>
        <v>1</v>
      </c>
      <c r="N49" s="250">
        <v>4.04</v>
      </c>
      <c r="O49" s="15">
        <f>ROUND(IF(Dados!$J$55="SIM",N49*Dados!$N$55,N49),2)</f>
        <v>4.04</v>
      </c>
      <c r="P49" s="15">
        <f>ROUND(IF(Dados!$J$56="SIM",O49*Dados!$N$56,O49),2)</f>
        <v>4.04</v>
      </c>
      <c r="Q49" s="15">
        <f>ROUND(IF(Dados!$J$57="SIM",P49*Dados!$N$57,P49),2)</f>
        <v>4.04</v>
      </c>
      <c r="R49" s="15">
        <f>ROUND(IF(Dados!$J$58="SIM",Q49*Dados!$N$58,Q49),2)</f>
        <v>4.04</v>
      </c>
      <c r="S49" s="93">
        <f>ROUND(IF(Dados!$J$59="SIM",R49*Dados!$N$59,R49),2)</f>
        <v>4.04</v>
      </c>
    </row>
    <row r="50" spans="1:19" ht="63.75" customHeight="1" x14ac:dyDescent="0.3">
      <c r="A50" s="41">
        <v>3</v>
      </c>
      <c r="B50" s="247" t="s">
        <v>391</v>
      </c>
      <c r="C50" s="230" t="s">
        <v>392</v>
      </c>
      <c r="D50" s="248" t="s">
        <v>443</v>
      </c>
      <c r="E50" s="248">
        <v>5</v>
      </c>
      <c r="F50" s="248" t="s">
        <v>373</v>
      </c>
      <c r="G50" s="232">
        <v>6.4</v>
      </c>
      <c r="H50" s="249"/>
      <c r="I50" s="80"/>
      <c r="J50" s="230">
        <f>'Ocorrências Mensais - FAT'!G68</f>
        <v>5</v>
      </c>
      <c r="K50" s="234">
        <f t="shared" si="2"/>
        <v>32</v>
      </c>
      <c r="L50" s="15">
        <f t="shared" si="3"/>
        <v>1</v>
      </c>
      <c r="N50" s="250">
        <v>1.5</v>
      </c>
      <c r="O50" s="15">
        <f>ROUND(IF(Dados!$J$55="SIM",N50*Dados!$N$55,N50),2)</f>
        <v>1.5</v>
      </c>
      <c r="P50" s="15">
        <f>ROUND(IF(Dados!$J$56="SIM",O50*Dados!$N$56,O50),2)</f>
        <v>1.5</v>
      </c>
      <c r="Q50" s="15">
        <f>ROUND(IF(Dados!$J$57="SIM",P50*Dados!$N$57,P50),2)</f>
        <v>1.5</v>
      </c>
      <c r="R50" s="15">
        <f>ROUND(IF(Dados!$J$58="SIM",Q50*Dados!$N$58,Q50),2)</f>
        <v>1.5</v>
      </c>
      <c r="S50" s="93">
        <f>ROUND(IF(Dados!$J$59="SIM",R50*Dados!$N$59,R50),2)</f>
        <v>1.5</v>
      </c>
    </row>
    <row r="51" spans="1:19" ht="18" customHeight="1" x14ac:dyDescent="0.3">
      <c r="A51" s="41">
        <v>4</v>
      </c>
      <c r="B51" s="247" t="s">
        <v>444</v>
      </c>
      <c r="C51" s="230" t="s">
        <v>392</v>
      </c>
      <c r="D51" s="248"/>
      <c r="E51" s="248">
        <v>4</v>
      </c>
      <c r="F51" s="248" t="s">
        <v>373</v>
      </c>
      <c r="G51" s="232">
        <v>5.95</v>
      </c>
      <c r="H51" s="249"/>
      <c r="I51" s="80"/>
      <c r="J51" s="230">
        <f>'Ocorrências Mensais - FAT'!G69</f>
        <v>4</v>
      </c>
      <c r="K51" s="234">
        <f t="shared" si="2"/>
        <v>23.8</v>
      </c>
      <c r="L51" s="15">
        <f t="shared" si="3"/>
        <v>1</v>
      </c>
      <c r="N51" s="250">
        <v>1.2</v>
      </c>
      <c r="O51" s="15">
        <f>ROUND(IF(Dados!$J$55="SIM",N51*Dados!$N$55,N51),2)</f>
        <v>1.2</v>
      </c>
      <c r="P51" s="15">
        <f>ROUND(IF(Dados!$J$56="SIM",O51*Dados!$N$56,O51),2)</f>
        <v>1.2</v>
      </c>
      <c r="Q51" s="15">
        <f>ROUND(IF(Dados!$J$57="SIM",P51*Dados!$N$57,P51),2)</f>
        <v>1.2</v>
      </c>
      <c r="R51" s="15">
        <f>ROUND(IF(Dados!$J$58="SIM",Q51*Dados!$N$58,Q51),2)</f>
        <v>1.2</v>
      </c>
      <c r="S51" s="93">
        <f>ROUND(IF(Dados!$J$59="SIM",R51*Dados!$N$59,R51),2)</f>
        <v>1.2</v>
      </c>
    </row>
    <row r="52" spans="1:19" ht="69" x14ac:dyDescent="0.3">
      <c r="A52" s="41">
        <v>5</v>
      </c>
      <c r="B52" s="247" t="s">
        <v>403</v>
      </c>
      <c r="C52" s="230" t="s">
        <v>445</v>
      </c>
      <c r="D52" s="248" t="s">
        <v>399</v>
      </c>
      <c r="E52" s="248">
        <v>2</v>
      </c>
      <c r="F52" s="248" t="s">
        <v>373</v>
      </c>
      <c r="G52" s="232">
        <v>5.08</v>
      </c>
      <c r="H52" s="249"/>
      <c r="I52" s="80"/>
      <c r="J52" s="230">
        <f>'Ocorrências Mensais - FAT'!G70</f>
        <v>2</v>
      </c>
      <c r="K52" s="234">
        <f t="shared" si="2"/>
        <v>10.16</v>
      </c>
      <c r="L52" s="15">
        <f t="shared" si="3"/>
        <v>1</v>
      </c>
      <c r="N52" s="250">
        <v>1.5</v>
      </c>
      <c r="O52" s="15">
        <f>ROUND(IF(Dados!$J$55="SIM",N52*Dados!$N$55,N52),2)</f>
        <v>1.5</v>
      </c>
      <c r="P52" s="15">
        <f>ROUND(IF(Dados!$J$56="SIM",O52*Dados!$N$56,O52),2)</f>
        <v>1.5</v>
      </c>
      <c r="Q52" s="15">
        <f>ROUND(IF(Dados!$J$57="SIM",P52*Dados!$N$57,P52),2)</f>
        <v>1.5</v>
      </c>
      <c r="R52" s="15">
        <f>ROUND(IF(Dados!$J$58="SIM",Q52*Dados!$N$58,Q52),2)</f>
        <v>1.5</v>
      </c>
      <c r="S52" s="93">
        <f>ROUND(IF(Dados!$J$59="SIM",R52*Dados!$N$59,R52),2)</f>
        <v>1.5</v>
      </c>
    </row>
    <row r="53" spans="1:19" x14ac:dyDescent="0.3">
      <c r="A53" s="41">
        <v>6</v>
      </c>
      <c r="B53" s="247" t="s">
        <v>405</v>
      </c>
      <c r="C53" s="230" t="s">
        <v>442</v>
      </c>
      <c r="D53" s="248" t="s">
        <v>406</v>
      </c>
      <c r="E53" s="248">
        <v>6</v>
      </c>
      <c r="F53" s="248" t="s">
        <v>418</v>
      </c>
      <c r="G53" s="232">
        <v>10</v>
      </c>
      <c r="H53" s="249"/>
      <c r="I53" s="80"/>
      <c r="J53" s="230">
        <f>'Ocorrências Mensais - FAT'!G71</f>
        <v>3</v>
      </c>
      <c r="K53" s="234">
        <f t="shared" si="2"/>
        <v>30</v>
      </c>
      <c r="L53" s="15">
        <f t="shared" si="3"/>
        <v>2</v>
      </c>
      <c r="N53" s="250">
        <v>1.6</v>
      </c>
      <c r="O53" s="15">
        <f>ROUND(IF(Dados!$J$55="SIM",N53*Dados!$N$55,N53),2)</f>
        <v>1.6</v>
      </c>
      <c r="P53" s="15">
        <f>ROUND(IF(Dados!$J$56="SIM",O53*Dados!$N$56,O53),2)</f>
        <v>1.6</v>
      </c>
      <c r="Q53" s="15">
        <f>ROUND(IF(Dados!$J$57="SIM",P53*Dados!$N$57,P53),2)</f>
        <v>1.6</v>
      </c>
      <c r="R53" s="15">
        <f>ROUND(IF(Dados!$J$58="SIM",Q53*Dados!$N$58,Q53),2)</f>
        <v>1.6</v>
      </c>
      <c r="S53" s="93">
        <f>ROUND(IF(Dados!$J$59="SIM",R53*Dados!$N$59,R53),2)</f>
        <v>1.6</v>
      </c>
    </row>
    <row r="54" spans="1:19" ht="86.4" x14ac:dyDescent="0.3">
      <c r="A54" s="41">
        <v>7</v>
      </c>
      <c r="B54" s="251" t="s">
        <v>446</v>
      </c>
      <c r="C54" s="230" t="s">
        <v>442</v>
      </c>
      <c r="D54" s="230" t="s">
        <v>447</v>
      </c>
      <c r="E54" s="41">
        <v>1</v>
      </c>
      <c r="F54" s="230" t="s">
        <v>373</v>
      </c>
      <c r="G54" s="252">
        <v>19.170000000000002</v>
      </c>
      <c r="H54" s="249"/>
      <c r="I54" s="80"/>
      <c r="J54" s="230">
        <f>'Ocorrências Mensais - FAT'!G72</f>
        <v>1</v>
      </c>
      <c r="K54" s="234">
        <f t="shared" si="2"/>
        <v>19.170000000000002</v>
      </c>
      <c r="L54" s="15">
        <f t="shared" si="3"/>
        <v>1</v>
      </c>
      <c r="N54" s="250">
        <v>1.3</v>
      </c>
      <c r="O54" s="15">
        <f>ROUND(IF(Dados!$J$55="SIM",N54*Dados!$N$55,N54),2)</f>
        <v>1.3</v>
      </c>
      <c r="P54" s="15">
        <f>ROUND(IF(Dados!$J$56="SIM",O54*Dados!$N$56,O54),2)</f>
        <v>1.3</v>
      </c>
      <c r="Q54" s="15">
        <f>ROUND(IF(Dados!$J$57="SIM",P54*Dados!$N$57,P54),2)</f>
        <v>1.3</v>
      </c>
      <c r="R54" s="15">
        <f>ROUND(IF(Dados!$J$58="SIM",Q54*Dados!$N$58,Q54),2)</f>
        <v>1.3</v>
      </c>
      <c r="S54" s="93">
        <f>ROUND(IF(Dados!$J$59="SIM",R54*Dados!$N$59,R54),2)</f>
        <v>1.3</v>
      </c>
    </row>
    <row r="55" spans="1:19" ht="129.6" x14ac:dyDescent="0.3">
      <c r="A55" s="41">
        <v>8</v>
      </c>
      <c r="B55" s="251" t="s">
        <v>448</v>
      </c>
      <c r="C55" s="230" t="s">
        <v>442</v>
      </c>
      <c r="D55" s="230" t="s">
        <v>449</v>
      </c>
      <c r="E55" s="41">
        <v>1</v>
      </c>
      <c r="F55" s="230" t="s">
        <v>450</v>
      </c>
      <c r="G55" s="252">
        <v>7.92</v>
      </c>
      <c r="H55" s="249"/>
      <c r="I55" s="80"/>
      <c r="J55" s="230">
        <f>'Ocorrências Mensais - FAT'!G73</f>
        <v>0.33333333333333331</v>
      </c>
      <c r="K55" s="234">
        <f t="shared" si="2"/>
        <v>2.6399999999999997</v>
      </c>
      <c r="L55" s="15">
        <f t="shared" si="3"/>
        <v>3</v>
      </c>
      <c r="N55" s="250">
        <v>1.2</v>
      </c>
      <c r="O55" s="15">
        <f>ROUND(IF(Dados!$J$55="SIM",N55*Dados!$N$55,N55),2)</f>
        <v>1.2</v>
      </c>
      <c r="P55" s="15">
        <f>ROUND(IF(Dados!$J$56="SIM",O55*Dados!$N$56,O55),2)</f>
        <v>1.2</v>
      </c>
      <c r="Q55" s="15">
        <f>ROUND(IF(Dados!$J$57="SIM",P55*Dados!$N$57,P55),2)</f>
        <v>1.2</v>
      </c>
      <c r="R55" s="15">
        <f>ROUND(IF(Dados!$J$58="SIM",Q55*Dados!$N$58,Q55),2)</f>
        <v>1.2</v>
      </c>
      <c r="S55" s="93">
        <f>ROUND(IF(Dados!$J$59="SIM",R55*Dados!$N$59,R55),2)</f>
        <v>1.2</v>
      </c>
    </row>
    <row r="56" spans="1:19" ht="144" x14ac:dyDescent="0.3">
      <c r="A56" s="41">
        <v>9</v>
      </c>
      <c r="B56" s="251" t="s">
        <v>451</v>
      </c>
      <c r="C56" s="230" t="s">
        <v>442</v>
      </c>
      <c r="D56" s="230" t="s">
        <v>452</v>
      </c>
      <c r="E56" s="41">
        <v>3</v>
      </c>
      <c r="F56" s="230" t="s">
        <v>373</v>
      </c>
      <c r="G56" s="252">
        <v>29.53</v>
      </c>
      <c r="H56" s="249"/>
      <c r="I56" s="80"/>
      <c r="J56" s="230">
        <f>'Ocorrências Mensais - FAT'!G74</f>
        <v>3</v>
      </c>
      <c r="K56" s="234">
        <f t="shared" si="2"/>
        <v>88.59</v>
      </c>
      <c r="L56" s="15">
        <f t="shared" si="3"/>
        <v>1</v>
      </c>
      <c r="N56" s="250">
        <v>1.4</v>
      </c>
      <c r="O56" s="15">
        <f>ROUND(IF(Dados!$J$55="SIM",N56*Dados!$N$55,N56),2)</f>
        <v>1.4</v>
      </c>
      <c r="P56" s="15">
        <f>ROUND(IF(Dados!$J$56="SIM",O56*Dados!$N$56,O56),2)</f>
        <v>1.4</v>
      </c>
      <c r="Q56" s="15">
        <f>ROUND(IF(Dados!$J$57="SIM",P56*Dados!$N$57,P56),2)</f>
        <v>1.4</v>
      </c>
      <c r="R56" s="15">
        <f>ROUND(IF(Dados!$J$58="SIM",Q56*Dados!$N$58,Q56),2)</f>
        <v>1.4</v>
      </c>
      <c r="S56" s="93">
        <f>ROUND(IF(Dados!$J$59="SIM",R56*Dados!$N$59,R56),2)</f>
        <v>1.4</v>
      </c>
    </row>
    <row r="57" spans="1:19" ht="15.6" x14ac:dyDescent="0.3">
      <c r="A57" s="621"/>
      <c r="B57" s="621"/>
      <c r="C57" s="621"/>
      <c r="D57" s="621"/>
      <c r="E57" s="621"/>
      <c r="F57" s="621"/>
      <c r="G57" s="621"/>
      <c r="H57" s="253"/>
      <c r="I57" s="80"/>
      <c r="J57" s="254" t="s">
        <v>185</v>
      </c>
      <c r="K57" s="255">
        <f>SUM(K48:K56)</f>
        <v>237.12749999999997</v>
      </c>
      <c r="L57" s="80"/>
      <c r="N57" s="6"/>
      <c r="O57" s="6"/>
      <c r="P57" s="6"/>
      <c r="Q57" s="6"/>
      <c r="R57" s="6"/>
      <c r="S57" s="6"/>
    </row>
    <row r="58" spans="1:19" ht="31.2" x14ac:dyDescent="0.3">
      <c r="A58" s="240"/>
      <c r="J58" s="242" t="s">
        <v>437</v>
      </c>
      <c r="K58" s="238">
        <f>Dados!B8</f>
        <v>1</v>
      </c>
      <c r="N58" s="6"/>
      <c r="O58" s="6"/>
      <c r="P58" s="6"/>
      <c r="Q58" s="6"/>
      <c r="R58" s="6"/>
      <c r="S58" s="6"/>
    </row>
    <row r="59" spans="1:19" ht="15.6" x14ac:dyDescent="0.3">
      <c r="J59" s="242" t="s">
        <v>438</v>
      </c>
      <c r="K59" s="238">
        <f>K57/K58</f>
        <v>237.12749999999997</v>
      </c>
    </row>
  </sheetData>
  <mergeCells count="15">
    <mergeCell ref="A57:G57"/>
    <mergeCell ref="A41:G41"/>
    <mergeCell ref="A44:H44"/>
    <mergeCell ref="N44:S46"/>
    <mergeCell ref="A46:A47"/>
    <mergeCell ref="B46:D46"/>
    <mergeCell ref="H46:H47"/>
    <mergeCell ref="J46:L46"/>
    <mergeCell ref="A4:H4"/>
    <mergeCell ref="A5:H5"/>
    <mergeCell ref="N5:S6"/>
    <mergeCell ref="A6:A7"/>
    <mergeCell ref="B6:G6"/>
    <mergeCell ref="H6:H7"/>
    <mergeCell ref="J6:L6"/>
  </mergeCells>
  <dataValidations count="1">
    <dataValidation type="list" allowBlank="1" showInputMessage="1" showErrorMessage="1" sqref="F8:F40 F48:F56"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1" fitToHeight="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showGridLines="0" view="pageBreakPreview" zoomScale="60" zoomScaleNormal="85" workbookViewId="0"/>
  </sheetViews>
  <sheetFormatPr defaultColWidth="8.6640625" defaultRowHeight="14.4" x14ac:dyDescent="0.3"/>
  <cols>
    <col min="1" max="1" width="5.5546875" style="80" customWidth="1"/>
    <col min="2" max="2" width="64.6640625" style="80" customWidth="1"/>
    <col min="3" max="3" width="7.88671875" style="80" customWidth="1"/>
    <col min="4" max="7" width="13.6640625" style="80" customWidth="1"/>
    <col min="8" max="256" width="9" customWidth="1"/>
    <col min="257" max="257" width="5.5546875" customWidth="1"/>
    <col min="258" max="258" width="45.109375" customWidth="1"/>
    <col min="259" max="259" width="6.33203125" customWidth="1"/>
    <col min="260" max="263" width="13.6640625" customWidth="1"/>
    <col min="264" max="512" width="9" customWidth="1"/>
    <col min="513" max="513" width="5.5546875" customWidth="1"/>
    <col min="514" max="514" width="45.109375" customWidth="1"/>
    <col min="515" max="515" width="6.33203125" customWidth="1"/>
    <col min="516" max="519" width="13.6640625" customWidth="1"/>
    <col min="520" max="768" width="9" customWidth="1"/>
    <col min="769" max="769" width="5.5546875" customWidth="1"/>
    <col min="770" max="770" width="45.109375" customWidth="1"/>
    <col min="771" max="771" width="6.33203125" customWidth="1"/>
    <col min="772" max="775" width="13.6640625" customWidth="1"/>
    <col min="776" max="1025" width="9" customWidth="1"/>
  </cols>
  <sheetData>
    <row r="1" spans="1:7" s="80" customFormat="1" ht="11.25" customHeight="1" x14ac:dyDescent="0.3">
      <c r="A1" s="168"/>
      <c r="B1" s="107" t="str">
        <f>INSTRUÇÕES!B1</f>
        <v>Tribunal Regional Federal da 6ª Região</v>
      </c>
      <c r="C1" s="256"/>
      <c r="D1" s="257"/>
      <c r="E1" s="257"/>
      <c r="F1" s="257"/>
      <c r="G1" s="258"/>
    </row>
    <row r="2" spans="1:7" s="80" customFormat="1" ht="11.25" customHeight="1" x14ac:dyDescent="0.3">
      <c r="A2" s="170"/>
      <c r="B2" s="109" t="str">
        <f>INSTRUÇÕES!B2</f>
        <v>Seção Judiciária de Minas Gerais</v>
      </c>
      <c r="C2" s="259"/>
      <c r="D2" s="260"/>
      <c r="E2" s="260"/>
      <c r="F2" s="260"/>
      <c r="G2" s="261"/>
    </row>
    <row r="3" spans="1:7" s="80" customFormat="1" ht="10.5" customHeight="1" x14ac:dyDescent="0.3">
      <c r="A3" s="172"/>
      <c r="B3" s="109" t="str">
        <f>INSTRUÇÕES!B3</f>
        <v>Subseção Judiciária de Viçosa</v>
      </c>
      <c r="C3" s="259"/>
      <c r="D3" s="260"/>
      <c r="E3" s="260"/>
      <c r="F3" s="260"/>
      <c r="G3" s="261"/>
    </row>
    <row r="4" spans="1:7" s="80" customFormat="1" ht="21.75" customHeight="1" x14ac:dyDescent="0.3">
      <c r="A4" s="625" t="s">
        <v>453</v>
      </c>
      <c r="B4" s="625"/>
      <c r="C4" s="625"/>
      <c r="D4" s="625"/>
      <c r="E4" s="625"/>
      <c r="F4" s="625"/>
      <c r="G4" s="625"/>
    </row>
    <row r="5" spans="1:7" s="80" customFormat="1" ht="26.25" customHeight="1" x14ac:dyDescent="0.3">
      <c r="A5" s="626" t="s">
        <v>362</v>
      </c>
      <c r="B5" s="626"/>
      <c r="C5" s="626"/>
      <c r="D5" s="626"/>
      <c r="E5" s="626"/>
      <c r="F5" s="626"/>
      <c r="G5" s="626"/>
    </row>
    <row r="6" spans="1:7" s="80" customFormat="1" ht="15.6" x14ac:dyDescent="0.3">
      <c r="A6" s="262"/>
      <c r="B6" s="110"/>
      <c r="C6" s="110"/>
      <c r="D6" s="110" t="s">
        <v>454</v>
      </c>
      <c r="E6" s="110"/>
      <c r="G6" s="263">
        <v>0.1</v>
      </c>
    </row>
    <row r="7" spans="1:7" s="80" customFormat="1" ht="27.6" x14ac:dyDescent="0.3">
      <c r="A7" s="264" t="s">
        <v>455</v>
      </c>
      <c r="B7" s="219" t="s">
        <v>456</v>
      </c>
      <c r="C7" s="219" t="s">
        <v>457</v>
      </c>
      <c r="D7" s="265" t="s">
        <v>458</v>
      </c>
      <c r="E7" s="265" t="s">
        <v>459</v>
      </c>
      <c r="F7" s="265" t="s">
        <v>460</v>
      </c>
      <c r="G7" s="266" t="s">
        <v>461</v>
      </c>
    </row>
    <row r="8" spans="1:7" s="80" customFormat="1" ht="13.8" x14ac:dyDescent="0.3">
      <c r="A8" s="572" t="s">
        <v>462</v>
      </c>
      <c r="B8" s="572"/>
      <c r="C8" s="572"/>
      <c r="D8" s="572"/>
      <c r="E8" s="572"/>
      <c r="F8" s="572"/>
      <c r="G8" s="572"/>
    </row>
    <row r="9" spans="1:7" s="80" customFormat="1" ht="39" customHeight="1" x14ac:dyDescent="0.3">
      <c r="A9" s="267">
        <v>1</v>
      </c>
      <c r="B9" s="268" t="s">
        <v>463</v>
      </c>
      <c r="C9" s="269">
        <v>1</v>
      </c>
      <c r="D9" s="270">
        <v>196.5</v>
      </c>
      <c r="E9" s="271">
        <f>ROUND((D9*C9),2)</f>
        <v>196.5</v>
      </c>
      <c r="F9" s="271">
        <f>ROUND(E9*$G$6,2)</f>
        <v>19.649999999999999</v>
      </c>
      <c r="G9" s="272">
        <f>ROUND(F9/12,2)</f>
        <v>1.64</v>
      </c>
    </row>
    <row r="10" spans="1:7" s="80" customFormat="1" ht="55.2" x14ac:dyDescent="0.3">
      <c r="A10" s="267">
        <v>2</v>
      </c>
      <c r="B10" s="268" t="s">
        <v>464</v>
      </c>
      <c r="C10" s="269">
        <v>1</v>
      </c>
      <c r="D10" s="270">
        <v>404.5</v>
      </c>
      <c r="E10" s="271">
        <f>ROUND((D10*C10),2)</f>
        <v>404.5</v>
      </c>
      <c r="F10" s="271">
        <f>ROUND(E10*$G$6,2)</f>
        <v>40.450000000000003</v>
      </c>
      <c r="G10" s="272">
        <f>ROUND(F10/12,2)</f>
        <v>3.37</v>
      </c>
    </row>
    <row r="11" spans="1:7" s="80" customFormat="1" ht="45" customHeight="1" x14ac:dyDescent="0.3">
      <c r="A11" s="267">
        <v>3</v>
      </c>
      <c r="B11" s="273" t="s">
        <v>465</v>
      </c>
      <c r="C11" s="269">
        <v>1</v>
      </c>
      <c r="D11" s="270">
        <v>598.49</v>
      </c>
      <c r="E11" s="271">
        <f>ROUND((D11*C11),2)</f>
        <v>598.49</v>
      </c>
      <c r="F11" s="271">
        <f>ROUND(E11*$G$6,2)</f>
        <v>59.85</v>
      </c>
      <c r="G11" s="272">
        <f>ROUND(F11/12,2)</f>
        <v>4.99</v>
      </c>
    </row>
    <row r="12" spans="1:7" s="80" customFormat="1" ht="155.25" customHeight="1" x14ac:dyDescent="0.3">
      <c r="A12" s="267">
        <v>4</v>
      </c>
      <c r="B12" s="274" t="s">
        <v>466</v>
      </c>
      <c r="C12" s="269">
        <v>1</v>
      </c>
      <c r="D12" s="275">
        <v>712.7</v>
      </c>
      <c r="E12" s="271">
        <f>ROUND((D12*C12),2)</f>
        <v>712.7</v>
      </c>
      <c r="F12" s="271">
        <f>ROUND(E12*$G$6,2)</f>
        <v>71.27</v>
      </c>
      <c r="G12" s="272">
        <f>ROUND(F12/12,2)</f>
        <v>5.94</v>
      </c>
    </row>
    <row r="13" spans="1:7" s="80" customFormat="1" ht="14.25" customHeight="1" x14ac:dyDescent="0.3">
      <c r="A13" s="624" t="s">
        <v>467</v>
      </c>
      <c r="B13" s="624"/>
      <c r="C13" s="624"/>
      <c r="D13" s="624"/>
      <c r="E13" s="624"/>
      <c r="F13" s="624"/>
      <c r="G13" s="276">
        <f>SUM(G9:G12)</f>
        <v>15.940000000000001</v>
      </c>
    </row>
    <row r="14" spans="1:7" s="80" customFormat="1" ht="14.25" customHeight="1" x14ac:dyDescent="0.3">
      <c r="A14" s="624" t="s">
        <v>468</v>
      </c>
      <c r="B14" s="624"/>
      <c r="C14" s="624"/>
      <c r="D14" s="624"/>
      <c r="E14" s="624"/>
      <c r="F14" s="624"/>
      <c r="G14" s="276">
        <f>Dados!B8+Dados!B9</f>
        <v>2</v>
      </c>
    </row>
    <row r="15" spans="1:7" s="80" customFormat="1" ht="15.75" customHeight="1" x14ac:dyDescent="0.3">
      <c r="A15" s="624" t="s">
        <v>467</v>
      </c>
      <c r="B15" s="624"/>
      <c r="C15" s="624"/>
      <c r="D15" s="624"/>
      <c r="E15" s="624"/>
      <c r="F15" s="624"/>
      <c r="G15" s="277">
        <f>G13/G14</f>
        <v>7.9700000000000006</v>
      </c>
    </row>
  </sheetData>
  <sheetProtection algorithmName="SHA-512" hashValue="MLOH//xmtbOHdXwYDvvJ4MW27hvTOszhZYr4t6FgtJoeOnTIhltU/R2CjDTfVYXDjapHlS63WaenwIwo0nPmfQ==" saltValue="hFu3auVjP4/uL1nnp+rxEA==" spinCount="100000" sheet="1" objects="1" scenarios="1"/>
  <mergeCells count="6">
    <mergeCell ref="A15:F15"/>
    <mergeCell ref="A4:G4"/>
    <mergeCell ref="A5:G5"/>
    <mergeCell ref="A8:G8"/>
    <mergeCell ref="A13:F13"/>
    <mergeCell ref="A14:F14"/>
  </mergeCells>
  <printOptions horizontalCentered="1" verticalCentered="1"/>
  <pageMargins left="0.51180555555555596" right="0.51180555555555596" top="0.78749999999999998" bottom="0.78749999999999998" header="0.511811023622047" footer="0.511811023622047"/>
  <pageSetup paperSize="9" scale="65" fitToHeight="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1"/>
  <sheetViews>
    <sheetView showGridLines="0" view="pageBreakPreview" zoomScale="60" zoomScaleNormal="100" workbookViewId="0"/>
  </sheetViews>
  <sheetFormatPr defaultColWidth="8.6640625" defaultRowHeight="14.4" x14ac:dyDescent="0.3"/>
  <cols>
    <col min="1" max="1" width="5.5546875" style="80" customWidth="1"/>
    <col min="2" max="2" width="64.6640625" style="80" customWidth="1"/>
    <col min="3" max="3" width="7.88671875" style="80" customWidth="1"/>
    <col min="4" max="6" width="13.6640625" style="80" customWidth="1"/>
    <col min="7" max="255" width="9" customWidth="1"/>
    <col min="256" max="256" width="5.5546875" customWidth="1"/>
    <col min="257" max="257" width="45.109375" customWidth="1"/>
    <col min="258" max="258" width="6.33203125" customWidth="1"/>
    <col min="259" max="262" width="13.6640625" customWidth="1"/>
    <col min="263" max="511" width="9" customWidth="1"/>
    <col min="512" max="512" width="5.5546875" customWidth="1"/>
    <col min="513" max="513" width="45.109375" customWidth="1"/>
    <col min="514" max="514" width="6.33203125" customWidth="1"/>
    <col min="515" max="518" width="13.6640625" customWidth="1"/>
    <col min="519" max="767" width="9" customWidth="1"/>
    <col min="768" max="768" width="5.5546875" customWidth="1"/>
    <col min="769" max="769" width="45.109375" customWidth="1"/>
    <col min="770" max="770" width="6.33203125" customWidth="1"/>
    <col min="771" max="774" width="13.6640625" customWidth="1"/>
    <col min="775" max="1024" width="9" customWidth="1"/>
  </cols>
  <sheetData>
    <row r="1" spans="1:6" s="80" customFormat="1" ht="11.25" customHeight="1" x14ac:dyDescent="0.3">
      <c r="A1" s="168"/>
      <c r="B1" s="278" t="str">
        <f>INSTRUÇÕES!B1</f>
        <v>Tribunal Regional Federal da 6ª Região</v>
      </c>
      <c r="C1" s="256"/>
      <c r="D1" s="257"/>
      <c r="E1" s="257"/>
      <c r="F1" s="258"/>
    </row>
    <row r="2" spans="1:6" s="80" customFormat="1" ht="11.25" customHeight="1" x14ac:dyDescent="0.3">
      <c r="A2" s="170"/>
      <c r="B2" s="279" t="str">
        <f>INSTRUÇÕES!B2</f>
        <v>Seção Judiciária de Minas Gerais</v>
      </c>
      <c r="C2" s="259"/>
      <c r="D2" s="260"/>
      <c r="E2" s="260"/>
      <c r="F2" s="261"/>
    </row>
    <row r="3" spans="1:6" s="80" customFormat="1" ht="10.5" customHeight="1" x14ac:dyDescent="0.3">
      <c r="A3" s="172"/>
      <c r="B3" s="280" t="str">
        <f>INSTRUÇÕES!B3</f>
        <v>Subseção Judiciária de Viçosa</v>
      </c>
      <c r="C3" s="259"/>
      <c r="D3" s="260"/>
      <c r="E3" s="260"/>
      <c r="F3" s="261"/>
    </row>
    <row r="4" spans="1:6" s="80" customFormat="1" ht="21.75" customHeight="1" x14ac:dyDescent="0.3">
      <c r="A4" s="625" t="s">
        <v>469</v>
      </c>
      <c r="B4" s="625"/>
      <c r="C4" s="625"/>
      <c r="D4" s="625"/>
      <c r="E4" s="625"/>
      <c r="F4" s="625"/>
    </row>
    <row r="5" spans="1:6" s="80" customFormat="1" ht="26.25" customHeight="1" x14ac:dyDescent="0.3">
      <c r="A5" s="626" t="s">
        <v>362</v>
      </c>
      <c r="B5" s="626"/>
      <c r="C5" s="626"/>
      <c r="D5" s="626"/>
      <c r="E5" s="626"/>
      <c r="F5" s="626"/>
    </row>
    <row r="6" spans="1:6" s="80" customFormat="1" ht="15.6" x14ac:dyDescent="0.3">
      <c r="A6" s="262"/>
      <c r="B6" s="110"/>
      <c r="C6" s="110"/>
      <c r="D6" s="110" t="s">
        <v>454</v>
      </c>
      <c r="E6" s="110"/>
      <c r="F6" s="263"/>
    </row>
    <row r="7" spans="1:6" s="80" customFormat="1" ht="27.6" x14ac:dyDescent="0.3">
      <c r="A7" s="264" t="s">
        <v>455</v>
      </c>
      <c r="B7" s="219" t="s">
        <v>456</v>
      </c>
      <c r="C7" s="219" t="s">
        <v>457</v>
      </c>
      <c r="D7" s="265" t="s">
        <v>458</v>
      </c>
      <c r="E7" s="265" t="s">
        <v>459</v>
      </c>
      <c r="F7" s="266" t="s">
        <v>461</v>
      </c>
    </row>
    <row r="8" spans="1:6" s="80" customFormat="1" ht="41.4" x14ac:dyDescent="0.3">
      <c r="A8" s="281">
        <v>1</v>
      </c>
      <c r="B8" s="282" t="s">
        <v>470</v>
      </c>
      <c r="C8" s="269">
        <v>2</v>
      </c>
      <c r="D8" s="283">
        <v>59.29</v>
      </c>
      <c r="E8" s="284">
        <f>ROUND((D8*C8),2)</f>
        <v>118.58</v>
      </c>
      <c r="F8" s="276">
        <f>ROUND(E8/12,2)</f>
        <v>9.8800000000000008</v>
      </c>
    </row>
    <row r="9" spans="1:6" s="80" customFormat="1" ht="15.75" customHeight="1" x14ac:dyDescent="0.3">
      <c r="A9" s="627" t="s">
        <v>471</v>
      </c>
      <c r="B9" s="627"/>
      <c r="C9" s="627"/>
      <c r="D9" s="627"/>
      <c r="E9" s="627"/>
      <c r="F9" s="285">
        <f>F8</f>
        <v>9.8800000000000008</v>
      </c>
    </row>
    <row r="10" spans="1:6" ht="14.25" customHeight="1" x14ac:dyDescent="0.3">
      <c r="A10" s="628" t="s">
        <v>472</v>
      </c>
      <c r="B10" s="628"/>
      <c r="C10" s="628"/>
      <c r="D10" s="628"/>
      <c r="E10" s="628"/>
      <c r="F10" s="286">
        <f>Dados!B8+Dados!B9</f>
        <v>2</v>
      </c>
    </row>
    <row r="11" spans="1:6" ht="14.25" customHeight="1" x14ac:dyDescent="0.3">
      <c r="A11" s="629" t="s">
        <v>473</v>
      </c>
      <c r="B11" s="629"/>
      <c r="C11" s="629"/>
      <c r="D11" s="629"/>
      <c r="E11" s="629"/>
      <c r="F11" s="287">
        <f>F9/F10</f>
        <v>4.9400000000000004</v>
      </c>
    </row>
  </sheetData>
  <sheetProtection algorithmName="SHA-512" hashValue="qpXDKJ0/xlUAGgzmeXUKOP7E+Cjod4Rqw80HkbpAun6QvzzoKIpqTvUgeUT3GGZqpEW80dRSxcGbH1QG3bFtFw==" saltValue="geH/V+l99VGX9N9sRbaBVA==" spinCount="100000" sheet="1" objects="1" scenarios="1"/>
  <mergeCells count="5">
    <mergeCell ref="A4:F4"/>
    <mergeCell ref="A5:F5"/>
    <mergeCell ref="A9:E9"/>
    <mergeCell ref="A10:E10"/>
    <mergeCell ref="A11:E11"/>
  </mergeCells>
  <printOptions horizontalCentered="1" verticalCentered="1"/>
  <pageMargins left="0.51180555555555596" right="0.51180555555555596" top="0.78749999999999998" bottom="0.78749999999999998" header="0.511811023622047" footer="0.511811023622047"/>
  <pageSetup paperSize="9" scale="77" fitToHeight="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6"/>
  <sheetViews>
    <sheetView showGridLines="0" view="pageBreakPreview" topLeftCell="C18" zoomScale="115" zoomScaleNormal="100" zoomScaleSheetLayoutView="115" workbookViewId="0">
      <selection activeCell="C23" sqref="A23:XFD23"/>
    </sheetView>
  </sheetViews>
  <sheetFormatPr defaultColWidth="8.6640625" defaultRowHeight="14.4" x14ac:dyDescent="0.3"/>
  <cols>
    <col min="1" max="1" width="13.33203125" style="6" customWidth="1"/>
    <col min="2" max="2" width="10.33203125" style="5" customWidth="1"/>
    <col min="3" max="3" width="7.33203125" style="288" customWidth="1"/>
    <col min="4" max="4" width="56.109375" style="4" customWidth="1"/>
    <col min="5" max="5" width="9.33203125" style="4" customWidth="1"/>
    <col min="6" max="6" width="14.88671875" style="288" customWidth="1"/>
    <col min="7" max="7" width="12.44140625" style="289" customWidth="1"/>
    <col min="8" max="8" width="10.88671875" style="290" customWidth="1"/>
    <col min="9" max="9" width="9" customWidth="1"/>
    <col min="10" max="10" width="16.44140625" style="291" hidden="1" customWidth="1"/>
    <col min="11" max="15" width="11.33203125" style="291" hidden="1" customWidth="1"/>
    <col min="16"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4" customFormat="1" ht="12.75" customHeight="1" x14ac:dyDescent="0.3">
      <c r="A1" s="292"/>
      <c r="B1" s="278" t="str">
        <f>INSTRUÇÕES!B1</f>
        <v>Tribunal Regional Federal da 6ª Região</v>
      </c>
      <c r="C1" s="293"/>
      <c r="D1" s="294"/>
      <c r="E1" s="295"/>
      <c r="F1" s="296"/>
      <c r="G1" s="297"/>
      <c r="H1" s="298"/>
      <c r="J1" s="631" t="s">
        <v>363</v>
      </c>
      <c r="K1" s="631"/>
      <c r="L1" s="631"/>
      <c r="M1" s="631"/>
      <c r="N1" s="631"/>
      <c r="O1" s="631"/>
    </row>
    <row r="2" spans="1:16" s="4" customFormat="1" ht="12.75" customHeight="1" x14ac:dyDescent="0.3">
      <c r="A2" s="299"/>
      <c r="B2" s="279" t="str">
        <f>INSTRUÇÕES!B2</f>
        <v>Seção Judiciária de Minas Gerais</v>
      </c>
      <c r="C2" s="300"/>
      <c r="D2" s="301"/>
      <c r="F2" s="288"/>
      <c r="G2" s="289"/>
      <c r="H2" s="302"/>
      <c r="J2" s="631"/>
      <c r="K2" s="631"/>
      <c r="L2" s="631"/>
      <c r="M2" s="631"/>
      <c r="N2" s="631"/>
      <c r="O2" s="631"/>
    </row>
    <row r="3" spans="1:16" s="125" customFormat="1" x14ac:dyDescent="0.3">
      <c r="A3" s="299"/>
      <c r="B3" s="280" t="str">
        <f>INSTRUÇÕES!B3</f>
        <v>Subseção Judiciária de Viçosa</v>
      </c>
      <c r="C3" s="303"/>
      <c r="D3" s="304"/>
      <c r="F3" s="305"/>
      <c r="G3" s="306"/>
      <c r="H3" s="307"/>
      <c r="J3" s="631"/>
      <c r="K3" s="631"/>
      <c r="L3" s="631"/>
      <c r="M3" s="631"/>
      <c r="N3" s="631"/>
      <c r="O3" s="631"/>
    </row>
    <row r="4" spans="1:16" s="260" customFormat="1" ht="15.6" x14ac:dyDescent="0.3">
      <c r="A4" s="632" t="s">
        <v>474</v>
      </c>
      <c r="B4" s="632"/>
      <c r="C4" s="632"/>
      <c r="D4" s="632"/>
      <c r="E4" s="632"/>
      <c r="F4" s="632"/>
      <c r="G4" s="632"/>
      <c r="H4" s="632"/>
      <c r="J4" s="631"/>
      <c r="K4" s="631"/>
      <c r="L4" s="631"/>
      <c r="M4" s="631"/>
      <c r="N4" s="631"/>
      <c r="O4" s="631"/>
    </row>
    <row r="5" spans="1:16" s="4" customFormat="1" ht="27" customHeight="1" x14ac:dyDescent="0.3">
      <c r="A5" s="633" t="s">
        <v>362</v>
      </c>
      <c r="B5" s="633"/>
      <c r="C5" s="633"/>
      <c r="D5" s="633"/>
      <c r="E5" s="633"/>
      <c r="F5" s="633"/>
      <c r="G5" s="633"/>
      <c r="H5" s="633"/>
      <c r="J5" s="634" t="s">
        <v>369</v>
      </c>
      <c r="K5" s="564" t="s">
        <v>270</v>
      </c>
      <c r="L5" s="564" t="s">
        <v>271</v>
      </c>
      <c r="M5" s="564" t="s">
        <v>272</v>
      </c>
      <c r="N5" s="564" t="s">
        <v>273</v>
      </c>
      <c r="O5" s="564" t="s">
        <v>274</v>
      </c>
    </row>
    <row r="6" spans="1:16" s="4" customFormat="1" ht="15.75" customHeight="1" x14ac:dyDescent="0.3">
      <c r="A6" s="635" t="s">
        <v>475</v>
      </c>
      <c r="B6" s="635"/>
      <c r="C6" s="635"/>
      <c r="D6" s="635"/>
      <c r="E6" s="635"/>
      <c r="F6" s="635"/>
      <c r="G6" s="635"/>
      <c r="H6" s="635"/>
      <c r="J6" s="634"/>
      <c r="K6" s="564"/>
      <c r="L6" s="564"/>
      <c r="M6" s="564"/>
      <c r="N6" s="564"/>
      <c r="O6" s="564"/>
    </row>
    <row r="7" spans="1:16" s="4" customFormat="1" ht="15.75" customHeight="1" x14ac:dyDescent="0.3">
      <c r="A7" s="308"/>
      <c r="B7" s="309"/>
      <c r="C7" s="310"/>
      <c r="D7" s="309"/>
      <c r="E7" s="309"/>
      <c r="F7" s="310"/>
      <c r="G7" s="311"/>
      <c r="H7" s="312"/>
      <c r="J7" s="634"/>
      <c r="K7" s="564"/>
      <c r="L7" s="564"/>
      <c r="M7" s="564"/>
      <c r="N7" s="564"/>
      <c r="O7" s="564"/>
    </row>
    <row r="8" spans="1:16" s="4" customFormat="1" ht="27.6" x14ac:dyDescent="0.3">
      <c r="A8" s="313" t="s">
        <v>476</v>
      </c>
      <c r="B8" s="313" t="s">
        <v>248</v>
      </c>
      <c r="C8" s="313" t="s">
        <v>477</v>
      </c>
      <c r="D8" s="313" t="s">
        <v>478</v>
      </c>
      <c r="E8" s="313" t="s">
        <v>479</v>
      </c>
      <c r="F8" s="313" t="s">
        <v>480</v>
      </c>
      <c r="G8" s="313" t="s">
        <v>481</v>
      </c>
      <c r="H8" s="313" t="s">
        <v>185</v>
      </c>
      <c r="J8" s="634"/>
      <c r="K8" s="564"/>
      <c r="L8" s="564"/>
      <c r="M8" s="564"/>
      <c r="N8" s="564"/>
      <c r="O8" s="564"/>
      <c r="P8" s="164"/>
    </row>
    <row r="9" spans="1:16" s="125" customFormat="1" ht="87" customHeight="1" x14ac:dyDescent="0.3">
      <c r="A9" s="314" t="s">
        <v>482</v>
      </c>
      <c r="B9" s="315" t="s">
        <v>483</v>
      </c>
      <c r="C9" s="316">
        <v>2</v>
      </c>
      <c r="D9" s="86" t="s">
        <v>484</v>
      </c>
      <c r="E9" s="317" t="s">
        <v>485</v>
      </c>
      <c r="F9" s="316">
        <f>C9*$A$11</f>
        <v>4</v>
      </c>
      <c r="G9" s="318">
        <v>74.099999999999994</v>
      </c>
      <c r="H9" s="271">
        <f>ROUND(F9*G9,2)</f>
        <v>296.39999999999998</v>
      </c>
      <c r="J9" s="319">
        <v>25.8</v>
      </c>
      <c r="K9" s="15">
        <f>ROUND(IF(Dados!$I$59="SIM",J9*Dados!$N$59,J9),2)</f>
        <v>25.8</v>
      </c>
      <c r="L9" s="15">
        <f>ROUND(IF(Dados!$I$60="SIM",K9*Dados!$N$60,K9),2)</f>
        <v>25.8</v>
      </c>
      <c r="M9" s="15">
        <f>ROUND(IF(Dados!$I$61="SIM",L9*Dados!$N$61,L9),2)</f>
        <v>25.8</v>
      </c>
      <c r="N9" s="15">
        <f>ROUND(IF(Dados!$I$62="SIM",M9*Dados!$N$62,M9),2)</f>
        <v>25.8</v>
      </c>
      <c r="O9" s="15">
        <f>ROUND(IF(Dados!$I$63="SIM",N9*Dados!$N$63,N9),2)</f>
        <v>25.8</v>
      </c>
    </row>
    <row r="10" spans="1:16" s="125" customFormat="1" ht="55.2" x14ac:dyDescent="0.3">
      <c r="A10" s="320" t="s">
        <v>486</v>
      </c>
      <c r="B10" s="315" t="s">
        <v>487</v>
      </c>
      <c r="C10" s="316">
        <v>3</v>
      </c>
      <c r="D10" s="86" t="s">
        <v>488</v>
      </c>
      <c r="E10" s="317" t="s">
        <v>489</v>
      </c>
      <c r="F10" s="316">
        <f>C10*$A$11</f>
        <v>6</v>
      </c>
      <c r="G10" s="318">
        <v>32.65</v>
      </c>
      <c r="H10" s="271">
        <f>ROUND(F10*G10,2)</f>
        <v>195.9</v>
      </c>
      <c r="J10" s="319">
        <v>19.989999999999998</v>
      </c>
      <c r="K10" s="15">
        <f>ROUND(IF(Dados!$I$59="SIM",J10*Dados!$N$59,J10),2)</f>
        <v>19.989999999999998</v>
      </c>
      <c r="L10" s="15">
        <f>ROUND(IF(Dados!$I$60="SIM",K10*Dados!$N$60,K10),2)</f>
        <v>19.989999999999998</v>
      </c>
      <c r="M10" s="15">
        <f>ROUND(IF(Dados!$I$61="SIM",L10*Dados!$N$61,L10),2)</f>
        <v>19.989999999999998</v>
      </c>
      <c r="N10" s="15">
        <f>ROUND(IF(Dados!$I$62="SIM",M10*Dados!$N$62,M10),2)</f>
        <v>19.989999999999998</v>
      </c>
      <c r="O10" s="15">
        <f>ROUND(IF(Dados!$I$63="SIM",N10*Dados!$N$63,N10),2)</f>
        <v>19.989999999999998</v>
      </c>
    </row>
    <row r="11" spans="1:16" s="125" customFormat="1" ht="41.4" x14ac:dyDescent="0.3">
      <c r="A11" s="321">
        <f>Dados!B9+Dados!B8</f>
        <v>2</v>
      </c>
      <c r="B11" s="322" t="s">
        <v>490</v>
      </c>
      <c r="C11" s="316">
        <v>1</v>
      </c>
      <c r="D11" s="323" t="s">
        <v>491</v>
      </c>
      <c r="E11" s="317" t="s">
        <v>492</v>
      </c>
      <c r="F11" s="316">
        <f>C11*$A$11</f>
        <v>2</v>
      </c>
      <c r="G11" s="318">
        <v>76.16</v>
      </c>
      <c r="H11" s="324">
        <f>ROUND(F11*G11,2)</f>
        <v>152.32</v>
      </c>
      <c r="J11" s="319">
        <v>39.9</v>
      </c>
      <c r="K11" s="15">
        <f>ROUND(IF(Dados!$I$59="SIM",J11*Dados!$N$59,J11),2)</f>
        <v>39.9</v>
      </c>
      <c r="L11" s="15">
        <f>ROUND(IF(Dados!$I$60="SIM",K11*Dados!$N$60,K11),2)</f>
        <v>39.9</v>
      </c>
      <c r="M11" s="15">
        <f>ROUND(IF(Dados!$I$61="SIM",L11*Dados!$N$61,L11),2)</f>
        <v>39.9</v>
      </c>
      <c r="N11" s="15">
        <f>ROUND(IF(Dados!$I$62="SIM",M11*Dados!$N$62,M11),2)</f>
        <v>39.9</v>
      </c>
      <c r="O11" s="15">
        <f>ROUND(IF(Dados!$I$63="SIM",N11*Dados!$N$63,N11),2)</f>
        <v>39.9</v>
      </c>
    </row>
    <row r="12" spans="1:16" s="125" customFormat="1" x14ac:dyDescent="0.3">
      <c r="A12" s="638" t="s">
        <v>493</v>
      </c>
      <c r="B12" s="638"/>
      <c r="C12" s="638"/>
      <c r="D12" s="638"/>
      <c r="E12" s="638"/>
      <c r="F12" s="638"/>
      <c r="G12" s="638"/>
      <c r="H12" s="325">
        <f>SUM(H9:H11)</f>
        <v>644.61999999999989</v>
      </c>
      <c r="J12" s="6"/>
      <c r="K12" s="6"/>
      <c r="L12" s="6"/>
      <c r="M12" s="6"/>
      <c r="N12" s="6"/>
      <c r="O12" s="6"/>
    </row>
    <row r="13" spans="1:16" s="125" customFormat="1" ht="15.6" x14ac:dyDescent="0.3">
      <c r="A13" s="637" t="s">
        <v>494</v>
      </c>
      <c r="B13" s="637"/>
      <c r="C13" s="637"/>
      <c r="D13" s="637"/>
      <c r="E13" s="637"/>
      <c r="F13" s="637"/>
      <c r="G13" s="326"/>
      <c r="H13" s="327">
        <f>ROUND(H12/$A$11/12,2)</f>
        <v>26.86</v>
      </c>
      <c r="J13" s="6"/>
      <c r="K13" s="6"/>
      <c r="L13" s="6"/>
      <c r="M13" s="6"/>
      <c r="N13" s="6"/>
      <c r="O13" s="6"/>
    </row>
    <row r="14" spans="1:16" s="125" customFormat="1" x14ac:dyDescent="0.3">
      <c r="A14" s="240"/>
      <c r="B14" s="16"/>
      <c r="C14" s="328"/>
      <c r="D14" s="71"/>
      <c r="E14" s="71"/>
      <c r="F14" s="328"/>
      <c r="G14" s="329"/>
      <c r="H14" s="330"/>
      <c r="J14" s="6"/>
      <c r="K14" s="6"/>
      <c r="L14" s="6"/>
      <c r="M14" s="6"/>
      <c r="N14" s="6"/>
      <c r="O14" s="6"/>
    </row>
    <row r="15" spans="1:16" s="125" customFormat="1" ht="30.75" customHeight="1" x14ac:dyDescent="0.3">
      <c r="A15" s="331" t="s">
        <v>476</v>
      </c>
      <c r="B15" s="332" t="s">
        <v>248</v>
      </c>
      <c r="C15" s="333" t="s">
        <v>477</v>
      </c>
      <c r="D15" s="334" t="s">
        <v>478</v>
      </c>
      <c r="E15" s="334" t="s">
        <v>479</v>
      </c>
      <c r="F15" s="335" t="s">
        <v>480</v>
      </c>
      <c r="G15" s="336" t="s">
        <v>481</v>
      </c>
      <c r="H15" s="337" t="s">
        <v>185</v>
      </c>
      <c r="J15" s="338" t="s">
        <v>369</v>
      </c>
      <c r="K15" s="339" t="s">
        <v>270</v>
      </c>
      <c r="L15" s="339" t="s">
        <v>271</v>
      </c>
      <c r="M15" s="339" t="s">
        <v>272</v>
      </c>
      <c r="N15" s="339" t="s">
        <v>273</v>
      </c>
      <c r="O15" s="339" t="s">
        <v>274</v>
      </c>
    </row>
    <row r="16" spans="1:16" s="125" customFormat="1" ht="27.6" x14ac:dyDescent="0.3">
      <c r="A16" s="320" t="s">
        <v>495</v>
      </c>
      <c r="B16" s="315" t="s">
        <v>496</v>
      </c>
      <c r="C16" s="316">
        <v>1</v>
      </c>
      <c r="D16" s="340" t="s">
        <v>497</v>
      </c>
      <c r="E16" s="317" t="s">
        <v>498</v>
      </c>
      <c r="F16" s="316">
        <f>C16*$A$18</f>
        <v>1</v>
      </c>
      <c r="G16" s="318">
        <v>9.5299999999999994</v>
      </c>
      <c r="H16" s="324">
        <f>ROUND(F16*G16,2)</f>
        <v>9.5299999999999994</v>
      </c>
      <c r="J16" s="319">
        <v>29.9</v>
      </c>
      <c r="K16" s="15">
        <f>ROUND(IF(Dados!$I$59="SIM",J16*Dados!$N$59,J16),2)</f>
        <v>29.9</v>
      </c>
      <c r="L16" s="15">
        <f>ROUND(IF(Dados!$I$60="SIM",K16*Dados!$N$60,K16),2)</f>
        <v>29.9</v>
      </c>
      <c r="M16" s="15">
        <f>ROUND(IF(Dados!$I$61="SIM",L16*Dados!$N$61,L16),2)</f>
        <v>29.9</v>
      </c>
      <c r="N16" s="15">
        <f>ROUND(IF(Dados!$I$62="SIM",M16*Dados!$N$62,M16),2)</f>
        <v>29.9</v>
      </c>
      <c r="O16" s="15">
        <f>ROUND(IF(Dados!$I$63="SIM",N16*Dados!$N$63,N16),2)</f>
        <v>29.9</v>
      </c>
    </row>
    <row r="17" spans="1:21" s="125" customFormat="1" ht="82.8" x14ac:dyDescent="0.3">
      <c r="A17" s="341" t="s">
        <v>486</v>
      </c>
      <c r="B17" s="322" t="s">
        <v>499</v>
      </c>
      <c r="C17" s="316">
        <v>1</v>
      </c>
      <c r="D17" s="323" t="s">
        <v>500</v>
      </c>
      <c r="E17" s="317" t="s">
        <v>501</v>
      </c>
      <c r="F17" s="316">
        <f>C17*$A$18</f>
        <v>1</v>
      </c>
      <c r="G17" s="318">
        <v>13.47</v>
      </c>
      <c r="H17" s="324">
        <f>ROUND(F17*G17,2)</f>
        <v>13.47</v>
      </c>
      <c r="J17" s="319">
        <v>5.5</v>
      </c>
      <c r="K17" s="15">
        <f>ROUND(IF(Dados!$I$59="SIM",J17*Dados!$N$59,J17),2)</f>
        <v>5.5</v>
      </c>
      <c r="L17" s="15">
        <f>ROUND(IF(Dados!$I$60="SIM",K17*Dados!$N$60,K17),2)</f>
        <v>5.5</v>
      </c>
      <c r="M17" s="15">
        <f>ROUND(IF(Dados!$I$61="SIM",L17*Dados!$N$61,L17),2)</f>
        <v>5.5</v>
      </c>
      <c r="N17" s="15">
        <f>ROUND(IF(Dados!$I$62="SIM",M17*Dados!$N$62,M17),2)</f>
        <v>5.5</v>
      </c>
      <c r="O17" s="15">
        <f>ROUND(IF(Dados!$I$63="SIM",N17*Dados!$N$63,N17),2)</f>
        <v>5.5</v>
      </c>
    </row>
    <row r="18" spans="1:21" s="125" customFormat="1" ht="36" customHeight="1" x14ac:dyDescent="0.3">
      <c r="A18" s="342">
        <f>Dados!B8</f>
        <v>1</v>
      </c>
      <c r="B18" s="639" t="s">
        <v>493</v>
      </c>
      <c r="C18" s="639"/>
      <c r="D18" s="639"/>
      <c r="E18" s="639"/>
      <c r="F18" s="639"/>
      <c r="G18" s="639"/>
      <c r="H18" s="343">
        <f>SUM(H16:H17)</f>
        <v>23</v>
      </c>
      <c r="J18" s="6"/>
      <c r="K18" s="6"/>
      <c r="L18" s="6"/>
      <c r="M18" s="6"/>
      <c r="N18" s="6"/>
      <c r="O18" s="6"/>
    </row>
    <row r="19" spans="1:21" s="125" customFormat="1" ht="15.6" x14ac:dyDescent="0.3">
      <c r="A19" s="637" t="s">
        <v>502</v>
      </c>
      <c r="B19" s="637"/>
      <c r="C19" s="637"/>
      <c r="D19" s="637"/>
      <c r="E19" s="637"/>
      <c r="F19" s="637"/>
      <c r="G19" s="326"/>
      <c r="H19" s="327">
        <f>ROUND(H18/A18/12,2)</f>
        <v>1.92</v>
      </c>
      <c r="J19" s="6"/>
      <c r="K19" s="6"/>
      <c r="L19" s="6"/>
      <c r="M19" s="6"/>
      <c r="N19" s="6"/>
      <c r="O19" s="6"/>
    </row>
    <row r="20" spans="1:21" s="125" customFormat="1" ht="15.6" x14ac:dyDescent="0.3">
      <c r="A20" s="262"/>
      <c r="B20" s="344"/>
      <c r="C20" s="345"/>
      <c r="D20" s="344"/>
      <c r="E20" s="344"/>
      <c r="F20" s="345"/>
      <c r="G20" s="346"/>
      <c r="H20" s="347"/>
      <c r="J20" s="6"/>
      <c r="K20" s="6"/>
      <c r="L20" s="6"/>
      <c r="M20" s="6"/>
      <c r="N20" s="6"/>
      <c r="O20" s="6"/>
    </row>
    <row r="21" spans="1:21" ht="27" customHeight="1" x14ac:dyDescent="0.3">
      <c r="A21" s="348" t="s">
        <v>476</v>
      </c>
      <c r="B21" s="348" t="s">
        <v>248</v>
      </c>
      <c r="C21" s="348" t="s">
        <v>477</v>
      </c>
      <c r="D21" s="348" t="s">
        <v>478</v>
      </c>
      <c r="E21" s="348" t="s">
        <v>479</v>
      </c>
      <c r="F21" s="348" t="s">
        <v>480</v>
      </c>
      <c r="G21" s="348" t="s">
        <v>481</v>
      </c>
      <c r="H21" s="348" t="s">
        <v>185</v>
      </c>
    </row>
    <row r="22" spans="1:21" ht="49.5" customHeight="1" x14ac:dyDescent="0.3">
      <c r="A22" s="349" t="s">
        <v>180</v>
      </c>
      <c r="B22" s="315" t="s">
        <v>483</v>
      </c>
      <c r="C22" s="316">
        <v>2</v>
      </c>
      <c r="D22" s="350" t="s">
        <v>503</v>
      </c>
      <c r="E22" s="317" t="s">
        <v>504</v>
      </c>
      <c r="F22" s="316">
        <f>C22*$A$24</f>
        <v>4</v>
      </c>
      <c r="G22" s="318">
        <v>94.78</v>
      </c>
      <c r="H22" s="324">
        <f>ROUND(F22*G22,2)</f>
        <v>379.12</v>
      </c>
    </row>
    <row r="23" spans="1:21" ht="135.75" customHeight="1" x14ac:dyDescent="0.3">
      <c r="A23" s="320" t="s">
        <v>486</v>
      </c>
      <c r="B23" s="315" t="s">
        <v>487</v>
      </c>
      <c r="C23" s="316">
        <v>3</v>
      </c>
      <c r="D23" s="351" t="s">
        <v>505</v>
      </c>
      <c r="E23" s="317" t="s">
        <v>506</v>
      </c>
      <c r="F23" s="316">
        <f>C23*$A$24</f>
        <v>6</v>
      </c>
      <c r="G23" s="318">
        <v>102.59</v>
      </c>
      <c r="H23" s="324">
        <f>ROUND(F23*G23,2)</f>
        <v>615.54</v>
      </c>
      <c r="I23" s="630" t="s">
        <v>507</v>
      </c>
      <c r="J23" s="630"/>
      <c r="K23" s="630"/>
      <c r="L23" s="630"/>
      <c r="M23" s="630"/>
      <c r="N23" s="630"/>
      <c r="O23" s="630"/>
      <c r="P23" s="630"/>
      <c r="Q23" s="630"/>
      <c r="R23" s="630"/>
      <c r="S23" s="630"/>
      <c r="T23" s="630"/>
      <c r="U23" s="630"/>
    </row>
    <row r="24" spans="1:21" ht="36.6" x14ac:dyDescent="0.3">
      <c r="A24" s="342">
        <f>Dados!B7</f>
        <v>2</v>
      </c>
      <c r="B24" s="322" t="s">
        <v>508</v>
      </c>
      <c r="C24" s="316">
        <v>1</v>
      </c>
      <c r="D24" s="323" t="s">
        <v>509</v>
      </c>
      <c r="E24" s="317" t="s">
        <v>492</v>
      </c>
      <c r="F24" s="316">
        <f>C24*$A$24</f>
        <v>2</v>
      </c>
      <c r="G24" s="318">
        <v>102.17</v>
      </c>
      <c r="H24" s="324">
        <f>ROUND(F24*G24,2)</f>
        <v>204.34</v>
      </c>
      <c r="J24" s="319"/>
      <c r="K24" s="15"/>
      <c r="L24" s="15"/>
      <c r="M24" s="15"/>
      <c r="N24" s="15"/>
      <c r="O24" s="15"/>
    </row>
    <row r="25" spans="1:21" x14ac:dyDescent="0.3">
      <c r="A25" s="636" t="s">
        <v>493</v>
      </c>
      <c r="B25" s="636"/>
      <c r="C25" s="636"/>
      <c r="D25" s="636"/>
      <c r="E25" s="636"/>
      <c r="F25" s="636"/>
      <c r="G25" s="636"/>
      <c r="H25" s="352">
        <f>SUM(H22:H24)</f>
        <v>1199</v>
      </c>
      <c r="N25" s="6"/>
      <c r="O25" s="6"/>
      <c r="P25" s="125"/>
    </row>
    <row r="26" spans="1:21" ht="15.6" x14ac:dyDescent="0.3">
      <c r="A26" s="637" t="s">
        <v>510</v>
      </c>
      <c r="B26" s="637"/>
      <c r="C26" s="637"/>
      <c r="D26" s="637"/>
      <c r="E26" s="637"/>
      <c r="F26" s="637"/>
      <c r="G26" s="326"/>
      <c r="H26" s="327">
        <f>ROUND(H25/A24/12,2)</f>
        <v>49.96</v>
      </c>
    </row>
  </sheetData>
  <sheetProtection algorithmName="SHA-512" hashValue="E9yb7i6x+pDXPzxgKyfSFtlpk7qVeRFjEUOIUKwDn92DdthMf7vTFsUHaI3qFjmHe5bapo9DmO6PYonWiJtQig==" saltValue="OqivEpdeux1jPz9X0RhWiQ==" spinCount="100000" sheet="1" objects="1" scenarios="1"/>
  <mergeCells count="17">
    <mergeCell ref="A25:G25"/>
    <mergeCell ref="A26:F26"/>
    <mergeCell ref="A12:G12"/>
    <mergeCell ref="A13:F13"/>
    <mergeCell ref="B18:G18"/>
    <mergeCell ref="A19:F19"/>
    <mergeCell ref="I23:U23"/>
    <mergeCell ref="J1:O4"/>
    <mergeCell ref="A4:H4"/>
    <mergeCell ref="A5:H5"/>
    <mergeCell ref="J5:J8"/>
    <mergeCell ref="K5:K8"/>
    <mergeCell ref="L5:L8"/>
    <mergeCell ref="M5:M8"/>
    <mergeCell ref="N5:N8"/>
    <mergeCell ref="O5:O8"/>
    <mergeCell ref="A6:H6"/>
  </mergeCells>
  <printOptions horizontalCentered="1" verticalCentered="1"/>
  <pageMargins left="0.51180555555555596" right="0.51180555555555596" top="0.78749999999999998" bottom="0.78749999999999998" header="0.511811023622047" footer="0.511811023622047"/>
  <pageSetup paperSize="9" scale="4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22"/>
  <sheetViews>
    <sheetView showGridLines="0" view="pageBreakPreview" topLeftCell="G1" zoomScale="60" zoomScaleNormal="100" workbookViewId="0">
      <selection activeCell="O11" sqref="O11"/>
    </sheetView>
  </sheetViews>
  <sheetFormatPr defaultColWidth="8.6640625" defaultRowHeight="14.4" x14ac:dyDescent="0.3"/>
  <cols>
    <col min="1" max="1" width="12" style="4" customWidth="1"/>
    <col min="2" max="2" width="44.44140625" style="4" customWidth="1"/>
    <col min="3" max="3" width="7.109375" style="4" customWidth="1"/>
    <col min="4" max="4" width="6.6640625" style="4" customWidth="1"/>
    <col min="5" max="5" width="10.109375" style="4" customWidth="1"/>
    <col min="6" max="6" width="12.5546875" style="4" customWidth="1"/>
    <col min="7" max="7" width="12.33203125" style="4" customWidth="1"/>
    <col min="8" max="8" width="13.44140625" style="4" customWidth="1"/>
    <col min="9" max="9" width="11.88671875" style="4" customWidth="1"/>
    <col min="10" max="10" width="13.6640625" style="4" customWidth="1"/>
    <col min="11" max="11" width="11.33203125" style="4" customWidth="1"/>
    <col min="12" max="12" width="15.5546875" style="4" customWidth="1"/>
    <col min="13" max="13" width="12.33203125" style="4" customWidth="1"/>
    <col min="14" max="14" width="7.44140625" style="4" customWidth="1"/>
    <col min="15" max="15" width="13.33203125" style="4" customWidth="1"/>
    <col min="16" max="16" width="12" style="4" customWidth="1"/>
    <col min="17" max="17" width="9.5546875" style="4" customWidth="1"/>
    <col min="18" max="18" width="11.33203125" style="4" customWidth="1"/>
    <col min="19" max="19" width="16.109375" style="4" customWidth="1"/>
    <col min="20" max="20" width="12.109375" style="4" customWidth="1"/>
    <col min="21" max="22" width="10.109375" style="4" customWidth="1"/>
    <col min="23" max="23" width="16.44140625" style="4" customWidth="1"/>
    <col min="24" max="259" width="9.109375" style="4" customWidth="1"/>
    <col min="260" max="260" width="13.109375" style="4" customWidth="1"/>
    <col min="261" max="261" width="38.44140625" style="4" customWidth="1"/>
    <col min="262" max="262" width="7.109375" style="4" customWidth="1"/>
    <col min="263" max="263" width="6.6640625" style="4" customWidth="1"/>
    <col min="264" max="264" width="10.109375" style="4" customWidth="1"/>
    <col min="265" max="265" width="12.5546875" style="4" customWidth="1"/>
    <col min="266" max="266" width="12.33203125" style="4" customWidth="1"/>
    <col min="267" max="267" width="13.44140625" style="4" customWidth="1"/>
    <col min="268" max="268" width="12.109375" style="4" customWidth="1"/>
    <col min="269" max="269" width="13.6640625" style="4" customWidth="1"/>
    <col min="270" max="270" width="11.33203125" style="4" customWidth="1"/>
    <col min="271" max="271" width="15.5546875" style="4" customWidth="1"/>
    <col min="272" max="272" width="12.33203125" style="4" customWidth="1"/>
    <col min="273" max="273" width="7.44140625" style="4" customWidth="1"/>
    <col min="274" max="274" width="13.33203125" style="4" customWidth="1"/>
    <col min="275" max="275" width="14" style="4" customWidth="1"/>
    <col min="276" max="276" width="12.109375" style="4" customWidth="1"/>
    <col min="277" max="278" width="10.109375" style="4" customWidth="1"/>
    <col min="279" max="279" width="16.44140625" style="4" customWidth="1"/>
    <col min="280" max="515" width="9.109375" style="4" customWidth="1"/>
    <col min="516" max="516" width="13.109375" style="4" customWidth="1"/>
    <col min="517" max="517" width="38.44140625" style="4" customWidth="1"/>
    <col min="518" max="518" width="7.109375" style="4" customWidth="1"/>
    <col min="519" max="519" width="6.6640625" style="4" customWidth="1"/>
    <col min="520" max="520" width="10.109375" style="4" customWidth="1"/>
    <col min="521" max="521" width="12.5546875" style="4" customWidth="1"/>
    <col min="522" max="522" width="12.33203125" style="4" customWidth="1"/>
    <col min="523" max="523" width="13.44140625" style="4" customWidth="1"/>
    <col min="524" max="524" width="12.109375" style="4" customWidth="1"/>
    <col min="525" max="525" width="13.6640625" style="4" customWidth="1"/>
    <col min="526" max="526" width="11.33203125" style="4" customWidth="1"/>
    <col min="527" max="527" width="15.5546875" style="4" customWidth="1"/>
    <col min="528" max="528" width="12.33203125" style="4" customWidth="1"/>
    <col min="529" max="529" width="7.44140625" style="4" customWidth="1"/>
    <col min="530" max="530" width="13.33203125" style="4" customWidth="1"/>
    <col min="531" max="531" width="14" style="4" customWidth="1"/>
    <col min="532" max="532" width="12.109375" style="4" customWidth="1"/>
    <col min="533" max="534" width="10.109375" style="4" customWidth="1"/>
    <col min="535" max="535" width="16.44140625" style="4" customWidth="1"/>
    <col min="536" max="771" width="9.109375" style="4" customWidth="1"/>
    <col min="772" max="772" width="13.109375" style="4" customWidth="1"/>
    <col min="773" max="773" width="38.44140625" style="4" customWidth="1"/>
    <col min="774" max="774" width="7.109375" style="4" customWidth="1"/>
    <col min="775" max="775" width="6.6640625" style="4" customWidth="1"/>
    <col min="776" max="776" width="10.109375" style="4" customWidth="1"/>
    <col min="777" max="777" width="12.5546875" style="4" customWidth="1"/>
    <col min="778" max="778" width="12.33203125" style="4" customWidth="1"/>
    <col min="779" max="779" width="13.44140625" style="4" customWidth="1"/>
    <col min="780" max="780" width="12.109375" style="4" customWidth="1"/>
    <col min="781" max="781" width="13.6640625" style="4" customWidth="1"/>
    <col min="782" max="782" width="11.33203125" style="4" customWidth="1"/>
    <col min="783" max="783" width="15.5546875" style="4" customWidth="1"/>
    <col min="784" max="784" width="12.33203125" style="4" customWidth="1"/>
    <col min="785" max="785" width="7.44140625" style="4" customWidth="1"/>
    <col min="786" max="786" width="13.33203125" style="4" customWidth="1"/>
    <col min="787" max="787" width="14" style="4" customWidth="1"/>
    <col min="788" max="788" width="12.109375" style="4" customWidth="1"/>
    <col min="789" max="790" width="10.109375" style="4" customWidth="1"/>
    <col min="791" max="791" width="16.44140625" style="4" customWidth="1"/>
    <col min="792" max="1025" width="9.109375" style="4" customWidth="1"/>
  </cols>
  <sheetData>
    <row r="1" spans="1:25" x14ac:dyDescent="0.3">
      <c r="A1" s="7"/>
      <c r="B1" s="353" t="str">
        <f>INSTRUÇÕES!B1</f>
        <v>Tribunal Regional Federal da 6ª Região</v>
      </c>
      <c r="C1" s="213"/>
      <c r="D1" s="213"/>
      <c r="E1" s="213"/>
      <c r="F1" s="213"/>
      <c r="G1" s="213"/>
      <c r="H1" s="213"/>
      <c r="I1" s="213"/>
      <c r="J1" s="354"/>
      <c r="K1" s="354"/>
      <c r="L1" s="354"/>
      <c r="M1" s="354"/>
      <c r="N1" s="354"/>
      <c r="O1" s="354"/>
      <c r="P1" s="354"/>
      <c r="Q1" s="354"/>
      <c r="R1" s="354"/>
      <c r="S1" s="354"/>
      <c r="T1" s="354"/>
      <c r="U1" s="354"/>
      <c r="V1" s="354"/>
      <c r="W1" s="355"/>
    </row>
    <row r="2" spans="1:25" x14ac:dyDescent="0.3">
      <c r="A2" s="356"/>
      <c r="B2" s="123" t="str">
        <f>INSTRUÇÕES!B2</f>
        <v>Seção Judiciária de Minas Gerais</v>
      </c>
      <c r="C2" s="80"/>
      <c r="D2" s="80"/>
      <c r="E2" s="80"/>
      <c r="F2" s="80"/>
      <c r="G2" s="80"/>
      <c r="H2" s="80"/>
      <c r="I2" s="80"/>
      <c r="W2" s="357"/>
    </row>
    <row r="3" spans="1:25" x14ac:dyDescent="0.3">
      <c r="A3" s="356"/>
      <c r="B3" s="123" t="str">
        <f>INSTRUÇÕES!B3</f>
        <v>Subseção Judiciária de Viçosa</v>
      </c>
      <c r="C3" s="80"/>
      <c r="D3" s="80"/>
      <c r="E3" s="80"/>
      <c r="F3" s="80"/>
      <c r="G3" s="80"/>
      <c r="H3" s="80"/>
      <c r="I3" s="80"/>
      <c r="W3" s="357"/>
    </row>
    <row r="4" spans="1:25" s="358" customFormat="1" ht="18.75" customHeight="1" x14ac:dyDescent="0.3">
      <c r="A4" s="640" t="s">
        <v>511</v>
      </c>
      <c r="B4" s="640"/>
      <c r="C4" s="640"/>
      <c r="D4" s="640"/>
      <c r="E4" s="640"/>
      <c r="F4" s="640"/>
      <c r="G4" s="640"/>
      <c r="H4" s="640"/>
      <c r="I4" s="640"/>
      <c r="J4" s="640"/>
      <c r="K4" s="640"/>
      <c r="L4" s="640"/>
      <c r="M4" s="640"/>
      <c r="N4" s="640"/>
      <c r="O4" s="640"/>
      <c r="P4" s="640"/>
      <c r="Q4" s="640"/>
      <c r="R4" s="640"/>
      <c r="S4" s="640"/>
      <c r="T4" s="640"/>
      <c r="U4" s="640"/>
      <c r="V4" s="640"/>
      <c r="W4" s="640"/>
    </row>
    <row r="5" spans="1:25" s="125" customFormat="1" ht="21" customHeight="1" x14ac:dyDescent="0.3">
      <c r="A5" s="641" t="str">
        <f>"PREÇO MENSAL GLOBAL - "&amp;B3</f>
        <v>PREÇO MENSAL GLOBAL - Subseção Judiciária de Viçosa</v>
      </c>
      <c r="B5" s="641"/>
      <c r="C5" s="641"/>
      <c r="D5" s="641"/>
      <c r="E5" s="641"/>
      <c r="F5" s="641"/>
      <c r="G5" s="641"/>
      <c r="H5" s="641"/>
      <c r="I5" s="641"/>
      <c r="J5" s="641"/>
      <c r="K5" s="641"/>
      <c r="L5" s="641"/>
      <c r="M5" s="641"/>
      <c r="N5" s="641"/>
      <c r="O5" s="641"/>
      <c r="P5" s="641"/>
      <c r="Q5" s="641"/>
      <c r="R5" s="641"/>
      <c r="S5" s="641"/>
      <c r="T5" s="641"/>
      <c r="U5" s="641"/>
      <c r="V5" s="641"/>
      <c r="W5" s="641"/>
    </row>
    <row r="6" spans="1:25" s="6" customFormat="1" ht="23.25" customHeight="1" x14ac:dyDescent="0.3">
      <c r="A6" s="642" t="str">
        <f>Dados!A4</f>
        <v>Sindicato utilizado - SINSERTH x SINTAPPI. Vigência: 01/04/2025 à 31/03/2026. Sendo a data base da categoria 1 de abril. Com número de registro no MTE MG001973/2025.</v>
      </c>
      <c r="B6" s="642"/>
      <c r="C6" s="642"/>
      <c r="D6" s="642"/>
      <c r="E6" s="642"/>
      <c r="F6" s="642"/>
      <c r="G6" s="642"/>
      <c r="H6" s="642"/>
      <c r="I6" s="642"/>
      <c r="J6" s="642"/>
      <c r="K6" s="642"/>
      <c r="L6" s="642"/>
      <c r="M6" s="642"/>
      <c r="N6" s="642"/>
      <c r="O6" s="642"/>
      <c r="P6" s="642"/>
      <c r="Q6" s="642"/>
      <c r="R6" s="642"/>
      <c r="S6" s="642"/>
      <c r="T6" s="642"/>
      <c r="U6" s="642"/>
      <c r="V6" s="642"/>
      <c r="W6" s="642"/>
    </row>
    <row r="7" spans="1:25" s="19" customFormat="1" ht="18.75" customHeight="1" x14ac:dyDescent="0.3">
      <c r="A7" s="359"/>
      <c r="B7" s="360"/>
      <c r="C7" s="360"/>
      <c r="D7" s="360"/>
      <c r="E7" s="361"/>
      <c r="F7" s="361"/>
      <c r="G7" s="361"/>
      <c r="H7" s="362" t="s">
        <v>512</v>
      </c>
      <c r="I7" s="363"/>
      <c r="J7" s="363"/>
      <c r="K7" s="361"/>
      <c r="L7" s="361"/>
      <c r="M7" s="361"/>
      <c r="N7" s="361"/>
      <c r="O7" s="361"/>
      <c r="P7" s="361"/>
      <c r="Q7" s="361"/>
      <c r="R7" s="361"/>
      <c r="S7" s="643" t="s">
        <v>513</v>
      </c>
      <c r="T7" s="643"/>
      <c r="U7" s="643"/>
      <c r="V7" s="643"/>
      <c r="W7" s="643"/>
    </row>
    <row r="8" spans="1:25" s="19" customFormat="1" ht="22.5" customHeight="1" x14ac:dyDescent="0.3">
      <c r="A8" s="644" t="s">
        <v>514</v>
      </c>
      <c r="B8" s="645" t="s">
        <v>515</v>
      </c>
      <c r="C8" s="645"/>
      <c r="D8" s="646" t="s">
        <v>40</v>
      </c>
      <c r="E8" s="646"/>
      <c r="F8" s="646"/>
      <c r="G8" s="646"/>
      <c r="H8" s="646"/>
      <c r="I8" s="646"/>
      <c r="J8" s="646"/>
      <c r="K8" s="646"/>
      <c r="L8" s="646"/>
      <c r="M8" s="646"/>
      <c r="N8" s="646"/>
      <c r="O8" s="646"/>
      <c r="P8" s="646"/>
      <c r="Q8" s="646"/>
      <c r="R8" s="646"/>
      <c r="S8" s="646"/>
      <c r="T8" s="646"/>
      <c r="U8" s="646"/>
      <c r="V8" s="646"/>
      <c r="W8" s="647" t="s">
        <v>516</v>
      </c>
    </row>
    <row r="9" spans="1:25" s="19" customFormat="1" ht="20.25" customHeight="1" x14ac:dyDescent="0.3">
      <c r="A9" s="644"/>
      <c r="B9" s="645"/>
      <c r="C9" s="645"/>
      <c r="D9" s="648" t="s">
        <v>517</v>
      </c>
      <c r="E9" s="648"/>
      <c r="F9" s="648"/>
      <c r="G9" s="648" t="s">
        <v>518</v>
      </c>
      <c r="H9" s="648"/>
      <c r="I9" s="648"/>
      <c r="J9" s="649" t="s">
        <v>519</v>
      </c>
      <c r="K9" s="649"/>
      <c r="L9" s="649"/>
      <c r="M9" s="649"/>
      <c r="N9" s="649"/>
      <c r="O9" s="649"/>
      <c r="P9" s="650" t="s">
        <v>520</v>
      </c>
      <c r="Q9" s="650"/>
      <c r="R9" s="650"/>
      <c r="S9" s="364" t="s">
        <v>521</v>
      </c>
      <c r="T9" s="651" t="s">
        <v>522</v>
      </c>
      <c r="U9" s="651"/>
      <c r="V9" s="651"/>
      <c r="W9" s="647"/>
    </row>
    <row r="10" spans="1:25" s="19" customFormat="1" ht="27.75" customHeight="1" x14ac:dyDescent="0.3">
      <c r="A10" s="644"/>
      <c r="B10" s="645"/>
      <c r="C10" s="645"/>
      <c r="D10" s="652" t="s">
        <v>523</v>
      </c>
      <c r="E10" s="652"/>
      <c r="F10" s="652"/>
      <c r="G10" s="653" t="s">
        <v>524</v>
      </c>
      <c r="H10" s="654" t="s">
        <v>525</v>
      </c>
      <c r="I10" s="654"/>
      <c r="J10" s="655" t="s">
        <v>526</v>
      </c>
      <c r="K10" s="655"/>
      <c r="L10" s="655"/>
      <c r="M10" s="656" t="s">
        <v>527</v>
      </c>
      <c r="N10" s="656"/>
      <c r="O10" s="656"/>
      <c r="P10" s="657" t="s">
        <v>528</v>
      </c>
      <c r="Q10" s="657"/>
      <c r="R10" s="657"/>
      <c r="S10" s="658" t="s">
        <v>529</v>
      </c>
      <c r="T10" s="659" t="s">
        <v>530</v>
      </c>
      <c r="U10" s="659"/>
      <c r="V10" s="659"/>
      <c r="W10" s="647"/>
    </row>
    <row r="11" spans="1:25" s="19" customFormat="1" ht="69" x14ac:dyDescent="0.3">
      <c r="A11" s="644"/>
      <c r="B11" s="365" t="s">
        <v>22</v>
      </c>
      <c r="C11" s="366" t="s">
        <v>23</v>
      </c>
      <c r="D11" s="367" t="s">
        <v>21</v>
      </c>
      <c r="E11" s="368" t="s">
        <v>531</v>
      </c>
      <c r="F11" s="369" t="s">
        <v>532</v>
      </c>
      <c r="G11" s="653"/>
      <c r="H11" s="368" t="s">
        <v>533</v>
      </c>
      <c r="I11" s="370" t="s">
        <v>534</v>
      </c>
      <c r="J11" s="371" t="s">
        <v>535</v>
      </c>
      <c r="K11" s="368" t="s">
        <v>30</v>
      </c>
      <c r="L11" s="369" t="s">
        <v>536</v>
      </c>
      <c r="M11" s="365" t="s">
        <v>537</v>
      </c>
      <c r="N11" s="368" t="s">
        <v>31</v>
      </c>
      <c r="O11" s="372" t="s">
        <v>538</v>
      </c>
      <c r="P11" s="365" t="s">
        <v>539</v>
      </c>
      <c r="Q11" s="368" t="s">
        <v>540</v>
      </c>
      <c r="R11" s="366" t="s">
        <v>541</v>
      </c>
      <c r="S11" s="658"/>
      <c r="T11" s="371" t="s">
        <v>542</v>
      </c>
      <c r="U11" s="368" t="s">
        <v>543</v>
      </c>
      <c r="V11" s="370" t="s">
        <v>544</v>
      </c>
      <c r="W11" s="647"/>
    </row>
    <row r="12" spans="1:25" s="19" customFormat="1" ht="15.6" x14ac:dyDescent="0.3">
      <c r="A12" s="373">
        <f>Dados!A7</f>
        <v>333903701</v>
      </c>
      <c r="B12" s="374" t="str">
        <f>Dados!C7</f>
        <v>Auxiliar Administrativo</v>
      </c>
      <c r="C12" s="375">
        <f>Dados!D7</f>
        <v>200</v>
      </c>
      <c r="D12" s="376">
        <f>Dados!B7</f>
        <v>2</v>
      </c>
      <c r="E12" s="377">
        <f>'Auxiliar Administrativo'!$F$46</f>
        <v>4851.2299999999996</v>
      </c>
      <c r="F12" s="378">
        <f>ROUND((D12*E12),2)</f>
        <v>9702.4599999999991</v>
      </c>
      <c r="G12" s="379">
        <f>'Auxiliar Administrativo'!$I$46</f>
        <v>25.44</v>
      </c>
      <c r="H12" s="380">
        <f>'Ocorrências Mensais - FAT'!F11+'Ocorrências Mensais - FAT'!H11</f>
        <v>0</v>
      </c>
      <c r="I12" s="381">
        <f>(ROUND((G12/Dados!$G$33*H12)-(G12/'Ocorrências Mensais - FAT'!$E$5*'Ocorrências Mensais - FAT'!G11),2))</f>
        <v>0</v>
      </c>
      <c r="J12" s="379">
        <f>'Auxiliar Administrativo'!$G$46</f>
        <v>4851.2299999999996</v>
      </c>
      <c r="K12" s="380">
        <f>'Ocorrências Mensais - FAT'!K11</f>
        <v>0</v>
      </c>
      <c r="L12" s="381">
        <f>J12/'Ocorrências Mensais - FAT'!$E$5*K12</f>
        <v>0</v>
      </c>
      <c r="M12" s="379">
        <f>'Custo Estimado Substituto'!F33</f>
        <v>4224.13</v>
      </c>
      <c r="N12" s="380">
        <f>'Ocorrências Mensais - FAT'!L11</f>
        <v>0</v>
      </c>
      <c r="O12" s="381">
        <f>M12/'Ocorrências Mensais - FAT'!$E$5*N12</f>
        <v>0</v>
      </c>
      <c r="P12" s="382">
        <f>'Auxiliar Administrativo'!$H$46</f>
        <v>639.78</v>
      </c>
      <c r="Q12" s="383">
        <f>'Ocorrências Mensais - FAT'!M11</f>
        <v>0</v>
      </c>
      <c r="R12" s="381">
        <f>ROUND((P12/Dados!$G$36*Q12),2)</f>
        <v>0</v>
      </c>
      <c r="S12" s="384">
        <f>I12+L12+O12+R12</f>
        <v>0</v>
      </c>
      <c r="T12" s="385"/>
      <c r="U12" s="386"/>
      <c r="V12" s="387"/>
      <c r="W12" s="388">
        <f>ROUND((F12-S12+V12),2)</f>
        <v>9702.4599999999991</v>
      </c>
    </row>
    <row r="13" spans="1:25" s="19" customFormat="1" ht="28.8" x14ac:dyDescent="0.3">
      <c r="A13" s="663">
        <f>Dados!A8</f>
        <v>333903702</v>
      </c>
      <c r="B13" s="134" t="str">
        <f>Dados!C8</f>
        <v>Servente de Limpeza  com acúmulo de função Copeira</v>
      </c>
      <c r="C13" s="389">
        <f>Dados!D8</f>
        <v>200</v>
      </c>
      <c r="D13" s="390">
        <f>Dados!B8</f>
        <v>1</v>
      </c>
      <c r="E13" s="391">
        <f>'Servente acúmulo de função Copa'!$F$46</f>
        <v>5507</v>
      </c>
      <c r="F13" s="392">
        <f>ROUND((D13*E13),2)</f>
        <v>5507</v>
      </c>
      <c r="G13" s="393">
        <f>'Servente acúmulo de função Copa'!$I$46</f>
        <v>53.77</v>
      </c>
      <c r="H13" s="394">
        <f>'Ocorrências Mensais - FAT'!F12+'Ocorrências Mensais - FAT'!H12</f>
        <v>0</v>
      </c>
      <c r="I13" s="395">
        <f>(ROUND((G13/Dados!$G$33*H13)-(G13/'Ocorrências Mensais - FAT'!$E$5*'Ocorrências Mensais - FAT'!G12),2))</f>
        <v>0</v>
      </c>
      <c r="J13" s="393">
        <f>'Servente acúmulo de função Copa'!$G$46</f>
        <v>4128.6400000000003</v>
      </c>
      <c r="K13" s="394">
        <f>'Ocorrências Mensais - FAT'!K12</f>
        <v>0</v>
      </c>
      <c r="L13" s="395">
        <f>J13/'Ocorrências Mensais - FAT'!$E$5*K13</f>
        <v>0</v>
      </c>
      <c r="M13" s="393">
        <f>'Custo Estimado Substituto'!G33</f>
        <v>3617.54</v>
      </c>
      <c r="N13" s="394">
        <f>'Ocorrências Mensais - FAT'!L12</f>
        <v>0</v>
      </c>
      <c r="O13" s="395">
        <f>M13/'Ocorrências Mensais - FAT'!$E$5*N13</f>
        <v>0</v>
      </c>
      <c r="P13" s="396">
        <f>'Servente acúmulo de função Copa'!$H$46</f>
        <v>639.78</v>
      </c>
      <c r="Q13" s="397">
        <f>'Ocorrências Mensais - FAT'!M12</f>
        <v>0</v>
      </c>
      <c r="R13" s="395">
        <f>ROUND((P13/Dados!$G$36*Q13),2)</f>
        <v>0</v>
      </c>
      <c r="S13" s="398">
        <f>I13+L13+O13+R13</f>
        <v>0</v>
      </c>
      <c r="T13" s="399">
        <f>'Servente Insalubridade 40%'!$J$47</f>
        <v>47.79</v>
      </c>
      <c r="U13" s="397">
        <f>'Ocorrências Mensais - FAT'!N12</f>
        <v>0</v>
      </c>
      <c r="V13" s="400">
        <f>T13*U13</f>
        <v>0</v>
      </c>
      <c r="W13" s="401">
        <f>ROUND((F13-S13+V13),2)</f>
        <v>5507</v>
      </c>
    </row>
    <row r="14" spans="1:25" s="19" customFormat="1" ht="15.75" customHeight="1" x14ac:dyDescent="0.3">
      <c r="A14" s="663"/>
      <c r="B14" s="402" t="str">
        <f>Dados!C9</f>
        <v>Servente de Limpeza com adicional de  Insalubridade 40%</v>
      </c>
      <c r="C14" s="403">
        <f>Dados!D9</f>
        <v>200</v>
      </c>
      <c r="D14" s="404">
        <f>Dados!B9</f>
        <v>1</v>
      </c>
      <c r="E14" s="405">
        <f>'Servente Insalubridade 40%'!$F$46</f>
        <v>6542.55</v>
      </c>
      <c r="F14" s="406">
        <f>ROUND((D14*E14),2)</f>
        <v>6542.55</v>
      </c>
      <c r="G14" s="407">
        <f>'Servente Insalubridade 40%'!$I$46</f>
        <v>53.77</v>
      </c>
      <c r="H14" s="408">
        <f>'Ocorrências Mensais - FAT'!F13+'Ocorrências Mensais - FAT'!H13</f>
        <v>0</v>
      </c>
      <c r="I14" s="409">
        <f>(ROUND((G14/Dados!$G$33*H14)-(G14/'Ocorrências Mensais - FAT'!$E$5*'Ocorrências Mensais - FAT'!G13),2))</f>
        <v>0</v>
      </c>
      <c r="J14" s="407">
        <f>'Servente Insalubridade 40%'!$G$46</f>
        <v>5461.44</v>
      </c>
      <c r="K14" s="408">
        <f>'Ocorrências Mensais - FAT'!K13</f>
        <v>0</v>
      </c>
      <c r="L14" s="409">
        <f>J14/'Ocorrências Mensais - FAT'!$E$5*K14</f>
        <v>0</v>
      </c>
      <c r="M14" s="407">
        <f>'Custo Estimado Substituto'!$H$33</f>
        <v>4771.8500000000004</v>
      </c>
      <c r="N14" s="408">
        <f>'Ocorrências Mensais - FAT'!L13</f>
        <v>0</v>
      </c>
      <c r="O14" s="409">
        <f>M14/'Ocorrências Mensais - FAT'!$E$5*N14</f>
        <v>0</v>
      </c>
      <c r="P14" s="410">
        <f>'Servente Insalubridade 40%'!$H$46</f>
        <v>639.78</v>
      </c>
      <c r="Q14" s="411">
        <f>'Ocorrências Mensais - FAT'!M13</f>
        <v>0</v>
      </c>
      <c r="R14" s="409">
        <f>ROUND((P14/Dados!$G$36*Q14),2)</f>
        <v>0</v>
      </c>
      <c r="S14" s="412">
        <f>I14+L14+O14+R14</f>
        <v>0</v>
      </c>
      <c r="T14" s="413"/>
      <c r="U14" s="414"/>
      <c r="V14" s="415"/>
      <c r="W14" s="416">
        <f>ROUND((F14-S14+V14),2)</f>
        <v>6542.55</v>
      </c>
    </row>
    <row r="15" spans="1:25" s="75" customFormat="1" ht="21.75" customHeight="1" x14ac:dyDescent="0.3">
      <c r="A15" s="664" t="s">
        <v>545</v>
      </c>
      <c r="B15" s="664"/>
      <c r="C15" s="664"/>
      <c r="D15" s="417">
        <f>SUM(D12:D14)</f>
        <v>4</v>
      </c>
      <c r="E15" s="418"/>
      <c r="F15" s="419">
        <f>SUM(F12:F14)</f>
        <v>21752.01</v>
      </c>
      <c r="G15" s="420"/>
      <c r="H15" s="418">
        <f t="shared" ref="H15:O15" si="0">SUM(H12:H14)</f>
        <v>0</v>
      </c>
      <c r="I15" s="421">
        <f t="shared" si="0"/>
        <v>0</v>
      </c>
      <c r="J15" s="422">
        <f t="shared" si="0"/>
        <v>14441.309999999998</v>
      </c>
      <c r="K15" s="418">
        <f t="shared" si="0"/>
        <v>0</v>
      </c>
      <c r="L15" s="421">
        <f t="shared" si="0"/>
        <v>0</v>
      </c>
      <c r="M15" s="423">
        <f t="shared" si="0"/>
        <v>12613.52</v>
      </c>
      <c r="N15" s="418">
        <f t="shared" si="0"/>
        <v>0</v>
      </c>
      <c r="O15" s="419">
        <f t="shared" si="0"/>
        <v>0</v>
      </c>
      <c r="P15" s="420"/>
      <c r="Q15" s="418">
        <f>SUM(Q12:Q14)</f>
        <v>0</v>
      </c>
      <c r="R15" s="419">
        <f>SUM(R12:R14)</f>
        <v>0</v>
      </c>
      <c r="S15" s="424">
        <f>SUM(S12:S14)</f>
        <v>0</v>
      </c>
      <c r="T15" s="425"/>
      <c r="U15" s="418">
        <f>SUM(U12:U14)</f>
        <v>0</v>
      </c>
      <c r="V15" s="419">
        <f>SUM(V12:V14)</f>
        <v>0</v>
      </c>
      <c r="W15" s="426">
        <f>SUM(W12:W14)</f>
        <v>21752.01</v>
      </c>
      <c r="X15" s="427" t="s">
        <v>546</v>
      </c>
      <c r="Y15" s="114"/>
    </row>
    <row r="16" spans="1:25" s="71" customFormat="1" ht="18" customHeight="1" x14ac:dyDescent="0.3">
      <c r="A16" s="665" t="s">
        <v>547</v>
      </c>
      <c r="B16" s="665"/>
      <c r="C16" s="665"/>
      <c r="D16" s="665"/>
      <c r="E16" s="665"/>
      <c r="F16" s="665"/>
      <c r="G16" s="665"/>
      <c r="H16" s="665"/>
      <c r="I16" s="665"/>
      <c r="J16" s="665"/>
      <c r="K16" s="665"/>
      <c r="L16" s="665"/>
      <c r="M16" s="665"/>
      <c r="N16" s="665"/>
      <c r="O16" s="665"/>
      <c r="P16" s="665"/>
      <c r="Q16" s="665"/>
      <c r="R16" s="665"/>
      <c r="S16" s="665"/>
      <c r="T16" s="665"/>
      <c r="U16" s="665"/>
      <c r="V16" s="665"/>
      <c r="W16" s="428">
        <f>Insumos!K41+Insumos!K57</f>
        <v>1952.2208333333335</v>
      </c>
    </row>
    <row r="17" spans="1:23" s="71" customFormat="1" ht="20.25" customHeight="1" x14ac:dyDescent="0.3">
      <c r="A17" s="665" t="s">
        <v>548</v>
      </c>
      <c r="B17" s="665"/>
      <c r="C17" s="665"/>
      <c r="D17" s="665"/>
      <c r="E17" s="665"/>
      <c r="F17" s="665"/>
      <c r="G17" s="665"/>
      <c r="H17" s="665"/>
      <c r="I17" s="665"/>
      <c r="J17" s="665"/>
      <c r="K17" s="665"/>
      <c r="L17" s="665"/>
      <c r="M17" s="665"/>
      <c r="N17" s="665"/>
      <c r="O17" s="665"/>
      <c r="P17" s="665"/>
      <c r="Q17" s="665"/>
      <c r="R17" s="665"/>
      <c r="S17" s="665"/>
      <c r="T17" s="665"/>
      <c r="U17" s="665"/>
      <c r="V17" s="665"/>
      <c r="W17" s="429">
        <f>W15*12</f>
        <v>261024.12</v>
      </c>
    </row>
    <row r="18" spans="1:23" s="80" customFormat="1" ht="24" customHeight="1" x14ac:dyDescent="0.3">
      <c r="A18" s="666" t="s">
        <v>45</v>
      </c>
      <c r="B18" s="666"/>
      <c r="C18" s="666"/>
      <c r="D18" s="666"/>
      <c r="E18" s="666"/>
      <c r="F18" s="666"/>
      <c r="G18" s="666"/>
      <c r="H18" s="666"/>
      <c r="I18" s="666"/>
      <c r="J18" s="666"/>
      <c r="K18" s="666"/>
      <c r="L18" s="666"/>
      <c r="M18" s="666"/>
      <c r="N18" s="666"/>
      <c r="O18" s="666"/>
      <c r="P18" s="666"/>
      <c r="Q18" s="666"/>
      <c r="R18" s="666"/>
      <c r="S18" s="666"/>
      <c r="T18" s="666"/>
      <c r="U18" s="666"/>
      <c r="V18" s="666"/>
      <c r="W18" s="666"/>
    </row>
    <row r="19" spans="1:23" s="71" customFormat="1" ht="13.8" x14ac:dyDescent="0.3">
      <c r="A19" s="660"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R$47,79 por dia em que este fato ocorrer.</v>
      </c>
      <c r="B19" s="660"/>
      <c r="C19" s="660"/>
      <c r="D19" s="660"/>
      <c r="E19" s="660"/>
      <c r="F19" s="660"/>
      <c r="G19" s="660"/>
      <c r="H19" s="660"/>
      <c r="I19" s="660"/>
      <c r="J19" s="660"/>
      <c r="K19" s="660"/>
      <c r="L19" s="660"/>
      <c r="M19" s="660"/>
      <c r="N19" s="660"/>
      <c r="O19" s="660"/>
      <c r="P19" s="660"/>
      <c r="Q19" s="660"/>
      <c r="R19" s="660"/>
      <c r="S19" s="660"/>
      <c r="T19" s="660"/>
      <c r="U19" s="660"/>
      <c r="V19" s="660"/>
      <c r="W19" s="660"/>
    </row>
    <row r="20" spans="1:23" s="430" customFormat="1" ht="18.75" customHeight="1" x14ac:dyDescent="0.3">
      <c r="A20" s="661" t="s">
        <v>549</v>
      </c>
      <c r="B20" s="661"/>
      <c r="C20" s="661"/>
      <c r="D20" s="661"/>
      <c r="E20" s="661"/>
      <c r="F20" s="661"/>
      <c r="G20" s="661"/>
      <c r="H20" s="661"/>
      <c r="I20" s="661"/>
      <c r="J20" s="661"/>
      <c r="K20" s="661"/>
      <c r="L20" s="661"/>
      <c r="M20" s="661"/>
      <c r="N20" s="661"/>
      <c r="O20" s="661"/>
      <c r="P20" s="661"/>
      <c r="Q20" s="661"/>
      <c r="R20" s="661"/>
      <c r="S20" s="661"/>
      <c r="T20" s="661"/>
      <c r="U20" s="661"/>
      <c r="V20" s="661"/>
      <c r="W20" s="661"/>
    </row>
    <row r="21" spans="1:23" x14ac:dyDescent="0.3">
      <c r="A21" s="662"/>
      <c r="B21" s="662"/>
      <c r="C21" s="662"/>
      <c r="D21" s="662"/>
      <c r="E21" s="662"/>
      <c r="F21" s="662"/>
      <c r="G21" s="662"/>
      <c r="H21" s="662"/>
      <c r="I21" s="662"/>
      <c r="J21" s="662"/>
      <c r="K21" s="662"/>
      <c r="L21" s="662"/>
      <c r="M21" s="662"/>
      <c r="N21" s="662"/>
      <c r="O21" s="662"/>
      <c r="P21" s="662"/>
      <c r="Q21" s="662"/>
      <c r="R21" s="662"/>
      <c r="S21" s="662"/>
      <c r="T21" s="662"/>
      <c r="U21" s="662"/>
      <c r="V21" s="662"/>
      <c r="W21" s="662"/>
    </row>
    <row r="22" spans="1:23" x14ac:dyDescent="0.3">
      <c r="A22" s="662"/>
      <c r="B22" s="662"/>
      <c r="C22" s="662"/>
      <c r="D22" s="662"/>
      <c r="E22" s="662"/>
      <c r="F22" s="662"/>
      <c r="G22" s="662"/>
      <c r="H22" s="662"/>
      <c r="I22" s="662"/>
      <c r="J22" s="662"/>
      <c r="K22" s="662"/>
      <c r="L22" s="662"/>
      <c r="M22" s="662"/>
      <c r="N22" s="662"/>
      <c r="O22" s="662"/>
      <c r="P22" s="662"/>
      <c r="Q22" s="662"/>
      <c r="R22" s="662"/>
      <c r="S22" s="662"/>
      <c r="T22" s="662"/>
      <c r="U22" s="662"/>
      <c r="V22" s="662"/>
      <c r="W22" s="662"/>
    </row>
  </sheetData>
  <sheetProtection algorithmName="SHA-512" hashValue="9i+vD3fRgjIQJ8KgKgsXNcua8TfwE71WAlwqSVbEkMhEsLKVjjYae9EBVoO0udc+63r5PY7Dg1+cvbinqFftgg==" saltValue="5oz7HM61USnUaw6DpXSIKQ==" spinCount="100000" sheet="1" objects="1" scenarios="1"/>
  <mergeCells count="30">
    <mergeCell ref="A19:W19"/>
    <mergeCell ref="A20:W20"/>
    <mergeCell ref="A21:W21"/>
    <mergeCell ref="A22:W22"/>
    <mergeCell ref="A13:A14"/>
    <mergeCell ref="A15:C15"/>
    <mergeCell ref="A16:V16"/>
    <mergeCell ref="A17:V17"/>
    <mergeCell ref="A18:W18"/>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rintOptions horizontalCentered="1" verticalCentered="1"/>
  <pageMargins left="0.51180555555555596" right="0.51180555555555596" top="0.78749999999999998" bottom="0.78749999999999998" header="0.511811023622047" footer="0.511811023622047"/>
  <pageSetup paperSize="9" scale="28" fitToHeight="2" orientation="portrait" horizontalDpi="300" verticalDpi="300"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16</vt:i4>
      </vt:variant>
    </vt:vector>
  </HeadingPairs>
  <TitlesOfParts>
    <vt:vector size="30" baseType="lpstr">
      <vt:lpstr>Ocorrências Mensais - FAT</vt:lpstr>
      <vt:lpstr>INSTRUÇÕES</vt:lpstr>
      <vt:lpstr>Dados</vt:lpstr>
      <vt:lpstr>Encargos</vt:lpstr>
      <vt:lpstr>Insumos</vt:lpstr>
      <vt:lpstr>Equipamentos</vt:lpstr>
      <vt:lpstr>EPI</vt:lpstr>
      <vt:lpstr>Uniformes</vt:lpstr>
      <vt:lpstr>Resumo</vt:lpstr>
      <vt:lpstr>Auxiliar Administrativo</vt:lpstr>
      <vt:lpstr>Servente acúmulo de função Copa</vt:lpstr>
      <vt:lpstr>Servente Insalubridade 40%</vt:lpstr>
      <vt:lpstr>Custo Estimado Substituto</vt:lpstr>
      <vt:lpstr>IPCA</vt:lpstr>
      <vt:lpstr>'Auxiliar Administrativo'!Area_de_impressao</vt:lpstr>
      <vt:lpstr>Dados!Area_de_impressao</vt:lpstr>
      <vt:lpstr>Encargos!Area_de_impressao</vt:lpstr>
      <vt:lpstr>Equipamentos!Area_de_impressao</vt:lpstr>
      <vt:lpstr>INSTRUÇÕES!Area_de_impressao</vt:lpstr>
      <vt:lpstr>Insumos!Area_de_impressao</vt:lpstr>
      <vt:lpstr>'Servente acúmulo de função Copa'!Area_de_impressao</vt:lpstr>
      <vt:lpstr>'Servente Insalubridade 40%'!Area_de_impressao</vt:lpstr>
      <vt:lpstr>Uniformes!Area_de_impressao</vt:lpstr>
      <vt:lpstr>'Auxiliar Administrativo'!Print_Area_0</vt:lpstr>
      <vt:lpstr>Dados!Print_Area_0</vt:lpstr>
      <vt:lpstr>Encargos!Print_Area_0</vt:lpstr>
      <vt:lpstr>Insumos!Print_Area_0</vt:lpstr>
      <vt:lpstr>'Servente acúmulo de função Copa'!Print_Area_0</vt:lpstr>
      <vt:lpstr>'Servente Insalubridade 40%'!Print_Area_0</vt:lpstr>
      <vt:lpstr>Uniformes!Print_Area_0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Rita Marcia Bruno</cp:lastModifiedBy>
  <cp:revision>15</cp:revision>
  <dcterms:created xsi:type="dcterms:W3CDTF">2015-06-05T18:17:20Z</dcterms:created>
  <dcterms:modified xsi:type="dcterms:W3CDTF">2026-03-02T14:08:12Z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