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mc:AlternateContent xmlns:mc="http://schemas.openxmlformats.org/markup-compatibility/2006">
    <mc:Choice Requires="x15">
      <x15ac:absPath xmlns:x15ac="http://schemas.microsoft.com/office/spreadsheetml/2010/11/ac" url="C:\Users\ritab\Downloads\"/>
    </mc:Choice>
  </mc:AlternateContent>
  <xr:revisionPtr revIDLastSave="0" documentId="8_{4F94B035-6231-4EFB-AC72-43213968A3FB}" xr6:coauthVersionLast="47" xr6:coauthVersionMax="47" xr10:uidLastSave="{00000000-0000-0000-0000-000000000000}"/>
  <bookViews>
    <workbookView xWindow="-108" yWindow="-108" windowWidth="23256" windowHeight="13896" tabRatio="808" firstSheet="1" activeTab="8" xr2:uid="{00000000-000D-0000-FFFF-FFFF00000000}"/>
  </bookViews>
  <sheets>
    <sheet name="Ocorrências Mensais - FAT" sheetId="2" state="hidden" r:id="rId1"/>
    <sheet name="INSTRUÇÕES" sheetId="1" r:id="rId2"/>
    <sheet name="Dados" sheetId="3" r:id="rId3"/>
    <sheet name="Encargos" sheetId="4" r:id="rId4"/>
    <sheet name="Equipamentos" sheetId="5" r:id="rId5"/>
    <sheet name="EPI" sheetId="23" r:id="rId6"/>
    <sheet name="Insumos" sheetId="6" r:id="rId7"/>
    <sheet name="Uniformes" sheetId="7" r:id="rId8"/>
    <sheet name="Resumo" sheetId="8" r:id="rId9"/>
    <sheet name="Custo Substituto" sheetId="9" r:id="rId10"/>
    <sheet name="Assistente Administrativo 150" sheetId="10" r:id="rId11"/>
    <sheet name="Assistente Administrativo 200" sheetId="11" r:id="rId12"/>
    <sheet name="Encarregado Geral" sheetId="13" r:id="rId13"/>
    <sheet name="Copeira 200" sheetId="14" r:id="rId14"/>
    <sheet name="Servente Limpeza - Insal. (20%)" sheetId="15" r:id="rId15"/>
    <sheet name="Limpador de Vidro" sheetId="16" r:id="rId16"/>
    <sheet name="Recepcionista 150" sheetId="17" r:id="rId17"/>
    <sheet name="Servente Limpeza - Insal (40%)" sheetId="19" r:id="rId18"/>
    <sheet name="Servente Limpeza 200h" sheetId="20" r:id="rId19"/>
    <sheet name="Zelador acúmulo Lavador Jardin." sheetId="21" r:id="rId20"/>
    <sheet name="IPCA" sheetId="22" state="hidden" r:id="rId21"/>
  </sheets>
  <definedNames>
    <definedName name="_xlnm.Print_Area" localSheetId="10">'Assistente Administrativo 150'!$A$1:$J$46</definedName>
    <definedName name="_xlnm.Print_Area" localSheetId="11">'Assistente Administrativo 200'!$A$1:$J$46</definedName>
    <definedName name="_xlnm.Print_Area" localSheetId="13">'Copeira 200'!$A$1:$J$47</definedName>
    <definedName name="_xlnm.Print_Area" localSheetId="2">Dados!$A$1:$V$61</definedName>
    <definedName name="_xlnm.Print_Area" localSheetId="3">Encargos!$A$1:$C$59</definedName>
    <definedName name="_xlnm.Print_Area" localSheetId="12">'Encarregado Geral'!$A$1:$J$46</definedName>
    <definedName name="_xlnm.Print_Area" localSheetId="6">Insumos!$A$1:$K$63</definedName>
    <definedName name="_xlnm.Print_Area" localSheetId="15">'Limpador de Vidro'!$A$1:$J$47</definedName>
    <definedName name="_xlnm.Print_Area" localSheetId="16">'Recepcionista 150'!$A$1:$J$46</definedName>
    <definedName name="_xlnm.Print_Area" localSheetId="8">Resumo!$A$1:$W$27</definedName>
    <definedName name="_xlnm.Print_Area" localSheetId="17">'Servente Limpeza - Insal (40%)'!$A$1:$J$47</definedName>
    <definedName name="_xlnm.Print_Area" localSheetId="14">'Servente Limpeza - Insal. (20%)'!$A$1:$J$47</definedName>
    <definedName name="_xlnm.Print_Area" localSheetId="18">'Servente Limpeza 200h'!$A$1:$J$47</definedName>
    <definedName name="_xlnm.Print_Area" localSheetId="7">Uniformes!$A$1:$H$38</definedName>
    <definedName name="_xlnm.Print_Area" localSheetId="19">'Zelador acúmulo Lavador Jardin.'!$A$1:$J$47</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3" l="1"/>
  <c r="C8" i="23"/>
  <c r="F8" i="23" s="1"/>
  <c r="D42" i="13"/>
  <c r="D23" i="10"/>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B24" i="9"/>
  <c r="D42" i="19"/>
  <c r="D42" i="20"/>
  <c r="D42" i="21"/>
  <c r="A43" i="19"/>
  <c r="A43" i="20"/>
  <c r="A43" i="21"/>
  <c r="A42" i="19"/>
  <c r="A42" i="20"/>
  <c r="A42" i="21"/>
  <c r="A43" i="16"/>
  <c r="A43" i="15"/>
  <c r="A42" i="16"/>
  <c r="A42" i="15"/>
  <c r="D42" i="14"/>
  <c r="A43" i="14"/>
  <c r="A42" i="14"/>
  <c r="A42" i="11"/>
  <c r="A42" i="13"/>
  <c r="A42" i="17"/>
  <c r="A42" i="10"/>
  <c r="G61" i="3"/>
  <c r="E61" i="3"/>
  <c r="D13" i="8"/>
  <c r="D14" i="8"/>
  <c r="D15" i="8"/>
  <c r="D16" i="8"/>
  <c r="D17" i="8"/>
  <c r="D18" i="8"/>
  <c r="D19" i="8"/>
  <c r="D20" i="8"/>
  <c r="D21" i="8"/>
  <c r="D12" i="8"/>
  <c r="B3" i="23"/>
  <c r="B2" i="23"/>
  <c r="B1" i="23"/>
  <c r="I8" i="23" l="1"/>
  <c r="J8" i="23" s="1"/>
  <c r="G8" i="23" s="1"/>
  <c r="G9" i="23" s="1"/>
  <c r="F26" i="14" l="1"/>
  <c r="G26" i="14" s="1"/>
  <c r="T13" i="3"/>
  <c r="F26" i="19" s="1"/>
  <c r="G26" i="19" s="1"/>
  <c r="T12" i="3"/>
  <c r="F26" i="20" s="1"/>
  <c r="G26" i="20" s="1"/>
  <c r="T11" i="3"/>
  <c r="F26" i="16" s="1"/>
  <c r="G26" i="16" s="1"/>
  <c r="T10" i="3"/>
  <c r="F26" i="15" s="1"/>
  <c r="G26" i="15" s="1"/>
  <c r="T14" i="3"/>
  <c r="F26" i="21" s="1"/>
  <c r="G26" i="21" s="1"/>
  <c r="U17" i="8"/>
  <c r="A41" i="17"/>
  <c r="A41" i="11"/>
  <c r="A41" i="10"/>
  <c r="H32" i="5"/>
  <c r="H28" i="5"/>
  <c r="H24" i="5"/>
  <c r="H20" i="5"/>
  <c r="H17" i="5"/>
  <c r="A62" i="7"/>
  <c r="A53" i="7"/>
  <c r="F51" i="7" s="1"/>
  <c r="A45" i="7"/>
  <c r="A36" i="7"/>
  <c r="A29" i="7"/>
  <c r="A20" i="7"/>
  <c r="A11" i="7"/>
  <c r="E31" i="5"/>
  <c r="F31" i="5" s="1"/>
  <c r="G31" i="5" s="1"/>
  <c r="G32" i="5" s="1"/>
  <c r="E27" i="5"/>
  <c r="F27" i="5" s="1"/>
  <c r="G27" i="5" s="1"/>
  <c r="G28" i="5" s="1"/>
  <c r="E23" i="5"/>
  <c r="F23" i="5" s="1"/>
  <c r="G23" i="5" s="1"/>
  <c r="G24" i="5" s="1"/>
  <c r="F26" i="7" l="1"/>
  <c r="F27" i="7"/>
  <c r="F28" i="7"/>
  <c r="U11" i="3"/>
  <c r="F25" i="7"/>
  <c r="F29" i="7"/>
  <c r="F17" i="7"/>
  <c r="F16" i="7"/>
  <c r="F52" i="7"/>
  <c r="F19" i="7"/>
  <c r="F18" i="7"/>
  <c r="F53" i="7"/>
  <c r="F50" i="7"/>
  <c r="F20" i="7"/>
  <c r="N135" i="2"/>
  <c r="N136" i="2"/>
  <c r="N137" i="2"/>
  <c r="O137" i="2" s="1"/>
  <c r="N138" i="2"/>
  <c r="O138" i="2" s="1"/>
  <c r="N139" i="2"/>
  <c r="O139" i="2" s="1"/>
  <c r="M135" i="2"/>
  <c r="M136" i="2"/>
  <c r="M137" i="2"/>
  <c r="M138" i="2"/>
  <c r="M139" i="2"/>
  <c r="F135" i="2"/>
  <c r="F136" i="2"/>
  <c r="F137" i="2"/>
  <c r="F138" i="2"/>
  <c r="F139" i="2"/>
  <c r="F134" i="2"/>
  <c r="E135" i="2"/>
  <c r="E136" i="2"/>
  <c r="E137" i="2"/>
  <c r="E138" i="2"/>
  <c r="E139" i="2"/>
  <c r="E134" i="2"/>
  <c r="B135" i="2"/>
  <c r="B136" i="2"/>
  <c r="B137" i="2"/>
  <c r="B138" i="2"/>
  <c r="B139" i="2"/>
  <c r="B134" i="2"/>
  <c r="F117" i="2"/>
  <c r="F118" i="2"/>
  <c r="F119" i="2"/>
  <c r="F120" i="2"/>
  <c r="F121" i="2"/>
  <c r="F122" i="2"/>
  <c r="F123" i="2"/>
  <c r="F124" i="2"/>
  <c r="F125" i="2"/>
  <c r="F116" i="2"/>
  <c r="E117" i="2"/>
  <c r="E118" i="2"/>
  <c r="E119" i="2"/>
  <c r="E120" i="2"/>
  <c r="E121" i="2"/>
  <c r="E122" i="2"/>
  <c r="E123" i="2"/>
  <c r="E124" i="2"/>
  <c r="E125" i="2"/>
  <c r="E116" i="2"/>
  <c r="B117" i="2"/>
  <c r="B118" i="2"/>
  <c r="B119" i="2"/>
  <c r="B120" i="2"/>
  <c r="B121" i="2"/>
  <c r="B122" i="2"/>
  <c r="B123" i="2"/>
  <c r="B124" i="2"/>
  <c r="B125" i="2"/>
  <c r="B116" i="2"/>
  <c r="N94" i="2"/>
  <c r="O94" i="2" s="1"/>
  <c r="N95" i="2"/>
  <c r="O95" i="2" s="1"/>
  <c r="N96" i="2"/>
  <c r="O96" i="2" s="1"/>
  <c r="N97" i="2"/>
  <c r="O97" i="2" s="1"/>
  <c r="N98" i="2"/>
  <c r="O98" i="2" s="1"/>
  <c r="N99" i="2"/>
  <c r="O99" i="2" s="1"/>
  <c r="N100" i="2"/>
  <c r="O100" i="2" s="1"/>
  <c r="N101" i="2"/>
  <c r="O101" i="2" s="1"/>
  <c r="N102" i="2"/>
  <c r="O102" i="2" s="1"/>
  <c r="N103" i="2"/>
  <c r="O103" i="2" s="1"/>
  <c r="N104" i="2"/>
  <c r="O104" i="2" s="1"/>
  <c r="N105" i="2"/>
  <c r="O105" i="2" s="1"/>
  <c r="N106" i="2"/>
  <c r="O106" i="2" s="1"/>
  <c r="N107" i="2"/>
  <c r="O107" i="2" s="1"/>
  <c r="M94" i="2"/>
  <c r="M95" i="2"/>
  <c r="M96" i="2"/>
  <c r="M97" i="2"/>
  <c r="M98" i="2"/>
  <c r="M99" i="2"/>
  <c r="M100" i="2"/>
  <c r="M101" i="2"/>
  <c r="M102" i="2"/>
  <c r="M103" i="2"/>
  <c r="M104" i="2"/>
  <c r="M105" i="2"/>
  <c r="M106" i="2"/>
  <c r="M107" i="2"/>
  <c r="F94" i="2"/>
  <c r="F95" i="2"/>
  <c r="F96" i="2"/>
  <c r="F97" i="2"/>
  <c r="F98" i="2"/>
  <c r="F99" i="2"/>
  <c r="F100" i="2"/>
  <c r="F101" i="2"/>
  <c r="F102" i="2"/>
  <c r="F103" i="2"/>
  <c r="F104" i="2"/>
  <c r="F105" i="2"/>
  <c r="F106" i="2"/>
  <c r="F107" i="2"/>
  <c r="F93" i="2"/>
  <c r="E94" i="2"/>
  <c r="E95" i="2"/>
  <c r="E96" i="2"/>
  <c r="E97" i="2"/>
  <c r="E98" i="2"/>
  <c r="E99" i="2"/>
  <c r="E100" i="2"/>
  <c r="E101" i="2"/>
  <c r="E102" i="2"/>
  <c r="E103" i="2"/>
  <c r="E104" i="2"/>
  <c r="E105" i="2"/>
  <c r="E106" i="2"/>
  <c r="E107" i="2"/>
  <c r="E93"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B97" i="2"/>
  <c r="B98" i="2"/>
  <c r="B99" i="2"/>
  <c r="B100" i="2"/>
  <c r="B101" i="2"/>
  <c r="B102" i="2"/>
  <c r="B103" i="2"/>
  <c r="B104" i="2"/>
  <c r="B105" i="2"/>
  <c r="B106" i="2"/>
  <c r="B107" i="2"/>
  <c r="B94" i="2"/>
  <c r="B95" i="2"/>
  <c r="B96" i="2"/>
  <c r="B93"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A25" i="21"/>
  <c r="A24" i="21"/>
  <c r="A25" i="20"/>
  <c r="A24" i="20"/>
  <c r="A25" i="19"/>
  <c r="A24" i="19"/>
  <c r="A25" i="17"/>
  <c r="A24" i="17"/>
  <c r="A25" i="16"/>
  <c r="A24" i="16"/>
  <c r="A25" i="15"/>
  <c r="A24" i="15"/>
  <c r="A25" i="14"/>
  <c r="A24" i="14"/>
  <c r="A25" i="13"/>
  <c r="A24" i="13"/>
  <c r="A25" i="11"/>
  <c r="A24" i="11"/>
  <c r="A25" i="10"/>
  <c r="A24" i="10"/>
  <c r="E24" i="9"/>
  <c r="E23" i="15"/>
  <c r="E23" i="17"/>
  <c r="E23" i="19"/>
  <c r="D11" i="10"/>
  <c r="L137" i="2" l="1"/>
  <c r="L139" i="2"/>
  <c r="L138" i="2"/>
  <c r="L104" i="2"/>
  <c r="L103" i="2"/>
  <c r="L105" i="2"/>
  <c r="G105" i="2" s="1"/>
  <c r="L102" i="2"/>
  <c r="L97" i="2"/>
  <c r="L101" i="2"/>
  <c r="L100" i="2"/>
  <c r="G100" i="2" s="1"/>
  <c r="L107" i="2"/>
  <c r="G107" i="2" s="1"/>
  <c r="L99" i="2"/>
  <c r="G99" i="2" s="1"/>
  <c r="L106" i="2"/>
  <c r="G106" i="2" s="1"/>
  <c r="L98" i="2"/>
  <c r="G98" i="2" s="1"/>
  <c r="G104" i="2" l="1"/>
  <c r="H104" i="2" s="1"/>
  <c r="G97" i="2"/>
  <c r="G138" i="2"/>
  <c r="G102" i="2"/>
  <c r="J78" i="6"/>
  <c r="K78" i="6" s="1"/>
  <c r="G103" i="2"/>
  <c r="G139" i="2"/>
  <c r="I139" i="2" s="1"/>
  <c r="J76" i="6"/>
  <c r="K76" i="6" s="1"/>
  <c r="G101" i="2"/>
  <c r="H101" i="2" s="1"/>
  <c r="G137" i="2"/>
  <c r="H137" i="2" s="1"/>
  <c r="J80" i="6"/>
  <c r="K80" i="6" s="1"/>
  <c r="I105" i="2"/>
  <c r="H105" i="2"/>
  <c r="I103" i="2"/>
  <c r="H103" i="2"/>
  <c r="I104" i="2"/>
  <c r="J79" i="6"/>
  <c r="K79" i="6" s="1"/>
  <c r="H97" i="2"/>
  <c r="I101" i="2"/>
  <c r="H107" i="2"/>
  <c r="J82" i="6"/>
  <c r="K82" i="6" s="1"/>
  <c r="H98" i="2"/>
  <c r="J73" i="6"/>
  <c r="K73" i="6" s="1"/>
  <c r="I106" i="2"/>
  <c r="J81" i="6"/>
  <c r="K81" i="6" s="1"/>
  <c r="H100" i="2"/>
  <c r="J75" i="6"/>
  <c r="K75" i="6" s="1"/>
  <c r="I100" i="2"/>
  <c r="I99" i="2"/>
  <c r="J74" i="6"/>
  <c r="K74" i="6" s="1"/>
  <c r="I107" i="2"/>
  <c r="I98" i="2"/>
  <c r="H106" i="2"/>
  <c r="H99" i="2"/>
  <c r="J72" i="6" l="1"/>
  <c r="K72" i="6" s="1"/>
  <c r="I97" i="2"/>
  <c r="I138" i="2"/>
  <c r="J109" i="6"/>
  <c r="K109" i="6" s="1"/>
  <c r="H138" i="2"/>
  <c r="J77" i="6"/>
  <c r="K77" i="6" s="1"/>
  <c r="H102" i="2"/>
  <c r="I137" i="2"/>
  <c r="I102" i="2"/>
  <c r="J108" i="6"/>
  <c r="K108" i="6" s="1"/>
  <c r="E23" i="10"/>
  <c r="C42" i="4"/>
  <c r="C41" i="4"/>
  <c r="H10" i="3" l="1"/>
  <c r="F12" i="2"/>
  <c r="F13" i="2"/>
  <c r="F14" i="2"/>
  <c r="F15" i="2"/>
  <c r="F16" i="2"/>
  <c r="F17" i="2"/>
  <c r="F18" i="2"/>
  <c r="F19" i="2"/>
  <c r="F20" i="2"/>
  <c r="F11" i="2"/>
  <c r="AG22" i="22" l="1"/>
  <c r="AH22" i="22" s="1"/>
  <c r="AE22" i="22"/>
  <c r="Z22" i="22"/>
  <c r="AA22" i="22" s="1"/>
  <c r="X22" i="22"/>
  <c r="S22" i="22"/>
  <c r="T22" i="22" s="1"/>
  <c r="Q22" i="22"/>
  <c r="L22" i="22"/>
  <c r="M22" i="22" s="1"/>
  <c r="J22" i="22"/>
  <c r="I22" i="22"/>
  <c r="P22" i="22" s="1"/>
  <c r="W22" i="22" s="1"/>
  <c r="AD22" i="22" s="1"/>
  <c r="F22" i="22"/>
  <c r="AH21" i="22"/>
  <c r="AE21" i="22"/>
  <c r="AA21" i="22"/>
  <c r="X21" i="22"/>
  <c r="T21" i="22"/>
  <c r="Q21" i="22"/>
  <c r="M21" i="22"/>
  <c r="J21" i="22"/>
  <c r="I21" i="22"/>
  <c r="P21" i="22" s="1"/>
  <c r="W21" i="22" s="1"/>
  <c r="AD21" i="22" s="1"/>
  <c r="F21" i="22"/>
  <c r="AH20" i="22"/>
  <c r="AE20" i="22"/>
  <c r="AA20" i="22"/>
  <c r="X20" i="22"/>
  <c r="T20" i="22"/>
  <c r="Q20" i="22"/>
  <c r="M20" i="22"/>
  <c r="J20" i="22"/>
  <c r="I20" i="22"/>
  <c r="P20" i="22" s="1"/>
  <c r="W20" i="22" s="1"/>
  <c r="AD20" i="22" s="1"/>
  <c r="F20" i="22"/>
  <c r="AH19" i="22"/>
  <c r="AE19" i="22"/>
  <c r="AA19" i="22"/>
  <c r="X19" i="22"/>
  <c r="T19" i="22"/>
  <c r="Q19" i="22"/>
  <c r="M19" i="22"/>
  <c r="J19" i="22"/>
  <c r="I19" i="22"/>
  <c r="P19" i="22" s="1"/>
  <c r="W19" i="22" s="1"/>
  <c r="AD19" i="22" s="1"/>
  <c r="F19" i="22"/>
  <c r="AH18" i="22"/>
  <c r="AE18" i="22"/>
  <c r="AA18" i="22"/>
  <c r="X18" i="22"/>
  <c r="T18" i="22"/>
  <c r="Q18" i="22"/>
  <c r="M18" i="22"/>
  <c r="J18" i="22"/>
  <c r="I18" i="22"/>
  <c r="P18" i="22" s="1"/>
  <c r="W18" i="22" s="1"/>
  <c r="AD18" i="22" s="1"/>
  <c r="F18" i="22"/>
  <c r="AH17" i="22"/>
  <c r="AE17" i="22"/>
  <c r="AA17" i="22"/>
  <c r="X17" i="22"/>
  <c r="T17" i="22"/>
  <c r="Q17" i="22"/>
  <c r="M17" i="22"/>
  <c r="J17" i="22"/>
  <c r="I17" i="22"/>
  <c r="P17" i="22" s="1"/>
  <c r="W17" i="22" s="1"/>
  <c r="AD17" i="22" s="1"/>
  <c r="F17" i="22"/>
  <c r="AH16" i="22"/>
  <c r="AE16" i="22"/>
  <c r="AA16" i="22"/>
  <c r="X16" i="22"/>
  <c r="T16" i="22"/>
  <c r="Q16" i="22"/>
  <c r="M16" i="22"/>
  <c r="J16" i="22"/>
  <c r="I16" i="22"/>
  <c r="P16" i="22" s="1"/>
  <c r="W16" i="22" s="1"/>
  <c r="AD16" i="22" s="1"/>
  <c r="F16" i="22"/>
  <c r="AH15" i="22"/>
  <c r="AE15" i="22"/>
  <c r="AA15" i="22"/>
  <c r="X15" i="22"/>
  <c r="T15" i="22"/>
  <c r="Q15" i="22"/>
  <c r="M15" i="22"/>
  <c r="J15" i="22"/>
  <c r="I15" i="22"/>
  <c r="P15" i="22" s="1"/>
  <c r="W15" i="22" s="1"/>
  <c r="AD15" i="22" s="1"/>
  <c r="F15" i="22"/>
  <c r="AH14" i="22"/>
  <c r="AE14" i="22"/>
  <c r="AA14" i="22"/>
  <c r="X14" i="22"/>
  <c r="T14" i="22"/>
  <c r="Q14" i="22"/>
  <c r="M14" i="22"/>
  <c r="J14" i="22"/>
  <c r="I14" i="22"/>
  <c r="P14" i="22" s="1"/>
  <c r="W14" i="22" s="1"/>
  <c r="AD14" i="22" s="1"/>
  <c r="F14" i="22"/>
  <c r="AH13" i="22"/>
  <c r="AE13" i="22"/>
  <c r="AA13" i="22"/>
  <c r="X13" i="22"/>
  <c r="T13" i="22"/>
  <c r="Q13" i="22"/>
  <c r="M13" i="22"/>
  <c r="J13" i="22"/>
  <c r="I13" i="22"/>
  <c r="P13" i="22" s="1"/>
  <c r="W13" i="22" s="1"/>
  <c r="AD13" i="22" s="1"/>
  <c r="F13" i="22"/>
  <c r="AH12" i="22"/>
  <c r="AE12" i="22"/>
  <c r="AA12" i="22"/>
  <c r="X12" i="22"/>
  <c r="T12" i="22"/>
  <c r="Q12" i="22"/>
  <c r="M12" i="22"/>
  <c r="J12" i="22"/>
  <c r="I12" i="22"/>
  <c r="P12" i="22" s="1"/>
  <c r="W12" i="22" s="1"/>
  <c r="AD12" i="22" s="1"/>
  <c r="F12" i="22"/>
  <c r="AH11" i="22"/>
  <c r="AE11" i="22"/>
  <c r="AA11" i="22"/>
  <c r="X11" i="22"/>
  <c r="T11" i="22"/>
  <c r="Q11" i="22"/>
  <c r="M11" i="22"/>
  <c r="J11" i="22"/>
  <c r="I11" i="22"/>
  <c r="P11" i="22" s="1"/>
  <c r="W11" i="22" s="1"/>
  <c r="AD11" i="22" s="1"/>
  <c r="F11" i="22"/>
  <c r="AG10" i="22"/>
  <c r="AH10" i="22" s="1"/>
  <c r="AI10" i="22" s="1"/>
  <c r="AE10" i="22"/>
  <c r="Z10" i="22"/>
  <c r="AA10" i="22" s="1"/>
  <c r="AB10" i="22" s="1"/>
  <c r="AB11" i="22" s="1"/>
  <c r="AB12" i="22" s="1"/>
  <c r="X10" i="22"/>
  <c r="S10" i="22"/>
  <c r="T10" i="22" s="1"/>
  <c r="U10" i="22" s="1"/>
  <c r="Q10" i="22"/>
  <c r="L10" i="22"/>
  <c r="M10" i="22" s="1"/>
  <c r="N10" i="22" s="1"/>
  <c r="J10" i="22"/>
  <c r="I10" i="22"/>
  <c r="P10" i="22" s="1"/>
  <c r="W10" i="22" s="1"/>
  <c r="AD10" i="22" s="1"/>
  <c r="F10" i="22"/>
  <c r="G10" i="22" s="1"/>
  <c r="B3" i="22"/>
  <c r="D41" i="21"/>
  <c r="D40" i="21"/>
  <c r="D36" i="21"/>
  <c r="D34" i="21"/>
  <c r="J30" i="21"/>
  <c r="F25" i="21"/>
  <c r="G25" i="21" s="1"/>
  <c r="F24" i="21"/>
  <c r="G24" i="21" s="1"/>
  <c r="E23" i="21"/>
  <c r="D23" i="21"/>
  <c r="E22" i="21"/>
  <c r="D22" i="21"/>
  <c r="C22" i="21"/>
  <c r="F21" i="21"/>
  <c r="G21" i="21" s="1"/>
  <c r="F20" i="21"/>
  <c r="G20" i="21" s="1"/>
  <c r="I14" i="21"/>
  <c r="I16" i="21" s="1"/>
  <c r="H14" i="21"/>
  <c r="H16" i="21" s="1"/>
  <c r="D13" i="21"/>
  <c r="C13" i="21"/>
  <c r="E12" i="21"/>
  <c r="D12" i="21"/>
  <c r="E11" i="21"/>
  <c r="D11" i="21"/>
  <c r="A7" i="21"/>
  <c r="A45" i="21" s="1"/>
  <c r="B3" i="21"/>
  <c r="B2" i="21"/>
  <c r="B1" i="21"/>
  <c r="D41" i="20"/>
  <c r="D40" i="20"/>
  <c r="D36" i="20"/>
  <c r="D34" i="20"/>
  <c r="J30" i="20"/>
  <c r="F28" i="20"/>
  <c r="F25" i="20"/>
  <c r="G25" i="20" s="1"/>
  <c r="F24" i="20"/>
  <c r="G24" i="20" s="1"/>
  <c r="E23" i="20"/>
  <c r="D23" i="20"/>
  <c r="E22" i="20"/>
  <c r="D22" i="20"/>
  <c r="C22" i="20"/>
  <c r="F21" i="20"/>
  <c r="G21" i="20" s="1"/>
  <c r="F20" i="20"/>
  <c r="G20" i="20" s="1"/>
  <c r="I14" i="20"/>
  <c r="I16" i="20" s="1"/>
  <c r="H14" i="20"/>
  <c r="H16" i="20" s="1"/>
  <c r="E13" i="20"/>
  <c r="D13" i="20"/>
  <c r="C13" i="20"/>
  <c r="E12" i="20"/>
  <c r="D12" i="20"/>
  <c r="E11" i="20"/>
  <c r="D11" i="20"/>
  <c r="A7" i="20"/>
  <c r="B3" i="20"/>
  <c r="B2" i="20"/>
  <c r="B1" i="20"/>
  <c r="D41" i="19"/>
  <c r="D40" i="19"/>
  <c r="D36" i="19"/>
  <c r="D34" i="19"/>
  <c r="J30" i="19"/>
  <c r="F25" i="19"/>
  <c r="G25" i="19" s="1"/>
  <c r="F24" i="19"/>
  <c r="G24" i="19" s="1"/>
  <c r="D23" i="19"/>
  <c r="E22" i="19"/>
  <c r="D22" i="19"/>
  <c r="C22" i="19"/>
  <c r="F21" i="19"/>
  <c r="G21" i="19" s="1"/>
  <c r="F20" i="19"/>
  <c r="G20" i="19" s="1"/>
  <c r="I14" i="19"/>
  <c r="I16" i="19" s="1"/>
  <c r="H14" i="19"/>
  <c r="H16" i="19" s="1"/>
  <c r="E13" i="19"/>
  <c r="D13" i="19"/>
  <c r="C13" i="19"/>
  <c r="E12" i="19"/>
  <c r="D12" i="19"/>
  <c r="E11" i="19"/>
  <c r="D11" i="19"/>
  <c r="A7" i="19"/>
  <c r="B3" i="19"/>
  <c r="B2" i="19"/>
  <c r="B1" i="19"/>
  <c r="D42" i="17"/>
  <c r="D40" i="17"/>
  <c r="D39" i="17"/>
  <c r="D35" i="17"/>
  <c r="D33" i="17"/>
  <c r="J29" i="17"/>
  <c r="F28" i="17"/>
  <c r="G28" i="17" s="1"/>
  <c r="F27" i="17"/>
  <c r="F25" i="17"/>
  <c r="G25" i="17" s="1"/>
  <c r="F24" i="17"/>
  <c r="G24" i="17" s="1"/>
  <c r="D23" i="17"/>
  <c r="E22" i="17"/>
  <c r="D22" i="17"/>
  <c r="C22" i="17"/>
  <c r="F21" i="17"/>
  <c r="G21" i="17" s="1"/>
  <c r="F20" i="17"/>
  <c r="G20" i="17" s="1"/>
  <c r="I14" i="17"/>
  <c r="I16" i="17" s="1"/>
  <c r="H14" i="17"/>
  <c r="H16" i="17" s="1"/>
  <c r="E13" i="17"/>
  <c r="D13" i="17"/>
  <c r="C13" i="17"/>
  <c r="E12" i="17"/>
  <c r="D12" i="17"/>
  <c r="E11" i="17"/>
  <c r="D11" i="17"/>
  <c r="A7" i="17"/>
  <c r="A45" i="17" s="1"/>
  <c r="B3" i="17"/>
  <c r="B2" i="17"/>
  <c r="B1" i="17"/>
  <c r="D42" i="16"/>
  <c r="D41" i="16"/>
  <c r="D40" i="16"/>
  <c r="D36" i="16"/>
  <c r="D34" i="16"/>
  <c r="J30" i="16"/>
  <c r="F29" i="16"/>
  <c r="G29" i="16" s="1"/>
  <c r="F28" i="16"/>
  <c r="F25" i="16"/>
  <c r="G25" i="16" s="1"/>
  <c r="F24" i="16"/>
  <c r="G24" i="16" s="1"/>
  <c r="E23" i="16"/>
  <c r="D23" i="16"/>
  <c r="E22" i="16"/>
  <c r="D22" i="16"/>
  <c r="C22" i="16"/>
  <c r="F21" i="16"/>
  <c r="G21" i="16" s="1"/>
  <c r="F20" i="16"/>
  <c r="G20" i="16" s="1"/>
  <c r="I14" i="16"/>
  <c r="I16" i="16" s="1"/>
  <c r="H14" i="16"/>
  <c r="H16" i="16" s="1"/>
  <c r="E13" i="16"/>
  <c r="D13" i="16"/>
  <c r="C13" i="16"/>
  <c r="D12" i="16"/>
  <c r="E11" i="16"/>
  <c r="D11" i="16"/>
  <c r="A7" i="16"/>
  <c r="B3" i="16"/>
  <c r="B2" i="16"/>
  <c r="B1" i="16"/>
  <c r="D42" i="15"/>
  <c r="D41" i="15"/>
  <c r="D40" i="15"/>
  <c r="D36" i="15"/>
  <c r="D34" i="15"/>
  <c r="J30" i="15"/>
  <c r="F25" i="15"/>
  <c r="G25" i="15" s="1"/>
  <c r="F24" i="15"/>
  <c r="G24" i="15" s="1"/>
  <c r="D23" i="15"/>
  <c r="E22" i="15"/>
  <c r="D22" i="15"/>
  <c r="C22" i="15"/>
  <c r="F21" i="15"/>
  <c r="G21" i="15" s="1"/>
  <c r="F20" i="15"/>
  <c r="G20" i="15" s="1"/>
  <c r="I14" i="15"/>
  <c r="I16" i="15" s="1"/>
  <c r="H14" i="15"/>
  <c r="H16" i="15" s="1"/>
  <c r="E13" i="15"/>
  <c r="D13" i="15"/>
  <c r="C13" i="15"/>
  <c r="E12" i="15"/>
  <c r="D12" i="15"/>
  <c r="E11" i="15"/>
  <c r="D11" i="15"/>
  <c r="A7" i="15"/>
  <c r="A45" i="15" s="1"/>
  <c r="B3" i="15"/>
  <c r="B2" i="15"/>
  <c r="B1" i="15"/>
  <c r="D41" i="14"/>
  <c r="D40" i="14"/>
  <c r="D36" i="14"/>
  <c r="D34" i="14"/>
  <c r="J30" i="14"/>
  <c r="F29" i="14"/>
  <c r="G29" i="14" s="1"/>
  <c r="F25" i="14"/>
  <c r="G25" i="14" s="1"/>
  <c r="F24" i="14"/>
  <c r="G24" i="14" s="1"/>
  <c r="E23" i="14"/>
  <c r="D23" i="14"/>
  <c r="E22" i="14"/>
  <c r="D22" i="14"/>
  <c r="C22" i="14"/>
  <c r="F21" i="14"/>
  <c r="G21" i="14" s="1"/>
  <c r="F20" i="14"/>
  <c r="G20" i="14" s="1"/>
  <c r="I14" i="14"/>
  <c r="I16" i="14" s="1"/>
  <c r="H14" i="14"/>
  <c r="H16" i="14" s="1"/>
  <c r="E13" i="14"/>
  <c r="D13" i="14"/>
  <c r="C13" i="14"/>
  <c r="E12" i="14"/>
  <c r="D12" i="14"/>
  <c r="E11" i="14"/>
  <c r="D11" i="14"/>
  <c r="A7" i="14"/>
  <c r="B11" i="14" s="1"/>
  <c r="B3" i="14"/>
  <c r="B2" i="14"/>
  <c r="B1" i="14"/>
  <c r="A41" i="13"/>
  <c r="D40" i="13"/>
  <c r="D39" i="13"/>
  <c r="D35" i="13"/>
  <c r="D33" i="13"/>
  <c r="J29" i="13"/>
  <c r="F28" i="13"/>
  <c r="G28" i="13" s="1"/>
  <c r="F27" i="13"/>
  <c r="F25" i="13"/>
  <c r="G25" i="13" s="1"/>
  <c r="F24" i="13"/>
  <c r="G24" i="13" s="1"/>
  <c r="E23" i="13"/>
  <c r="D23" i="13"/>
  <c r="E22" i="13"/>
  <c r="D22" i="13"/>
  <c r="C22" i="13"/>
  <c r="F21" i="13"/>
  <c r="G21" i="13" s="1"/>
  <c r="F20" i="13"/>
  <c r="G20" i="13" s="1"/>
  <c r="I14" i="13"/>
  <c r="I16" i="13" s="1"/>
  <c r="H14" i="13"/>
  <c r="H16" i="13" s="1"/>
  <c r="E13" i="13"/>
  <c r="D13" i="13"/>
  <c r="C13" i="13"/>
  <c r="E12" i="13"/>
  <c r="D12" i="13"/>
  <c r="E11" i="13"/>
  <c r="D11" i="13"/>
  <c r="A7" i="13"/>
  <c r="B3" i="13"/>
  <c r="B2" i="13"/>
  <c r="B1" i="13"/>
  <c r="D42" i="11"/>
  <c r="D40" i="11"/>
  <c r="D39" i="11"/>
  <c r="D35" i="11"/>
  <c r="D33" i="11"/>
  <c r="J29" i="11"/>
  <c r="F28" i="11"/>
  <c r="G28" i="11" s="1"/>
  <c r="F27" i="11"/>
  <c r="F25" i="11"/>
  <c r="G25" i="11" s="1"/>
  <c r="F24" i="11"/>
  <c r="G24" i="11" s="1"/>
  <c r="E23" i="11"/>
  <c r="D23" i="11"/>
  <c r="E22" i="11"/>
  <c r="D22" i="11"/>
  <c r="C22" i="11"/>
  <c r="F21" i="11"/>
  <c r="G21" i="11" s="1"/>
  <c r="F20" i="11"/>
  <c r="G20" i="11" s="1"/>
  <c r="I14" i="11"/>
  <c r="I16" i="11" s="1"/>
  <c r="H14" i="11"/>
  <c r="H16" i="11" s="1"/>
  <c r="E13" i="11"/>
  <c r="D13" i="11"/>
  <c r="C13" i="11"/>
  <c r="E12" i="11"/>
  <c r="D12" i="11"/>
  <c r="E11" i="11"/>
  <c r="D11" i="11"/>
  <c r="A7" i="11"/>
  <c r="B3" i="11"/>
  <c r="B2" i="11"/>
  <c r="B1" i="11"/>
  <c r="D42" i="10"/>
  <c r="D40" i="10"/>
  <c r="D39" i="10"/>
  <c r="D35" i="10"/>
  <c r="D33" i="10"/>
  <c r="J29" i="10"/>
  <c r="F28" i="10"/>
  <c r="G28" i="10" s="1"/>
  <c r="F27" i="10"/>
  <c r="F25" i="10"/>
  <c r="G25" i="10" s="1"/>
  <c r="F24" i="10"/>
  <c r="G24" i="10" s="1"/>
  <c r="E22" i="10"/>
  <c r="D22" i="10"/>
  <c r="C22" i="10"/>
  <c r="F21" i="10"/>
  <c r="G21" i="10" s="1"/>
  <c r="F20" i="10"/>
  <c r="G20" i="10" s="1"/>
  <c r="I14" i="10"/>
  <c r="I16" i="10" s="1"/>
  <c r="H14" i="10"/>
  <c r="H16" i="10" s="1"/>
  <c r="E13" i="10"/>
  <c r="D13" i="10"/>
  <c r="C13" i="10"/>
  <c r="E12" i="10"/>
  <c r="D12" i="10"/>
  <c r="E11" i="10"/>
  <c r="A7" i="10"/>
  <c r="A45" i="10" s="1"/>
  <c r="B3" i="10"/>
  <c r="B2" i="10"/>
  <c r="B1" i="10"/>
  <c r="E25" i="9"/>
  <c r="B25" i="9"/>
  <c r="E22" i="9"/>
  <c r="E20" i="9" s="1"/>
  <c r="E19" i="9"/>
  <c r="E18" i="9"/>
  <c r="O5" i="9"/>
  <c r="N5" i="9"/>
  <c r="M5" i="9"/>
  <c r="L5" i="9"/>
  <c r="K5" i="9"/>
  <c r="J5" i="9"/>
  <c r="I5" i="9"/>
  <c r="H5" i="9"/>
  <c r="F5" i="9"/>
  <c r="B3" i="9"/>
  <c r="B2" i="9"/>
  <c r="B1" i="9"/>
  <c r="Q21" i="8"/>
  <c r="N21" i="8"/>
  <c r="C21" i="8"/>
  <c r="B21" i="8"/>
  <c r="Q20" i="8"/>
  <c r="N20" i="8"/>
  <c r="C20" i="8"/>
  <c r="B20" i="8"/>
  <c r="Q19" i="8"/>
  <c r="N19" i="8"/>
  <c r="C19" i="8"/>
  <c r="B19" i="8"/>
  <c r="Q18" i="8"/>
  <c r="N18" i="8"/>
  <c r="C18" i="8"/>
  <c r="B18" i="8"/>
  <c r="U22" i="8"/>
  <c r="Q17" i="8"/>
  <c r="N17" i="8"/>
  <c r="C17" i="8"/>
  <c r="B17" i="8"/>
  <c r="Q16" i="8"/>
  <c r="N16" i="8"/>
  <c r="H16" i="8"/>
  <c r="C16" i="8"/>
  <c r="B16" i="8"/>
  <c r="Q15" i="8"/>
  <c r="N15" i="8"/>
  <c r="C15" i="8"/>
  <c r="B15" i="8"/>
  <c r="Q14" i="8"/>
  <c r="N14" i="8"/>
  <c r="C14" i="8"/>
  <c r="B14" i="8"/>
  <c r="Q13" i="8"/>
  <c r="N13" i="8"/>
  <c r="H13" i="8"/>
  <c r="B13" i="8"/>
  <c r="Q12" i="8"/>
  <c r="N12" i="8"/>
  <c r="H12" i="8"/>
  <c r="C12" i="8"/>
  <c r="B12" i="8"/>
  <c r="B3" i="8"/>
  <c r="A5" i="8" s="1"/>
  <c r="B2" i="8"/>
  <c r="B1" i="8"/>
  <c r="F41" i="7"/>
  <c r="H41" i="7" s="1"/>
  <c r="R36" i="7"/>
  <c r="M36" i="7"/>
  <c r="N36" i="7" s="1"/>
  <c r="O36" i="7" s="1"/>
  <c r="P36" i="7" s="1"/>
  <c r="Q36" i="7" s="1"/>
  <c r="R11" i="7"/>
  <c r="M11" i="7"/>
  <c r="N11" i="7" s="1"/>
  <c r="O11" i="7" s="1"/>
  <c r="P11" i="7" s="1"/>
  <c r="Q11" i="7" s="1"/>
  <c r="R9" i="7"/>
  <c r="M9" i="7"/>
  <c r="N9" i="7" s="1"/>
  <c r="O9" i="7" s="1"/>
  <c r="P9" i="7" s="1"/>
  <c r="Q9" i="7" s="1"/>
  <c r="B3" i="7"/>
  <c r="B2" i="7"/>
  <c r="B1" i="7"/>
  <c r="N110" i="6"/>
  <c r="O110" i="6" s="1"/>
  <c r="P110" i="6" s="1"/>
  <c r="Q110" i="6" s="1"/>
  <c r="R110" i="6" s="1"/>
  <c r="N109" i="6"/>
  <c r="O109" i="6" s="1"/>
  <c r="P109" i="6" s="1"/>
  <c r="Q109" i="6" s="1"/>
  <c r="R109" i="6" s="1"/>
  <c r="N107" i="6"/>
  <c r="O107" i="6" s="1"/>
  <c r="P107" i="6" s="1"/>
  <c r="Q107" i="6" s="1"/>
  <c r="R107" i="6" s="1"/>
  <c r="N105" i="6"/>
  <c r="O105" i="6" s="1"/>
  <c r="P105" i="6" s="1"/>
  <c r="Q105" i="6" s="1"/>
  <c r="R105" i="6" s="1"/>
  <c r="N98" i="6"/>
  <c r="O98" i="6" s="1"/>
  <c r="P98" i="6" s="1"/>
  <c r="Q98" i="6" s="1"/>
  <c r="R98" i="6" s="1"/>
  <c r="N97" i="6"/>
  <c r="O97" i="6" s="1"/>
  <c r="P97" i="6" s="1"/>
  <c r="Q97" i="6" s="1"/>
  <c r="R97" i="6" s="1"/>
  <c r="N96" i="6"/>
  <c r="O96" i="6" s="1"/>
  <c r="P96" i="6" s="1"/>
  <c r="Q96" i="6" s="1"/>
  <c r="R96" i="6" s="1"/>
  <c r="N95" i="6"/>
  <c r="O95" i="6" s="1"/>
  <c r="P95" i="6" s="1"/>
  <c r="Q95" i="6" s="1"/>
  <c r="R95" i="6" s="1"/>
  <c r="N94" i="6"/>
  <c r="O94" i="6" s="1"/>
  <c r="P94" i="6" s="1"/>
  <c r="Q94" i="6" s="1"/>
  <c r="R94" i="6" s="1"/>
  <c r="N93" i="6"/>
  <c r="O93" i="6" s="1"/>
  <c r="P93" i="6" s="1"/>
  <c r="Q93" i="6" s="1"/>
  <c r="R93" i="6" s="1"/>
  <c r="N92" i="6"/>
  <c r="O92" i="6" s="1"/>
  <c r="P92" i="6" s="1"/>
  <c r="Q92" i="6" s="1"/>
  <c r="R92" i="6" s="1"/>
  <c r="N91" i="6"/>
  <c r="O91" i="6" s="1"/>
  <c r="P91" i="6" s="1"/>
  <c r="Q91" i="6" s="1"/>
  <c r="R91" i="6" s="1"/>
  <c r="N90" i="6"/>
  <c r="O90" i="6" s="1"/>
  <c r="P90" i="6" s="1"/>
  <c r="Q90" i="6" s="1"/>
  <c r="R90" i="6" s="1"/>
  <c r="M89" i="6"/>
  <c r="N89" i="6" s="1"/>
  <c r="O89" i="6" s="1"/>
  <c r="P89" i="6" s="1"/>
  <c r="Q89" i="6" s="1"/>
  <c r="R89" i="6" s="1"/>
  <c r="N72" i="6"/>
  <c r="O72" i="6" s="1"/>
  <c r="P72" i="6" s="1"/>
  <c r="Q72" i="6" s="1"/>
  <c r="R72" i="6" s="1"/>
  <c r="N71" i="6"/>
  <c r="O71" i="6" s="1"/>
  <c r="P71" i="6" s="1"/>
  <c r="Q71" i="6" s="1"/>
  <c r="R71" i="6" s="1"/>
  <c r="N70" i="6"/>
  <c r="O70" i="6" s="1"/>
  <c r="P70" i="6" s="1"/>
  <c r="Q70" i="6" s="1"/>
  <c r="R70" i="6" s="1"/>
  <c r="N69" i="6"/>
  <c r="O69" i="6" s="1"/>
  <c r="P69" i="6" s="1"/>
  <c r="Q69" i="6" s="1"/>
  <c r="R69" i="6" s="1"/>
  <c r="N68" i="6"/>
  <c r="O68" i="6" s="1"/>
  <c r="P68" i="6" s="1"/>
  <c r="Q68" i="6" s="1"/>
  <c r="R68" i="6" s="1"/>
  <c r="N61" i="6"/>
  <c r="O61" i="6" s="1"/>
  <c r="P61" i="6" s="1"/>
  <c r="Q61" i="6" s="1"/>
  <c r="R61" i="6" s="1"/>
  <c r="N60" i="6"/>
  <c r="O60" i="6" s="1"/>
  <c r="P60" i="6" s="1"/>
  <c r="Q60" i="6" s="1"/>
  <c r="R60" i="6" s="1"/>
  <c r="N59" i="6"/>
  <c r="O59" i="6" s="1"/>
  <c r="P59" i="6" s="1"/>
  <c r="Q59" i="6" s="1"/>
  <c r="R59" i="6" s="1"/>
  <c r="N58" i="6"/>
  <c r="O58" i="6" s="1"/>
  <c r="P58" i="6" s="1"/>
  <c r="Q58" i="6" s="1"/>
  <c r="R58" i="6" s="1"/>
  <c r="N57" i="6"/>
  <c r="O57" i="6" s="1"/>
  <c r="P57" i="6" s="1"/>
  <c r="Q57" i="6" s="1"/>
  <c r="R57" i="6" s="1"/>
  <c r="N56" i="6"/>
  <c r="O56" i="6" s="1"/>
  <c r="P56" i="6" s="1"/>
  <c r="Q56" i="6" s="1"/>
  <c r="R56" i="6" s="1"/>
  <c r="N54" i="6"/>
  <c r="O54" i="6" s="1"/>
  <c r="P54" i="6" s="1"/>
  <c r="Q54" i="6" s="1"/>
  <c r="R54" i="6" s="1"/>
  <c r="N53" i="6"/>
  <c r="O53" i="6" s="1"/>
  <c r="P53" i="6" s="1"/>
  <c r="Q53" i="6" s="1"/>
  <c r="R53" i="6" s="1"/>
  <c r="N52" i="6"/>
  <c r="O52" i="6" s="1"/>
  <c r="P52" i="6" s="1"/>
  <c r="Q52" i="6" s="1"/>
  <c r="R52" i="6" s="1"/>
  <c r="N51" i="6"/>
  <c r="O51" i="6" s="1"/>
  <c r="P51" i="6" s="1"/>
  <c r="Q51" i="6" s="1"/>
  <c r="R51" i="6" s="1"/>
  <c r="N50" i="6"/>
  <c r="O50" i="6" s="1"/>
  <c r="P50" i="6" s="1"/>
  <c r="Q50" i="6" s="1"/>
  <c r="R50" i="6" s="1"/>
  <c r="N49" i="6"/>
  <c r="O49" i="6" s="1"/>
  <c r="P49" i="6" s="1"/>
  <c r="Q49" i="6" s="1"/>
  <c r="R49" i="6" s="1"/>
  <c r="N48" i="6"/>
  <c r="O48" i="6" s="1"/>
  <c r="P48" i="6" s="1"/>
  <c r="Q48" i="6" s="1"/>
  <c r="R48" i="6" s="1"/>
  <c r="N47" i="6"/>
  <c r="O47" i="6" s="1"/>
  <c r="P47" i="6" s="1"/>
  <c r="Q47" i="6" s="1"/>
  <c r="R47" i="6" s="1"/>
  <c r="N46" i="6"/>
  <c r="O46" i="6" s="1"/>
  <c r="P46" i="6" s="1"/>
  <c r="Q46" i="6" s="1"/>
  <c r="R46" i="6" s="1"/>
  <c r="N45" i="6"/>
  <c r="O45" i="6" s="1"/>
  <c r="P45" i="6" s="1"/>
  <c r="Q45" i="6" s="1"/>
  <c r="R45" i="6" s="1"/>
  <c r="N44" i="6"/>
  <c r="O44" i="6" s="1"/>
  <c r="P44" i="6" s="1"/>
  <c r="Q44" i="6" s="1"/>
  <c r="R44" i="6" s="1"/>
  <c r="N43" i="6"/>
  <c r="O43" i="6" s="1"/>
  <c r="P43" i="6" s="1"/>
  <c r="Q43" i="6" s="1"/>
  <c r="R43" i="6" s="1"/>
  <c r="N42" i="6"/>
  <c r="O42" i="6" s="1"/>
  <c r="P42" i="6" s="1"/>
  <c r="Q42" i="6" s="1"/>
  <c r="R42" i="6" s="1"/>
  <c r="N41" i="6"/>
  <c r="O41" i="6" s="1"/>
  <c r="P41" i="6" s="1"/>
  <c r="Q41" i="6" s="1"/>
  <c r="R41" i="6" s="1"/>
  <c r="N40" i="6"/>
  <c r="O40" i="6" s="1"/>
  <c r="P40" i="6" s="1"/>
  <c r="Q40" i="6" s="1"/>
  <c r="R40" i="6" s="1"/>
  <c r="N39" i="6"/>
  <c r="O39" i="6" s="1"/>
  <c r="P39" i="6" s="1"/>
  <c r="Q39" i="6" s="1"/>
  <c r="R39" i="6" s="1"/>
  <c r="N38" i="6"/>
  <c r="O38" i="6" s="1"/>
  <c r="P38" i="6" s="1"/>
  <c r="Q38" i="6" s="1"/>
  <c r="R38" i="6" s="1"/>
  <c r="N37" i="6"/>
  <c r="O37" i="6" s="1"/>
  <c r="P37" i="6" s="1"/>
  <c r="Q37" i="6" s="1"/>
  <c r="R37" i="6" s="1"/>
  <c r="N36" i="6"/>
  <c r="O36" i="6" s="1"/>
  <c r="P36" i="6" s="1"/>
  <c r="Q36" i="6" s="1"/>
  <c r="R36" i="6" s="1"/>
  <c r="N35" i="6"/>
  <c r="O35" i="6" s="1"/>
  <c r="P35" i="6" s="1"/>
  <c r="Q35" i="6" s="1"/>
  <c r="R35" i="6" s="1"/>
  <c r="N34" i="6"/>
  <c r="O34" i="6" s="1"/>
  <c r="P34" i="6" s="1"/>
  <c r="Q34" i="6" s="1"/>
  <c r="R34" i="6" s="1"/>
  <c r="N33" i="6"/>
  <c r="O33" i="6" s="1"/>
  <c r="P33" i="6" s="1"/>
  <c r="Q33" i="6" s="1"/>
  <c r="R33" i="6" s="1"/>
  <c r="N32" i="6"/>
  <c r="O32" i="6" s="1"/>
  <c r="P32" i="6" s="1"/>
  <c r="Q32" i="6" s="1"/>
  <c r="R32" i="6" s="1"/>
  <c r="N31" i="6"/>
  <c r="O31" i="6" s="1"/>
  <c r="P31" i="6" s="1"/>
  <c r="Q31" i="6" s="1"/>
  <c r="R31" i="6" s="1"/>
  <c r="N30" i="6"/>
  <c r="O30" i="6" s="1"/>
  <c r="P30" i="6" s="1"/>
  <c r="Q30" i="6" s="1"/>
  <c r="R30" i="6" s="1"/>
  <c r="N29" i="6"/>
  <c r="O29" i="6" s="1"/>
  <c r="P29" i="6" s="1"/>
  <c r="Q29" i="6" s="1"/>
  <c r="R29" i="6" s="1"/>
  <c r="N28" i="6"/>
  <c r="O28" i="6" s="1"/>
  <c r="P28" i="6" s="1"/>
  <c r="Q28" i="6" s="1"/>
  <c r="R28" i="6" s="1"/>
  <c r="N27" i="6"/>
  <c r="O27" i="6" s="1"/>
  <c r="P27" i="6" s="1"/>
  <c r="Q27" i="6" s="1"/>
  <c r="R27" i="6" s="1"/>
  <c r="N26" i="6"/>
  <c r="O26" i="6" s="1"/>
  <c r="P26" i="6" s="1"/>
  <c r="Q26" i="6" s="1"/>
  <c r="R26" i="6" s="1"/>
  <c r="N25" i="6"/>
  <c r="O25" i="6" s="1"/>
  <c r="P25" i="6" s="1"/>
  <c r="Q25" i="6" s="1"/>
  <c r="R25" i="6" s="1"/>
  <c r="N24" i="6"/>
  <c r="O24" i="6" s="1"/>
  <c r="P24" i="6" s="1"/>
  <c r="Q24" i="6" s="1"/>
  <c r="R24" i="6" s="1"/>
  <c r="N23" i="6"/>
  <c r="O23" i="6" s="1"/>
  <c r="P23" i="6" s="1"/>
  <c r="Q23" i="6" s="1"/>
  <c r="R23" i="6" s="1"/>
  <c r="N22" i="6"/>
  <c r="O22" i="6" s="1"/>
  <c r="P22" i="6" s="1"/>
  <c r="Q22" i="6" s="1"/>
  <c r="R22" i="6" s="1"/>
  <c r="N21" i="6"/>
  <c r="O21" i="6" s="1"/>
  <c r="P21" i="6" s="1"/>
  <c r="Q21" i="6" s="1"/>
  <c r="R21" i="6" s="1"/>
  <c r="N20" i="6"/>
  <c r="O20" i="6" s="1"/>
  <c r="P20" i="6" s="1"/>
  <c r="Q20" i="6" s="1"/>
  <c r="R20" i="6" s="1"/>
  <c r="N19" i="6"/>
  <c r="O19" i="6" s="1"/>
  <c r="P19" i="6" s="1"/>
  <c r="Q19" i="6" s="1"/>
  <c r="R19" i="6" s="1"/>
  <c r="N18" i="6"/>
  <c r="O18" i="6" s="1"/>
  <c r="P18" i="6" s="1"/>
  <c r="Q18" i="6" s="1"/>
  <c r="R18" i="6" s="1"/>
  <c r="N17" i="6"/>
  <c r="O17" i="6" s="1"/>
  <c r="P17" i="6" s="1"/>
  <c r="Q17" i="6" s="1"/>
  <c r="R17" i="6" s="1"/>
  <c r="N16" i="6"/>
  <c r="O16" i="6" s="1"/>
  <c r="P16" i="6" s="1"/>
  <c r="Q16" i="6" s="1"/>
  <c r="R16" i="6" s="1"/>
  <c r="N15" i="6"/>
  <c r="O15" i="6" s="1"/>
  <c r="P15" i="6" s="1"/>
  <c r="Q15" i="6" s="1"/>
  <c r="R15" i="6" s="1"/>
  <c r="N14" i="6"/>
  <c r="O14" i="6" s="1"/>
  <c r="P14" i="6" s="1"/>
  <c r="Q14" i="6" s="1"/>
  <c r="R14" i="6" s="1"/>
  <c r="N13" i="6"/>
  <c r="O13" i="6" s="1"/>
  <c r="P13" i="6" s="1"/>
  <c r="Q13" i="6" s="1"/>
  <c r="R13" i="6" s="1"/>
  <c r="N12" i="6"/>
  <c r="O12" i="6" s="1"/>
  <c r="P12" i="6" s="1"/>
  <c r="Q12" i="6" s="1"/>
  <c r="R12" i="6" s="1"/>
  <c r="N11" i="6"/>
  <c r="O11" i="6" s="1"/>
  <c r="P11" i="6" s="1"/>
  <c r="Q11" i="6" s="1"/>
  <c r="R11" i="6" s="1"/>
  <c r="N10" i="6"/>
  <c r="O10" i="6" s="1"/>
  <c r="P10" i="6" s="1"/>
  <c r="Q10" i="6" s="1"/>
  <c r="R10" i="6" s="1"/>
  <c r="N9" i="6"/>
  <c r="O9" i="6" s="1"/>
  <c r="P9" i="6" s="1"/>
  <c r="Q9" i="6" s="1"/>
  <c r="R9" i="6" s="1"/>
  <c r="B3" i="6"/>
  <c r="B2" i="6"/>
  <c r="B1" i="6"/>
  <c r="E19" i="5"/>
  <c r="F19" i="5" s="1"/>
  <c r="G19" i="5" s="1"/>
  <c r="E16" i="5"/>
  <c r="F16" i="5" s="1"/>
  <c r="G16" i="5" s="1"/>
  <c r="E15" i="5"/>
  <c r="F15" i="5" s="1"/>
  <c r="G15" i="5" s="1"/>
  <c r="E14" i="5"/>
  <c r="F14" i="5" s="1"/>
  <c r="G14" i="5" s="1"/>
  <c r="E13" i="5"/>
  <c r="F13" i="5" s="1"/>
  <c r="G13" i="5" s="1"/>
  <c r="E12" i="5"/>
  <c r="F12" i="5" s="1"/>
  <c r="G12" i="5" s="1"/>
  <c r="E11" i="5"/>
  <c r="F11" i="5" s="1"/>
  <c r="G11" i="5" s="1"/>
  <c r="E10" i="5"/>
  <c r="F10" i="5" s="1"/>
  <c r="G10" i="5" s="1"/>
  <c r="E9" i="5"/>
  <c r="F9" i="5" s="1"/>
  <c r="G9" i="5" s="1"/>
  <c r="B3" i="5"/>
  <c r="B2" i="5"/>
  <c r="B1" i="5"/>
  <c r="C49" i="4"/>
  <c r="C56" i="4" s="1"/>
  <c r="C43" i="4"/>
  <c r="C39" i="4"/>
  <c r="C36" i="4"/>
  <c r="C33" i="4"/>
  <c r="C31" i="4"/>
  <c r="C27" i="4"/>
  <c r="C21" i="4"/>
  <c r="B3" i="4"/>
  <c r="B2" i="4"/>
  <c r="B1" i="4"/>
  <c r="E79" i="3"/>
  <c r="K79" i="3" s="1"/>
  <c r="G111" i="2"/>
  <c r="B53" i="3"/>
  <c r="G28" i="3"/>
  <c r="C16" i="4" s="1"/>
  <c r="H50" i="4" s="1"/>
  <c r="F16" i="3"/>
  <c r="M16" i="3" s="1"/>
  <c r="I7" i="9" s="1"/>
  <c r="F15" i="3"/>
  <c r="M15" i="3" s="1"/>
  <c r="O7" i="9" s="1"/>
  <c r="F14" i="3"/>
  <c r="K14" i="3" s="1"/>
  <c r="H13" i="3"/>
  <c r="F13" i="3"/>
  <c r="F12" i="3"/>
  <c r="M12" i="3" s="1"/>
  <c r="L7" i="9" s="1"/>
  <c r="F11" i="3"/>
  <c r="F10" i="3"/>
  <c r="M10" i="3" s="1"/>
  <c r="J7" i="9" s="1"/>
  <c r="F9" i="3"/>
  <c r="M9" i="3" s="1"/>
  <c r="H7" i="9" s="1"/>
  <c r="F8" i="3"/>
  <c r="M8" i="3" s="1"/>
  <c r="F7" i="3"/>
  <c r="M7" i="3" s="1"/>
  <c r="F7" i="9" s="1"/>
  <c r="S6" i="3"/>
  <c r="R6" i="3"/>
  <c r="Q6" i="3"/>
  <c r="P6" i="3"/>
  <c r="A4" i="3"/>
  <c r="B3" i="3"/>
  <c r="B2" i="3"/>
  <c r="B1" i="3"/>
  <c r="G142" i="2"/>
  <c r="G141" i="2"/>
  <c r="O136" i="2"/>
  <c r="L136" i="2" s="1"/>
  <c r="G136" i="2" s="1"/>
  <c r="O135" i="2"/>
  <c r="L135" i="2" s="1"/>
  <c r="G135" i="2" s="1"/>
  <c r="N134" i="2"/>
  <c r="O134" i="2" s="1"/>
  <c r="M134" i="2"/>
  <c r="G128" i="2"/>
  <c r="G127" i="2"/>
  <c r="N125" i="2"/>
  <c r="O125" i="2" s="1"/>
  <c r="M125" i="2"/>
  <c r="N124" i="2"/>
  <c r="O124" i="2" s="1"/>
  <c r="M124" i="2"/>
  <c r="N123" i="2"/>
  <c r="O123" i="2" s="1"/>
  <c r="M123" i="2"/>
  <c r="N122" i="2"/>
  <c r="O122" i="2" s="1"/>
  <c r="M122" i="2"/>
  <c r="N121" i="2"/>
  <c r="O121" i="2" s="1"/>
  <c r="M121" i="2"/>
  <c r="N120" i="2"/>
  <c r="O120" i="2" s="1"/>
  <c r="M120" i="2"/>
  <c r="N119" i="2"/>
  <c r="O119" i="2" s="1"/>
  <c r="M119" i="2"/>
  <c r="N118" i="2"/>
  <c r="O118" i="2" s="1"/>
  <c r="M118" i="2"/>
  <c r="N117" i="2"/>
  <c r="O117" i="2" s="1"/>
  <c r="M117" i="2"/>
  <c r="N116" i="2"/>
  <c r="O116" i="2" s="1"/>
  <c r="M116" i="2"/>
  <c r="G110" i="2"/>
  <c r="G109" i="2"/>
  <c r="L96" i="2"/>
  <c r="G96" i="2" s="1"/>
  <c r="L95" i="2"/>
  <c r="G95" i="2" s="1"/>
  <c r="L94" i="2"/>
  <c r="G94" i="2" s="1"/>
  <c r="N93" i="2"/>
  <c r="O93" i="2" s="1"/>
  <c r="M93" i="2"/>
  <c r="G87" i="2"/>
  <c r="G86" i="2"/>
  <c r="N84" i="2"/>
  <c r="O84" i="2" s="1"/>
  <c r="M84" i="2"/>
  <c r="N83" i="2"/>
  <c r="O83" i="2" s="1"/>
  <c r="M83" i="2"/>
  <c r="N82" i="2"/>
  <c r="O82" i="2" s="1"/>
  <c r="M82" i="2"/>
  <c r="N81" i="2"/>
  <c r="O81" i="2" s="1"/>
  <c r="M81" i="2"/>
  <c r="N80" i="2"/>
  <c r="O80" i="2" s="1"/>
  <c r="M80" i="2"/>
  <c r="N79" i="2"/>
  <c r="O79" i="2" s="1"/>
  <c r="M79" i="2"/>
  <c r="N78" i="2"/>
  <c r="O78" i="2" s="1"/>
  <c r="M78" i="2"/>
  <c r="N77" i="2"/>
  <c r="O77" i="2" s="1"/>
  <c r="M77" i="2"/>
  <c r="N76" i="2"/>
  <c r="O76" i="2" s="1"/>
  <c r="M76" i="2"/>
  <c r="N75" i="2"/>
  <c r="O75" i="2" s="1"/>
  <c r="M75" i="2"/>
  <c r="N74" i="2"/>
  <c r="O74" i="2" s="1"/>
  <c r="M74" i="2"/>
  <c r="N73" i="2"/>
  <c r="O73" i="2" s="1"/>
  <c r="M73" i="2"/>
  <c r="N72" i="2"/>
  <c r="O72" i="2" s="1"/>
  <c r="M72" i="2"/>
  <c r="N71" i="2"/>
  <c r="O71" i="2" s="1"/>
  <c r="M71" i="2"/>
  <c r="N70" i="2"/>
  <c r="O70" i="2" s="1"/>
  <c r="M70" i="2"/>
  <c r="O69" i="2"/>
  <c r="M69" i="2"/>
  <c r="O68" i="2"/>
  <c r="M68" i="2"/>
  <c r="O67" i="2"/>
  <c r="M67" i="2"/>
  <c r="O66" i="2"/>
  <c r="M66" i="2"/>
  <c r="O65" i="2"/>
  <c r="M65" i="2"/>
  <c r="O64" i="2"/>
  <c r="M64" i="2"/>
  <c r="O63" i="2"/>
  <c r="M63" i="2"/>
  <c r="O62" i="2"/>
  <c r="M62" i="2"/>
  <c r="O61" i="2"/>
  <c r="M61" i="2"/>
  <c r="O60" i="2"/>
  <c r="M60" i="2"/>
  <c r="O59" i="2"/>
  <c r="M59" i="2"/>
  <c r="O58" i="2"/>
  <c r="M58" i="2"/>
  <c r="O57" i="2"/>
  <c r="M57" i="2"/>
  <c r="O56" i="2"/>
  <c r="M56" i="2"/>
  <c r="O55" i="2"/>
  <c r="M55" i="2"/>
  <c r="O54" i="2"/>
  <c r="M54" i="2"/>
  <c r="O53" i="2"/>
  <c r="M53" i="2"/>
  <c r="O52" i="2"/>
  <c r="M52" i="2"/>
  <c r="O51" i="2"/>
  <c r="M51" i="2"/>
  <c r="O50" i="2"/>
  <c r="M50" i="2"/>
  <c r="O49" i="2"/>
  <c r="M49" i="2"/>
  <c r="O48" i="2"/>
  <c r="M48" i="2"/>
  <c r="O47" i="2"/>
  <c r="M47" i="2"/>
  <c r="O46" i="2"/>
  <c r="M46" i="2"/>
  <c r="O45" i="2"/>
  <c r="M45" i="2"/>
  <c r="O44" i="2"/>
  <c r="M44" i="2"/>
  <c r="O43" i="2"/>
  <c r="M43" i="2"/>
  <c r="O42" i="2"/>
  <c r="M42" i="2"/>
  <c r="O41" i="2"/>
  <c r="M41" i="2"/>
  <c r="O40" i="2"/>
  <c r="M40" i="2"/>
  <c r="O39" i="2"/>
  <c r="M39" i="2"/>
  <c r="O38" i="2"/>
  <c r="M38" i="2"/>
  <c r="O37" i="2"/>
  <c r="M37" i="2"/>
  <c r="O36" i="2"/>
  <c r="M36" i="2"/>
  <c r="O35" i="2"/>
  <c r="M35" i="2"/>
  <c r="O34" i="2"/>
  <c r="M34" i="2"/>
  <c r="O33" i="2"/>
  <c r="M33" i="2"/>
  <c r="O32" i="2"/>
  <c r="M32" i="2"/>
  <c r="E32" i="2"/>
  <c r="B32" i="2"/>
  <c r="F25" i="2"/>
  <c r="P20" i="2"/>
  <c r="K20" i="2"/>
  <c r="K21" i="8" s="1"/>
  <c r="H21" i="8"/>
  <c r="C20" i="2"/>
  <c r="B20" i="2"/>
  <c r="A20" i="2"/>
  <c r="P19" i="2"/>
  <c r="K19" i="2"/>
  <c r="K20" i="8" s="1"/>
  <c r="H20" i="8"/>
  <c r="C19" i="2"/>
  <c r="B19" i="2"/>
  <c r="A19" i="2"/>
  <c r="P18" i="2"/>
  <c r="K18" i="2"/>
  <c r="K19" i="8" s="1"/>
  <c r="H19" i="8"/>
  <c r="C18" i="2"/>
  <c r="B18" i="2"/>
  <c r="A18" i="2"/>
  <c r="P17" i="2"/>
  <c r="K17" i="2"/>
  <c r="K18" i="8" s="1"/>
  <c r="H18" i="8"/>
  <c r="C17" i="2"/>
  <c r="B17" i="2"/>
  <c r="A17" i="2"/>
  <c r="K16" i="2"/>
  <c r="K17" i="8" s="1"/>
  <c r="H17" i="8"/>
  <c r="C16" i="2"/>
  <c r="B16" i="2"/>
  <c r="A16" i="2"/>
  <c r="P15" i="2"/>
  <c r="K15" i="2"/>
  <c r="K16" i="8" s="1"/>
  <c r="C15" i="2"/>
  <c r="B15" i="2"/>
  <c r="A15" i="2"/>
  <c r="P14" i="2"/>
  <c r="K14" i="2"/>
  <c r="K15" i="8" s="1"/>
  <c r="H15" i="8"/>
  <c r="C14" i="2"/>
  <c r="B14" i="2"/>
  <c r="A14" i="2"/>
  <c r="P13" i="2"/>
  <c r="K13" i="2"/>
  <c r="K14" i="8" s="1"/>
  <c r="H14" i="8"/>
  <c r="C13" i="2"/>
  <c r="B13" i="2"/>
  <c r="A13" i="2"/>
  <c r="P12" i="2"/>
  <c r="K12" i="2"/>
  <c r="K13" i="8" s="1"/>
  <c r="B12" i="2"/>
  <c r="P11" i="2"/>
  <c r="K11" i="2"/>
  <c r="K12" i="8" s="1"/>
  <c r="C11" i="2"/>
  <c r="B11" i="2"/>
  <c r="A11" i="2"/>
  <c r="F5" i="2"/>
  <c r="E5" i="2"/>
  <c r="B3" i="2"/>
  <c r="B2" i="2"/>
  <c r="B1" i="2"/>
  <c r="E21" i="9" l="1"/>
  <c r="N11" i="22"/>
  <c r="N12" i="22" s="1"/>
  <c r="N13" i="22" s="1"/>
  <c r="N14" i="22" s="1"/>
  <c r="N15" i="22" s="1"/>
  <c r="N16" i="22" s="1"/>
  <c r="N17" i="22" s="1"/>
  <c r="N18" i="22" s="1"/>
  <c r="N19" i="22" s="1"/>
  <c r="N20" i="22" s="1"/>
  <c r="N21" i="22" s="1"/>
  <c r="N22" i="22" s="1"/>
  <c r="N23" i="22" s="1"/>
  <c r="D67" i="3" s="1"/>
  <c r="M67" i="3" s="1"/>
  <c r="G13" i="9"/>
  <c r="F36" i="7"/>
  <c r="H36" i="7" s="1"/>
  <c r="H52" i="7"/>
  <c r="H51" i="7"/>
  <c r="H50" i="7"/>
  <c r="H29" i="7"/>
  <c r="H28" i="7"/>
  <c r="H27" i="7"/>
  <c r="H26" i="7"/>
  <c r="H25" i="7"/>
  <c r="H18" i="7"/>
  <c r="H19" i="7"/>
  <c r="H20" i="7"/>
  <c r="H17" i="7"/>
  <c r="H16" i="7"/>
  <c r="F9" i="7"/>
  <c r="H9" i="7" s="1"/>
  <c r="F11" i="7"/>
  <c r="H11" i="7" s="1"/>
  <c r="F10" i="7"/>
  <c r="H10" i="7" s="1"/>
  <c r="F62" i="7"/>
  <c r="H62" i="7" s="1"/>
  <c r="F60" i="7"/>
  <c r="H60" i="7" s="1"/>
  <c r="I135" i="2"/>
  <c r="J106" i="6"/>
  <c r="K106" i="6" s="1"/>
  <c r="H135" i="2"/>
  <c r="I136" i="2"/>
  <c r="J107" i="6"/>
  <c r="K107" i="6" s="1"/>
  <c r="H136" i="2"/>
  <c r="H139" i="2"/>
  <c r="J110" i="6"/>
  <c r="K110" i="6" s="1"/>
  <c r="H94" i="2"/>
  <c r="J69" i="6"/>
  <c r="K69" i="6" s="1"/>
  <c r="H95" i="2"/>
  <c r="J70" i="6"/>
  <c r="K70" i="6" s="1"/>
  <c r="H96" i="2"/>
  <c r="J71" i="6"/>
  <c r="K71" i="6" s="1"/>
  <c r="L50" i="2"/>
  <c r="L57" i="2"/>
  <c r="G57" i="2" s="1"/>
  <c r="F59" i="7"/>
  <c r="H59" i="7" s="1"/>
  <c r="F11" i="15"/>
  <c r="F22" i="15" s="1"/>
  <c r="L46" i="2"/>
  <c r="A44" i="13"/>
  <c r="A45" i="13"/>
  <c r="L61" i="2"/>
  <c r="L69" i="2"/>
  <c r="F35" i="7"/>
  <c r="H35" i="7" s="1"/>
  <c r="AB13" i="22"/>
  <c r="AB14" i="22" s="1"/>
  <c r="AB15" i="22" s="1"/>
  <c r="AB16" i="22" s="1"/>
  <c r="AB17" i="22" s="1"/>
  <c r="AB18" i="22" s="1"/>
  <c r="AB19" i="22" s="1"/>
  <c r="AB20" i="22" s="1"/>
  <c r="AB21" i="22" s="1"/>
  <c r="AB22" i="22" s="1"/>
  <c r="AB23" i="22" s="1"/>
  <c r="D69" i="3" s="1"/>
  <c r="M69" i="3" s="1"/>
  <c r="L58" i="2"/>
  <c r="L62" i="2"/>
  <c r="G62" i="2" s="1"/>
  <c r="G143" i="2"/>
  <c r="F12" i="17"/>
  <c r="J12" i="17" s="1"/>
  <c r="J14" i="17" s="1"/>
  <c r="D44" i="19"/>
  <c r="G129" i="2"/>
  <c r="G88" i="2"/>
  <c r="O13" i="8"/>
  <c r="L79" i="2"/>
  <c r="G79" i="2" s="1"/>
  <c r="L83" i="2"/>
  <c r="L54" i="2"/>
  <c r="L32" i="2"/>
  <c r="L125" i="2"/>
  <c r="L116" i="2"/>
  <c r="L66" i="2"/>
  <c r="G66" i="2" s="1"/>
  <c r="L123" i="2"/>
  <c r="F11" i="20"/>
  <c r="F22" i="20" s="1"/>
  <c r="F13" i="19"/>
  <c r="G13" i="19" s="1"/>
  <c r="F11" i="19"/>
  <c r="F22" i="19" s="1"/>
  <c r="F11" i="14"/>
  <c r="G11" i="14" s="1"/>
  <c r="L80" i="2"/>
  <c r="G80" i="2" s="1"/>
  <c r="L67" i="2"/>
  <c r="G67" i="2" s="1"/>
  <c r="L63" i="2"/>
  <c r="G63" i="2" s="1"/>
  <c r="L53" i="2"/>
  <c r="L52" i="2"/>
  <c r="L45" i="2"/>
  <c r="L40" i="2"/>
  <c r="L38" i="2"/>
  <c r="L36" i="2"/>
  <c r="L34" i="2"/>
  <c r="L73" i="2"/>
  <c r="G73" i="2" s="1"/>
  <c r="F11" i="11"/>
  <c r="G7" i="9" s="1"/>
  <c r="G8" i="9" s="1"/>
  <c r="F13" i="11"/>
  <c r="G13" i="11" s="1"/>
  <c r="F12" i="13"/>
  <c r="J12" i="13" s="1"/>
  <c r="J14" i="13" s="1"/>
  <c r="L55" i="2"/>
  <c r="L118" i="2"/>
  <c r="L44" i="2"/>
  <c r="L49" i="2"/>
  <c r="G49" i="2" s="1"/>
  <c r="F11" i="10"/>
  <c r="G11" i="10" s="1"/>
  <c r="D43" i="10"/>
  <c r="F12" i="14"/>
  <c r="G12" i="14" s="1"/>
  <c r="F13" i="14"/>
  <c r="G13" i="14" s="1"/>
  <c r="F12" i="15"/>
  <c r="G12" i="15" s="1"/>
  <c r="F13" i="15"/>
  <c r="G13" i="15" s="1"/>
  <c r="F12" i="20"/>
  <c r="D37" i="15"/>
  <c r="D37" i="21"/>
  <c r="D44" i="20"/>
  <c r="L119" i="2"/>
  <c r="G119" i="2" s="1"/>
  <c r="L47" i="2"/>
  <c r="L56" i="2"/>
  <c r="L64" i="2"/>
  <c r="L81" i="2"/>
  <c r="G81" i="2" s="1"/>
  <c r="U11" i="22"/>
  <c r="U12" i="22" s="1"/>
  <c r="U13" i="22" s="1"/>
  <c r="U14" i="22" s="1"/>
  <c r="U15" i="22" s="1"/>
  <c r="U16" i="22" s="1"/>
  <c r="U17" i="22" s="1"/>
  <c r="U18" i="22" s="1"/>
  <c r="U19" i="22" s="1"/>
  <c r="U20" i="22" s="1"/>
  <c r="U21" i="22" s="1"/>
  <c r="U22" i="22" s="1"/>
  <c r="U23" i="22" s="1"/>
  <c r="D68" i="3" s="1"/>
  <c r="M68" i="3" s="1"/>
  <c r="L60" i="2"/>
  <c r="L71" i="2"/>
  <c r="L72" i="2"/>
  <c r="G72" i="2" s="1"/>
  <c r="L124" i="2"/>
  <c r="M13" i="3"/>
  <c r="M7" i="9" s="1"/>
  <c r="F13" i="20"/>
  <c r="G13" i="20" s="1"/>
  <c r="F13" i="10"/>
  <c r="G13" i="10" s="1"/>
  <c r="F13" i="16"/>
  <c r="G13" i="16" s="1"/>
  <c r="D43" i="17"/>
  <c r="L33" i="2"/>
  <c r="G33" i="2" s="1"/>
  <c r="L37" i="2"/>
  <c r="G37" i="2" s="1"/>
  <c r="L41" i="2"/>
  <c r="G41" i="2" s="1"/>
  <c r="L43" i="2"/>
  <c r="G43" i="2" s="1"/>
  <c r="L75" i="2"/>
  <c r="G75" i="2" s="1"/>
  <c r="L84" i="2"/>
  <c r="F34" i="7"/>
  <c r="H34" i="7" s="1"/>
  <c r="F12" i="10"/>
  <c r="J12" i="10" s="1"/>
  <c r="J14" i="10" s="1"/>
  <c r="F12" i="11"/>
  <c r="J12" i="11" s="1"/>
  <c r="J14" i="11" s="1"/>
  <c r="B11" i="13"/>
  <c r="B11" i="17"/>
  <c r="A44" i="17"/>
  <c r="F12" i="19"/>
  <c r="G12" i="19" s="1"/>
  <c r="AI11" i="22"/>
  <c r="AI12" i="22" s="1"/>
  <c r="AI13" i="22" s="1"/>
  <c r="AI14" i="22" s="1"/>
  <c r="AI15" i="22" s="1"/>
  <c r="AI16" i="22" s="1"/>
  <c r="AI17" i="22" s="1"/>
  <c r="AI18" i="22" s="1"/>
  <c r="AI19" i="22" s="1"/>
  <c r="AI20" i="22" s="1"/>
  <c r="AI21" i="22" s="1"/>
  <c r="AI22" i="22" s="1"/>
  <c r="AI23" i="22" s="1"/>
  <c r="D70" i="3" s="1"/>
  <c r="M70" i="3" s="1"/>
  <c r="L70" i="2"/>
  <c r="L76" i="2"/>
  <c r="G76" i="2" s="1"/>
  <c r="L77" i="2"/>
  <c r="L117" i="2"/>
  <c r="G117" i="2" s="1"/>
  <c r="L120" i="2"/>
  <c r="G120" i="2" s="1"/>
  <c r="L121" i="2"/>
  <c r="L134" i="2"/>
  <c r="G134" i="2" s="1"/>
  <c r="N22" i="8"/>
  <c r="F13" i="13"/>
  <c r="G13" i="13" s="1"/>
  <c r="D37" i="16"/>
  <c r="F13" i="17"/>
  <c r="G13" i="17" s="1"/>
  <c r="D36" i="17"/>
  <c r="F12" i="21"/>
  <c r="G12" i="21" s="1"/>
  <c r="D37" i="14"/>
  <c r="D37" i="19"/>
  <c r="D36" i="10"/>
  <c r="D36" i="11"/>
  <c r="D36" i="13"/>
  <c r="D37" i="20"/>
  <c r="C18" i="4"/>
  <c r="C32" i="4"/>
  <c r="C23" i="20"/>
  <c r="F23" i="20" s="1"/>
  <c r="C23" i="21"/>
  <c r="F23" i="21" s="1"/>
  <c r="C23" i="19"/>
  <c r="F23" i="19" s="1"/>
  <c r="C23" i="14"/>
  <c r="F23" i="14" s="1"/>
  <c r="C23" i="17"/>
  <c r="F23" i="17" s="1"/>
  <c r="C23" i="15"/>
  <c r="F23" i="15" s="1"/>
  <c r="C23" i="11"/>
  <c r="F23" i="11" s="1"/>
  <c r="C23" i="10"/>
  <c r="F23" i="10" s="1"/>
  <c r="C23" i="13"/>
  <c r="F23" i="13" s="1"/>
  <c r="C23" i="16"/>
  <c r="F23" i="16" s="1"/>
  <c r="L39" i="2"/>
  <c r="G39" i="2" s="1"/>
  <c r="G20" i="5"/>
  <c r="K22" i="8"/>
  <c r="L35" i="2"/>
  <c r="G35" i="2" s="1"/>
  <c r="L42" i="2"/>
  <c r="G42" i="2" s="1"/>
  <c r="E13" i="21"/>
  <c r="F13" i="21" s="1"/>
  <c r="G13" i="21" s="1"/>
  <c r="L14" i="3"/>
  <c r="M14" i="3" s="1"/>
  <c r="F52" i="4"/>
  <c r="E8" i="9"/>
  <c r="C44" i="4"/>
  <c r="G17" i="5"/>
  <c r="U14" i="3" s="1"/>
  <c r="F29" i="21" s="1"/>
  <c r="G29" i="21" s="1"/>
  <c r="L48" i="2"/>
  <c r="G48" i="2" s="1"/>
  <c r="L51" i="2"/>
  <c r="G51" i="2" s="1"/>
  <c r="L59" i="2"/>
  <c r="G59" i="2" s="1"/>
  <c r="L65" i="2"/>
  <c r="G65" i="2" s="1"/>
  <c r="L82" i="2"/>
  <c r="G82" i="2" s="1"/>
  <c r="F51" i="4"/>
  <c r="C22" i="4"/>
  <c r="F44" i="7"/>
  <c r="H44" i="7" s="1"/>
  <c r="F42" i="7"/>
  <c r="H42" i="7" s="1"/>
  <c r="F45" i="7"/>
  <c r="H45" i="7" s="1"/>
  <c r="F43" i="7"/>
  <c r="H43" i="7" s="1"/>
  <c r="Q22" i="8"/>
  <c r="L68" i="2"/>
  <c r="G68" i="2" s="1"/>
  <c r="L78" i="2"/>
  <c r="G78" i="2" s="1"/>
  <c r="L93" i="2"/>
  <c r="G93" i="2" s="1"/>
  <c r="E12" i="16"/>
  <c r="F12" i="16" s="1"/>
  <c r="M11" i="3"/>
  <c r="L74" i="2"/>
  <c r="G74" i="2" s="1"/>
  <c r="L122" i="2"/>
  <c r="G122" i="2" s="1"/>
  <c r="A6" i="21"/>
  <c r="A6" i="20"/>
  <c r="A6" i="16"/>
  <c r="A6" i="19"/>
  <c r="A6" i="17"/>
  <c r="A6" i="13"/>
  <c r="A6" i="11"/>
  <c r="A6" i="15"/>
  <c r="A6" i="10"/>
  <c r="A6" i="8"/>
  <c r="D22" i="8"/>
  <c r="A44" i="11"/>
  <c r="B11" i="11"/>
  <c r="A45" i="11"/>
  <c r="D43" i="11"/>
  <c r="A6" i="14"/>
  <c r="H53" i="7"/>
  <c r="F61" i="7"/>
  <c r="H61" i="7" s="1"/>
  <c r="F58" i="7"/>
  <c r="H58" i="7" s="1"/>
  <c r="H22" i="8"/>
  <c r="A44" i="10"/>
  <c r="B11" i="10"/>
  <c r="D43" i="13"/>
  <c r="D44" i="15"/>
  <c r="A46" i="16"/>
  <c r="B11" i="16"/>
  <c r="A45" i="16"/>
  <c r="F11" i="13"/>
  <c r="B11" i="15"/>
  <c r="A46" i="15"/>
  <c r="F11" i="16"/>
  <c r="F22" i="16" s="1"/>
  <c r="D44" i="14"/>
  <c r="D44" i="16"/>
  <c r="G11" i="22"/>
  <c r="G12" i="22" s="1"/>
  <c r="G13" i="22" s="1"/>
  <c r="G14" i="22" s="1"/>
  <c r="G15" i="22" s="1"/>
  <c r="G16" i="22" s="1"/>
  <c r="G17" i="22" s="1"/>
  <c r="G18" i="22" s="1"/>
  <c r="G19" i="22" s="1"/>
  <c r="G20" i="22" s="1"/>
  <c r="G21" i="22" s="1"/>
  <c r="G22" i="22" s="1"/>
  <c r="G23" i="22" s="1"/>
  <c r="D66" i="3" s="1"/>
  <c r="M66" i="3" s="1"/>
  <c r="F79" i="3" s="1"/>
  <c r="A45" i="14"/>
  <c r="F11" i="17"/>
  <c r="A46" i="14"/>
  <c r="A45" i="19"/>
  <c r="A46" i="19"/>
  <c r="B11" i="19"/>
  <c r="B11" i="20"/>
  <c r="A46" i="20"/>
  <c r="A45" i="20"/>
  <c r="F11" i="21"/>
  <c r="D44" i="21"/>
  <c r="B11" i="21"/>
  <c r="A46" i="21"/>
  <c r="G124" i="2" l="1"/>
  <c r="J97" i="6" s="1"/>
  <c r="K97" i="6" s="1"/>
  <c r="G47" i="2"/>
  <c r="I47" i="2" s="1"/>
  <c r="H45" i="2"/>
  <c r="G45" i="2"/>
  <c r="G83" i="2"/>
  <c r="G46" i="2"/>
  <c r="H46" i="2" s="1"/>
  <c r="G52" i="2"/>
  <c r="G58" i="2"/>
  <c r="G77" i="2"/>
  <c r="G71" i="2"/>
  <c r="G53" i="2"/>
  <c r="G123" i="2"/>
  <c r="G60" i="2"/>
  <c r="G70" i="2"/>
  <c r="G34" i="2"/>
  <c r="J11" i="6" s="1"/>
  <c r="K11" i="6" s="1"/>
  <c r="G116" i="2"/>
  <c r="G69" i="2"/>
  <c r="G50" i="2"/>
  <c r="G84" i="2"/>
  <c r="J21" i="6"/>
  <c r="K21" i="6" s="1"/>
  <c r="G44" i="2"/>
  <c r="G36" i="2"/>
  <c r="G125" i="2"/>
  <c r="H125" i="2" s="1"/>
  <c r="G61" i="2"/>
  <c r="I61" i="2" s="1"/>
  <c r="G64" i="2"/>
  <c r="G118" i="2"/>
  <c r="J91" i="6" s="1"/>
  <c r="K91" i="6" s="1"/>
  <c r="G38" i="2"/>
  <c r="J15" i="6" s="1"/>
  <c r="K15" i="6" s="1"/>
  <c r="G32" i="2"/>
  <c r="G121" i="2"/>
  <c r="H121" i="2" s="1"/>
  <c r="G56" i="2"/>
  <c r="G55" i="2"/>
  <c r="G40" i="2"/>
  <c r="J17" i="6" s="1"/>
  <c r="K17" i="6" s="1"/>
  <c r="G54" i="2"/>
  <c r="J31" i="6" s="1"/>
  <c r="K31" i="6" s="1"/>
  <c r="G12" i="20"/>
  <c r="J12" i="20"/>
  <c r="J14" i="20" s="1"/>
  <c r="U13" i="3"/>
  <c r="F29" i="19" s="1"/>
  <c r="G29" i="19" s="1"/>
  <c r="U10" i="3"/>
  <c r="F29" i="15" s="1"/>
  <c r="G29" i="15" s="1"/>
  <c r="U12" i="3"/>
  <c r="F29" i="20" s="1"/>
  <c r="G29" i="20" s="1"/>
  <c r="J12" i="21"/>
  <c r="J14" i="21" s="1"/>
  <c r="G11" i="20"/>
  <c r="G11" i="15"/>
  <c r="G14" i="15" s="1"/>
  <c r="G14" i="20"/>
  <c r="G12" i="13"/>
  <c r="G79" i="3"/>
  <c r="H79" i="3" s="1"/>
  <c r="I79" i="3" s="1"/>
  <c r="J79" i="3" s="1"/>
  <c r="G12" i="11"/>
  <c r="H30" i="7"/>
  <c r="H31" i="7" s="1"/>
  <c r="N14" i="3" s="1"/>
  <c r="H21" i="7"/>
  <c r="H22" i="7" s="1"/>
  <c r="N11" i="3" s="1"/>
  <c r="J96" i="6"/>
  <c r="K96" i="6" s="1"/>
  <c r="I118" i="2"/>
  <c r="H124" i="2"/>
  <c r="I96" i="2"/>
  <c r="H8" i="9"/>
  <c r="F8" i="9"/>
  <c r="I117" i="2"/>
  <c r="I75" i="2"/>
  <c r="I119" i="2"/>
  <c r="H73" i="2"/>
  <c r="H79" i="2"/>
  <c r="I67" i="2"/>
  <c r="J10" i="6"/>
  <c r="K10" i="6" s="1"/>
  <c r="I76" i="2"/>
  <c r="I81" i="2"/>
  <c r="I72" i="2"/>
  <c r="H49" i="2"/>
  <c r="G12" i="10"/>
  <c r="G14" i="10" s="1"/>
  <c r="F22" i="10"/>
  <c r="I22" i="10" s="1"/>
  <c r="I29" i="10" s="1"/>
  <c r="I30" i="10" s="1"/>
  <c r="F14" i="11"/>
  <c r="J12" i="19"/>
  <c r="J14" i="19" s="1"/>
  <c r="F22" i="11"/>
  <c r="F14" i="10"/>
  <c r="F14" i="20"/>
  <c r="G12" i="17"/>
  <c r="G11" i="11"/>
  <c r="H37" i="7"/>
  <c r="H38" i="7" s="1"/>
  <c r="F22" i="14"/>
  <c r="I22" i="14" s="1"/>
  <c r="I30" i="14" s="1"/>
  <c r="I31" i="14" s="1"/>
  <c r="F14" i="14"/>
  <c r="G11" i="19"/>
  <c r="G14" i="19" s="1"/>
  <c r="I22" i="19"/>
  <c r="I30" i="19" s="1"/>
  <c r="I31" i="19" s="1"/>
  <c r="I34" i="19" s="1"/>
  <c r="I35" i="19" s="1"/>
  <c r="I36" i="19" s="1"/>
  <c r="G22" i="19"/>
  <c r="M14" i="9"/>
  <c r="F14" i="15"/>
  <c r="F14" i="19"/>
  <c r="J12" i="15"/>
  <c r="J14" i="15" s="1"/>
  <c r="J14" i="6"/>
  <c r="K14" i="6" s="1"/>
  <c r="H37" i="2"/>
  <c r="I37" i="2"/>
  <c r="J18" i="6"/>
  <c r="K18" i="6" s="1"/>
  <c r="I41" i="2"/>
  <c r="H41" i="2"/>
  <c r="J20" i="6"/>
  <c r="K20" i="6" s="1"/>
  <c r="I43" i="2"/>
  <c r="H43" i="2"/>
  <c r="J12" i="14"/>
  <c r="J14" i="14" s="1"/>
  <c r="G14" i="14"/>
  <c r="H63" i="7"/>
  <c r="H64" i="7" s="1"/>
  <c r="H134" i="2"/>
  <c r="J105" i="6"/>
  <c r="K105" i="6" s="1"/>
  <c r="I134" i="2"/>
  <c r="H12" i="7"/>
  <c r="H13" i="7" s="1"/>
  <c r="H46" i="7"/>
  <c r="H47" i="7" s="1"/>
  <c r="N7" i="9"/>
  <c r="H23" i="15"/>
  <c r="H30" i="15" s="1"/>
  <c r="H31" i="15" s="1"/>
  <c r="G23" i="15"/>
  <c r="J13" i="9"/>
  <c r="G51" i="4"/>
  <c r="H51" i="4"/>
  <c r="H23" i="21"/>
  <c r="H30" i="21" s="1"/>
  <c r="H31" i="21" s="1"/>
  <c r="G23" i="21"/>
  <c r="N13" i="9"/>
  <c r="H23" i="17"/>
  <c r="H29" i="17" s="1"/>
  <c r="H30" i="17" s="1"/>
  <c r="G23" i="17"/>
  <c r="H13" i="9"/>
  <c r="G23" i="19"/>
  <c r="H23" i="19"/>
  <c r="H30" i="19" s="1"/>
  <c r="H31" i="19" s="1"/>
  <c r="M13" i="9"/>
  <c r="H54" i="7"/>
  <c r="H55" i="7" s="1"/>
  <c r="N9" i="3" s="1"/>
  <c r="I8" i="9"/>
  <c r="I74" i="2"/>
  <c r="J51" i="6"/>
  <c r="K51" i="6" s="1"/>
  <c r="H74" i="2"/>
  <c r="I78" i="2"/>
  <c r="H78" i="2"/>
  <c r="J55" i="6"/>
  <c r="K55" i="6" s="1"/>
  <c r="J59" i="6"/>
  <c r="K59" i="6" s="1"/>
  <c r="H82" i="2"/>
  <c r="I82" i="2"/>
  <c r="J25" i="6"/>
  <c r="K25" i="6" s="1"/>
  <c r="I48" i="2"/>
  <c r="H48" i="2"/>
  <c r="H52" i="4"/>
  <c r="G52" i="4"/>
  <c r="M8" i="9"/>
  <c r="F14" i="13"/>
  <c r="G11" i="13"/>
  <c r="F22" i="13"/>
  <c r="K7" i="9"/>
  <c r="E9" i="9"/>
  <c r="O8" i="9"/>
  <c r="J12" i="6"/>
  <c r="K12" i="6" s="1"/>
  <c r="I35" i="2"/>
  <c r="H35" i="2"/>
  <c r="G11" i="21"/>
  <c r="G14" i="21" s="1"/>
  <c r="F14" i="21"/>
  <c r="I22" i="16"/>
  <c r="I30" i="16" s="1"/>
  <c r="I31" i="16" s="1"/>
  <c r="G22" i="16"/>
  <c r="K14" i="9"/>
  <c r="I22" i="15"/>
  <c r="I30" i="15" s="1"/>
  <c r="I31" i="15" s="1"/>
  <c r="J14" i="9"/>
  <c r="G22" i="15"/>
  <c r="G12" i="16"/>
  <c r="J12" i="16"/>
  <c r="J14" i="16" s="1"/>
  <c r="G23" i="10"/>
  <c r="F13" i="9"/>
  <c r="H23" i="10"/>
  <c r="H29" i="10" s="1"/>
  <c r="H30" i="10" s="1"/>
  <c r="J68" i="6"/>
  <c r="K68" i="6" s="1"/>
  <c r="I93" i="2"/>
  <c r="H93" i="2"/>
  <c r="J45" i="6"/>
  <c r="K45" i="6" s="1"/>
  <c r="I68" i="2"/>
  <c r="H68" i="2"/>
  <c r="H65" i="2"/>
  <c r="J42" i="6"/>
  <c r="K42" i="6" s="1"/>
  <c r="I65" i="2"/>
  <c r="H23" i="13"/>
  <c r="H29" i="13" s="1"/>
  <c r="H30" i="13" s="1"/>
  <c r="G23" i="13"/>
  <c r="O13" i="9"/>
  <c r="L8" i="9"/>
  <c r="C51" i="4"/>
  <c r="C35" i="4"/>
  <c r="C37" i="4" s="1"/>
  <c r="C54" i="4" s="1"/>
  <c r="C28" i="4"/>
  <c r="C29" i="4" s="1"/>
  <c r="C53" i="4" s="1"/>
  <c r="C45" i="4"/>
  <c r="C46" i="4" s="1"/>
  <c r="C55" i="4" s="1"/>
  <c r="H49" i="4"/>
  <c r="H23" i="14"/>
  <c r="H30" i="14" s="1"/>
  <c r="H31" i="14" s="1"/>
  <c r="G23" i="14"/>
  <c r="I13" i="9"/>
  <c r="G23" i="16"/>
  <c r="K13" i="9"/>
  <c r="H23" i="16"/>
  <c r="H30" i="16" s="1"/>
  <c r="H31" i="16" s="1"/>
  <c r="G23" i="11"/>
  <c r="H23" i="11"/>
  <c r="H29" i="11" s="1"/>
  <c r="H30" i="11" s="1"/>
  <c r="J28" i="6"/>
  <c r="K28" i="6" s="1"/>
  <c r="I51" i="2"/>
  <c r="H51" i="2"/>
  <c r="F22" i="21"/>
  <c r="G22" i="20"/>
  <c r="I22" i="20"/>
  <c r="I30" i="20" s="1"/>
  <c r="I31" i="20" s="1"/>
  <c r="L14" i="9"/>
  <c r="F14" i="17"/>
  <c r="G11" i="17"/>
  <c r="F22" i="17"/>
  <c r="G11" i="16"/>
  <c r="F14" i="16"/>
  <c r="J8" i="9"/>
  <c r="J95" i="6"/>
  <c r="K95" i="6" s="1"/>
  <c r="I122" i="2"/>
  <c r="H122" i="2"/>
  <c r="M17" i="3"/>
  <c r="F53" i="4"/>
  <c r="C23" i="4"/>
  <c r="C24" i="4" s="1"/>
  <c r="J36" i="6"/>
  <c r="K36" i="6" s="1"/>
  <c r="H59" i="2"/>
  <c r="I59" i="2"/>
  <c r="J19" i="6"/>
  <c r="K19" i="6" s="1"/>
  <c r="I42" i="2"/>
  <c r="H42" i="2"/>
  <c r="J16" i="6"/>
  <c r="K16" i="6" s="1"/>
  <c r="I39" i="2"/>
  <c r="H39" i="2"/>
  <c r="G23" i="20"/>
  <c r="H23" i="20"/>
  <c r="H30" i="20" s="1"/>
  <c r="H31" i="20" s="1"/>
  <c r="L13" i="9"/>
  <c r="G14" i="11" l="1"/>
  <c r="G14" i="13"/>
  <c r="I45" i="2"/>
  <c r="J22" i="6"/>
  <c r="K22" i="6" s="1"/>
  <c r="J60" i="6"/>
  <c r="K60" i="6" s="1"/>
  <c r="H83" i="2"/>
  <c r="J29" i="6"/>
  <c r="K29" i="6" s="1"/>
  <c r="I52" i="2"/>
  <c r="J35" i="6"/>
  <c r="K35" i="6" s="1"/>
  <c r="H58" i="2"/>
  <c r="I58" i="2"/>
  <c r="J54" i="6"/>
  <c r="K54" i="6" s="1"/>
  <c r="H77" i="2"/>
  <c r="I77" i="2"/>
  <c r="I71" i="2"/>
  <c r="H71" i="2"/>
  <c r="J30" i="6"/>
  <c r="K30" i="6" s="1"/>
  <c r="I53" i="2"/>
  <c r="H123" i="2"/>
  <c r="I123" i="2"/>
  <c r="J37" i="6"/>
  <c r="K37" i="6" s="1"/>
  <c r="H60" i="2"/>
  <c r="J47" i="6"/>
  <c r="K47" i="6" s="1"/>
  <c r="H70" i="2"/>
  <c r="H116" i="2"/>
  <c r="I116" i="2"/>
  <c r="J89" i="6"/>
  <c r="K89" i="6" s="1"/>
  <c r="J46" i="6"/>
  <c r="K46" i="6" s="1"/>
  <c r="I69" i="2"/>
  <c r="H50" i="2"/>
  <c r="J27" i="6"/>
  <c r="K27" i="6" s="1"/>
  <c r="J61" i="6"/>
  <c r="K61" i="6" s="1"/>
  <c r="I84" i="2"/>
  <c r="H84" i="2"/>
  <c r="I44" i="2"/>
  <c r="H44" i="2"/>
  <c r="I36" i="2"/>
  <c r="H36" i="2"/>
  <c r="I64" i="2"/>
  <c r="J41" i="6"/>
  <c r="K41" i="6" s="1"/>
  <c r="H64" i="2"/>
  <c r="I32" i="2"/>
  <c r="H32" i="2"/>
  <c r="J33" i="6"/>
  <c r="K33" i="6" s="1"/>
  <c r="H56" i="2"/>
  <c r="I55" i="2"/>
  <c r="J32" i="6"/>
  <c r="K32" i="6" s="1"/>
  <c r="I121" i="2"/>
  <c r="H47" i="2"/>
  <c r="J48" i="6"/>
  <c r="K48" i="6" s="1"/>
  <c r="H40" i="2"/>
  <c r="I40" i="2"/>
  <c r="H54" i="2"/>
  <c r="I38" i="2"/>
  <c r="I125" i="2"/>
  <c r="I34" i="2"/>
  <c r="J24" i="6"/>
  <c r="K24" i="6" s="1"/>
  <c r="I50" i="2"/>
  <c r="J23" i="6"/>
  <c r="K23" i="6" s="1"/>
  <c r="I56" i="2"/>
  <c r="H69" i="2"/>
  <c r="H118" i="2"/>
  <c r="H34" i="2"/>
  <c r="J13" i="6"/>
  <c r="K13" i="6" s="1"/>
  <c r="I60" i="2"/>
  <c r="I83" i="2"/>
  <c r="J38" i="6"/>
  <c r="K38" i="6" s="1"/>
  <c r="H52" i="2"/>
  <c r="I70" i="2"/>
  <c r="I54" i="2"/>
  <c r="J94" i="6"/>
  <c r="K94" i="6" s="1"/>
  <c r="H61" i="2"/>
  <c r="H53" i="2"/>
  <c r="J98" i="6"/>
  <c r="K98" i="6" s="1"/>
  <c r="J9" i="6"/>
  <c r="K9" i="6" s="1"/>
  <c r="H38" i="2"/>
  <c r="I46" i="2"/>
  <c r="H55" i="2"/>
  <c r="I124" i="2"/>
  <c r="G14" i="17"/>
  <c r="G22" i="11"/>
  <c r="G14" i="9"/>
  <c r="G16" i="9" s="1"/>
  <c r="G31" i="9" s="1"/>
  <c r="E10" i="9"/>
  <c r="G9" i="9"/>
  <c r="G10" i="9" s="1"/>
  <c r="G11" i="9" s="1"/>
  <c r="G30" i="9" s="1"/>
  <c r="G32" i="9" s="1"/>
  <c r="N16" i="3"/>
  <c r="F19" i="14" s="1"/>
  <c r="G19" i="14" s="1"/>
  <c r="N15" i="3"/>
  <c r="F19" i="13" s="1"/>
  <c r="N13" i="3"/>
  <c r="F19" i="19" s="1"/>
  <c r="G19" i="19" s="1"/>
  <c r="G30" i="19" s="1"/>
  <c r="N10" i="3"/>
  <c r="F19" i="15" s="1"/>
  <c r="G19" i="15" s="1"/>
  <c r="N12" i="3"/>
  <c r="F19" i="20" s="1"/>
  <c r="G19" i="20" s="1"/>
  <c r="G30" i="20" s="1"/>
  <c r="N8" i="3"/>
  <c r="N7" i="3"/>
  <c r="F19" i="10" s="1"/>
  <c r="G19" i="10" s="1"/>
  <c r="J90" i="6"/>
  <c r="K90" i="6" s="1"/>
  <c r="F27" i="16"/>
  <c r="H117" i="2"/>
  <c r="J52" i="6"/>
  <c r="K52" i="6" s="1"/>
  <c r="H75" i="2"/>
  <c r="I33" i="2"/>
  <c r="H33" i="2"/>
  <c r="J44" i="6"/>
  <c r="K44" i="6" s="1"/>
  <c r="H67" i="2"/>
  <c r="J93" i="6"/>
  <c r="K93" i="6" s="1"/>
  <c r="H120" i="2"/>
  <c r="I79" i="2"/>
  <c r="J56" i="6"/>
  <c r="K56" i="6" s="1"/>
  <c r="J49" i="6"/>
  <c r="K49" i="6" s="1"/>
  <c r="H72" i="2"/>
  <c r="J53" i="6"/>
  <c r="K53" i="6" s="1"/>
  <c r="H76" i="2"/>
  <c r="J50" i="6"/>
  <c r="K50" i="6" s="1"/>
  <c r="I73" i="2"/>
  <c r="I120" i="2"/>
  <c r="I49" i="2"/>
  <c r="J26" i="6"/>
  <c r="K26" i="6" s="1"/>
  <c r="J58" i="6"/>
  <c r="K58" i="6" s="1"/>
  <c r="H81" i="2"/>
  <c r="J34" i="6"/>
  <c r="K34" i="6" s="1"/>
  <c r="I57" i="2"/>
  <c r="H80" i="2"/>
  <c r="J57" i="6"/>
  <c r="K57" i="6" s="1"/>
  <c r="I94" i="2"/>
  <c r="H57" i="2"/>
  <c r="I95" i="2"/>
  <c r="I80" i="2"/>
  <c r="I62" i="2"/>
  <c r="J39" i="6"/>
  <c r="K39" i="6" s="1"/>
  <c r="J40" i="6"/>
  <c r="K40" i="6" s="1"/>
  <c r="H63" i="2"/>
  <c r="J43" i="6"/>
  <c r="K43" i="6" s="1"/>
  <c r="H66" i="2"/>
  <c r="J92" i="6"/>
  <c r="K92" i="6" s="1"/>
  <c r="H119" i="2"/>
  <c r="H62" i="2"/>
  <c r="I63" i="2"/>
  <c r="I66" i="2"/>
  <c r="K111" i="6"/>
  <c r="S14" i="3" s="1"/>
  <c r="F27" i="21" s="1"/>
  <c r="M16" i="9"/>
  <c r="M31" i="9" s="1"/>
  <c r="G22" i="10"/>
  <c r="F14" i="9"/>
  <c r="F16" i="9" s="1"/>
  <c r="F31" i="9" s="1"/>
  <c r="I22" i="11"/>
  <c r="I29" i="11" s="1"/>
  <c r="I30" i="11" s="1"/>
  <c r="I33" i="11" s="1"/>
  <c r="I14" i="9"/>
  <c r="I16" i="9" s="1"/>
  <c r="I31" i="9" s="1"/>
  <c r="G22" i="14"/>
  <c r="K16" i="9"/>
  <c r="K31" i="9" s="1"/>
  <c r="L16" i="9"/>
  <c r="L31" i="9" s="1"/>
  <c r="F19" i="21"/>
  <c r="G19" i="21" s="1"/>
  <c r="F19" i="16"/>
  <c r="G19" i="16" s="1"/>
  <c r="G30" i="16" s="1"/>
  <c r="G14" i="16"/>
  <c r="H34" i="20"/>
  <c r="H35" i="20" s="1"/>
  <c r="H36" i="20" s="1"/>
  <c r="I33" i="10"/>
  <c r="I34" i="10" s="1"/>
  <c r="I35" i="10" s="1"/>
  <c r="I34" i="20"/>
  <c r="I35" i="20" s="1"/>
  <c r="I36" i="20" s="1"/>
  <c r="H53" i="4"/>
  <c r="H54" i="4" s="1"/>
  <c r="G53" i="4"/>
  <c r="G54" i="4" s="1"/>
  <c r="H33" i="13"/>
  <c r="G30" i="15"/>
  <c r="I34" i="16"/>
  <c r="I34" i="14"/>
  <c r="F19" i="17"/>
  <c r="H34" i="21"/>
  <c r="F54" i="4"/>
  <c r="F55" i="4" s="1"/>
  <c r="J16" i="9"/>
  <c r="J31" i="9" s="1"/>
  <c r="N8" i="9"/>
  <c r="N9" i="9"/>
  <c r="I22" i="21"/>
  <c r="I30" i="21" s="1"/>
  <c r="I31" i="21" s="1"/>
  <c r="G22" i="21"/>
  <c r="N14" i="9"/>
  <c r="N16" i="9" s="1"/>
  <c r="N31" i="9" s="1"/>
  <c r="H34" i="16"/>
  <c r="H35" i="16" s="1"/>
  <c r="H36" i="16" s="1"/>
  <c r="I34" i="15"/>
  <c r="I35" i="15" s="1"/>
  <c r="I36" i="15" s="1"/>
  <c r="J9" i="9"/>
  <c r="J10" i="9" s="1"/>
  <c r="J11" i="9" s="1"/>
  <c r="J30" i="9" s="1"/>
  <c r="L9" i="9"/>
  <c r="L10" i="9" s="1"/>
  <c r="L11" i="9" s="1"/>
  <c r="L30" i="9" s="1"/>
  <c r="M9" i="9"/>
  <c r="M10" i="9" s="1"/>
  <c r="M11" i="9" s="1"/>
  <c r="M30" i="9" s="1"/>
  <c r="I9" i="9"/>
  <c r="I10" i="9" s="1"/>
  <c r="I11" i="9" s="1"/>
  <c r="I30" i="9" s="1"/>
  <c r="O9" i="9"/>
  <c r="O10" i="9" s="1"/>
  <c r="O11" i="9" s="1"/>
  <c r="O30" i="9" s="1"/>
  <c r="F9" i="9"/>
  <c r="F10" i="9" s="1"/>
  <c r="F11" i="9" s="1"/>
  <c r="F30" i="9" s="1"/>
  <c r="H9" i="9"/>
  <c r="H10" i="9" s="1"/>
  <c r="H11" i="9" s="1"/>
  <c r="H30" i="9" s="1"/>
  <c r="K9" i="9"/>
  <c r="K8" i="9"/>
  <c r="G22" i="13"/>
  <c r="I22" i="13"/>
  <c r="I29" i="13" s="1"/>
  <c r="I30" i="13" s="1"/>
  <c r="O14" i="9"/>
  <c r="O16" i="9" s="1"/>
  <c r="O31" i="9" s="1"/>
  <c r="C25" i="4"/>
  <c r="C52" i="4" s="1"/>
  <c r="C57" i="4" s="1"/>
  <c r="G22" i="17"/>
  <c r="I22" i="17"/>
  <c r="I29" i="17" s="1"/>
  <c r="I30" i="17" s="1"/>
  <c r="H14" i="9"/>
  <c r="H16" i="9" s="1"/>
  <c r="H31" i="9" s="1"/>
  <c r="H33" i="11"/>
  <c r="H34" i="14"/>
  <c r="H35" i="14" s="1"/>
  <c r="H36" i="14" s="1"/>
  <c r="H33" i="10"/>
  <c r="H34" i="10" s="1"/>
  <c r="H35" i="10" s="1"/>
  <c r="H34" i="19"/>
  <c r="H33" i="17"/>
  <c r="H34" i="17" s="1"/>
  <c r="H35" i="17" s="1"/>
  <c r="H34" i="15"/>
  <c r="H35" i="15" s="1"/>
  <c r="H36" i="15" s="1"/>
  <c r="I37" i="19"/>
  <c r="I38" i="19" s="1"/>
  <c r="I45" i="19" s="1"/>
  <c r="I46" i="19" s="1"/>
  <c r="G18" i="9" l="1"/>
  <c r="G30" i="14"/>
  <c r="G19" i="13"/>
  <c r="F29" i="13"/>
  <c r="G29" i="13"/>
  <c r="F29" i="10"/>
  <c r="F19" i="11"/>
  <c r="H126" i="2"/>
  <c r="H127" i="2" s="1"/>
  <c r="H128" i="2" s="1"/>
  <c r="K99" i="6"/>
  <c r="H108" i="2"/>
  <c r="H109" i="2" s="1"/>
  <c r="H110" i="2" s="1"/>
  <c r="K83" i="6"/>
  <c r="Q16" i="3" s="1"/>
  <c r="F28" i="14" s="1"/>
  <c r="F30" i="14" s="1"/>
  <c r="H140" i="2"/>
  <c r="H141" i="2" s="1"/>
  <c r="H142" i="2" s="1"/>
  <c r="H144" i="2" s="1"/>
  <c r="H143" i="2" s="1"/>
  <c r="H85" i="2"/>
  <c r="H86" i="2" s="1"/>
  <c r="H87" i="2" s="1"/>
  <c r="H89" i="2" s="1"/>
  <c r="H88" i="2" s="1"/>
  <c r="K62" i="6"/>
  <c r="M32" i="9"/>
  <c r="G29" i="10"/>
  <c r="J32" i="9"/>
  <c r="I32" i="9"/>
  <c r="I18" i="9" s="1"/>
  <c r="F32" i="9"/>
  <c r="L32" i="9"/>
  <c r="G30" i="21"/>
  <c r="F30" i="16"/>
  <c r="O32" i="9"/>
  <c r="N10" i="9"/>
  <c r="N11" i="9" s="1"/>
  <c r="N30" i="9" s="1"/>
  <c r="N32" i="9" s="1"/>
  <c r="E15" i="21"/>
  <c r="E15" i="20"/>
  <c r="E15" i="19"/>
  <c r="E15" i="16"/>
  <c r="E15" i="15"/>
  <c r="E15" i="14"/>
  <c r="E15" i="11"/>
  <c r="E15" i="10"/>
  <c r="G26" i="3"/>
  <c r="E15" i="13"/>
  <c r="E15" i="17"/>
  <c r="H32" i="9"/>
  <c r="K10" i="9"/>
  <c r="K11" i="9" s="1"/>
  <c r="K30" i="9" s="1"/>
  <c r="K32" i="9" s="1"/>
  <c r="I37" i="15"/>
  <c r="I38" i="15" s="1"/>
  <c r="I45" i="15" s="1"/>
  <c r="I46" i="15" s="1"/>
  <c r="H37" i="16"/>
  <c r="H38" i="16" s="1"/>
  <c r="H45" i="16" s="1"/>
  <c r="H46" i="16" s="1"/>
  <c r="G55" i="4"/>
  <c r="G57" i="4" s="1"/>
  <c r="H34" i="13"/>
  <c r="H35" i="13" s="1"/>
  <c r="H36" i="13" s="1"/>
  <c r="H37" i="13" s="1"/>
  <c r="H44" i="13" s="1"/>
  <c r="H45" i="13" s="1"/>
  <c r="I36" i="10"/>
  <c r="I37" i="10" s="1"/>
  <c r="I44" i="10" s="1"/>
  <c r="I45" i="10" s="1"/>
  <c r="I43" i="19"/>
  <c r="I42" i="19"/>
  <c r="I41" i="19"/>
  <c r="I40" i="19"/>
  <c r="G18" i="8"/>
  <c r="I18" i="8" s="1"/>
  <c r="H55" i="4"/>
  <c r="H57" i="4" s="1"/>
  <c r="H59" i="4" s="1"/>
  <c r="I34" i="21"/>
  <c r="I35" i="16"/>
  <c r="I36" i="16" s="1"/>
  <c r="I37" i="16" s="1"/>
  <c r="I38" i="16" s="1"/>
  <c r="I45" i="16" s="1"/>
  <c r="I46" i="16" s="1"/>
  <c r="I37" i="20"/>
  <c r="I38" i="20" s="1"/>
  <c r="I45" i="20" s="1"/>
  <c r="I46" i="20" s="1"/>
  <c r="H36" i="17"/>
  <c r="H37" i="17" s="1"/>
  <c r="H44" i="17" s="1"/>
  <c r="H45" i="17" s="1"/>
  <c r="H37" i="14"/>
  <c r="H38" i="14" s="1"/>
  <c r="H45" i="14" s="1"/>
  <c r="H46" i="14" s="1"/>
  <c r="H34" i="11"/>
  <c r="H35" i="11" s="1"/>
  <c r="H36" i="11" s="1"/>
  <c r="H37" i="11" s="1"/>
  <c r="H44" i="11" s="1"/>
  <c r="H45" i="11" s="1"/>
  <c r="I33" i="17"/>
  <c r="H37" i="15"/>
  <c r="H38" i="15" s="1"/>
  <c r="H45" i="15" s="1"/>
  <c r="H46" i="15" s="1"/>
  <c r="H35" i="19"/>
  <c r="H36" i="19" s="1"/>
  <c r="H37" i="19" s="1"/>
  <c r="H38" i="19" s="1"/>
  <c r="H45" i="19" s="1"/>
  <c r="H46" i="19" s="1"/>
  <c r="H36" i="10"/>
  <c r="H37" i="10" s="1"/>
  <c r="H44" i="10" s="1"/>
  <c r="H45" i="10" s="1"/>
  <c r="I34" i="11"/>
  <c r="I35" i="11" s="1"/>
  <c r="I36" i="11" s="1"/>
  <c r="I37" i="11" s="1"/>
  <c r="I44" i="11" s="1"/>
  <c r="I45" i="11" s="1"/>
  <c r="I33" i="13"/>
  <c r="I34" i="13" s="1"/>
  <c r="I35" i="13" s="1"/>
  <c r="H35" i="21"/>
  <c r="H36" i="21" s="1"/>
  <c r="H37" i="21" s="1"/>
  <c r="H38" i="21" s="1"/>
  <c r="H45" i="21" s="1"/>
  <c r="H46" i="21" s="1"/>
  <c r="F29" i="17"/>
  <c r="G19" i="17"/>
  <c r="G29" i="17" s="1"/>
  <c r="I35" i="14"/>
  <c r="I36" i="14" s="1"/>
  <c r="I37" i="14" s="1"/>
  <c r="I38" i="14" s="1"/>
  <c r="I45" i="14" s="1"/>
  <c r="I46" i="14" s="1"/>
  <c r="H37" i="20"/>
  <c r="H38" i="20" s="1"/>
  <c r="H45" i="20" s="1"/>
  <c r="H46" i="20" s="1"/>
  <c r="G19" i="9" l="1"/>
  <c r="G21" i="9" s="1"/>
  <c r="G26" i="9" s="1"/>
  <c r="G33" i="9" s="1"/>
  <c r="G34" i="9" s="1"/>
  <c r="F18" i="9"/>
  <c r="F19" i="9" s="1"/>
  <c r="F21" i="9" s="1"/>
  <c r="O10" i="3"/>
  <c r="W23" i="8"/>
  <c r="F28" i="15"/>
  <c r="R14" i="3"/>
  <c r="N18" i="9"/>
  <c r="O18" i="9"/>
  <c r="M18" i="9"/>
  <c r="K18" i="9"/>
  <c r="L18" i="9"/>
  <c r="F29" i="11"/>
  <c r="G19" i="11"/>
  <c r="G29" i="11" s="1"/>
  <c r="H130" i="2"/>
  <c r="H129" i="2" s="1"/>
  <c r="H112" i="2"/>
  <c r="H111" i="2" s="1"/>
  <c r="O13" i="3"/>
  <c r="O12" i="3"/>
  <c r="J18" i="9"/>
  <c r="H40" i="21"/>
  <c r="H42" i="21"/>
  <c r="H41" i="21"/>
  <c r="H43" i="21"/>
  <c r="P19" i="8"/>
  <c r="R19" i="8" s="1"/>
  <c r="I42" i="11"/>
  <c r="G13" i="8"/>
  <c r="I13" i="8" s="1"/>
  <c r="I40" i="11"/>
  <c r="I41" i="11"/>
  <c r="I39" i="11"/>
  <c r="I41" i="14"/>
  <c r="I42" i="14"/>
  <c r="G21" i="8"/>
  <c r="I21" i="8" s="1"/>
  <c r="I43" i="14"/>
  <c r="I40" i="14"/>
  <c r="H39" i="11"/>
  <c r="P13" i="8"/>
  <c r="R13" i="8" s="1"/>
  <c r="H42" i="11"/>
  <c r="H40" i="11"/>
  <c r="H41" i="11"/>
  <c r="H40" i="13"/>
  <c r="H39" i="13"/>
  <c r="H42" i="13"/>
  <c r="H41" i="13"/>
  <c r="P20" i="8"/>
  <c r="R20" i="8" s="1"/>
  <c r="H40" i="19"/>
  <c r="H41" i="19"/>
  <c r="H43" i="19"/>
  <c r="H42" i="19"/>
  <c r="P18" i="8"/>
  <c r="R18" i="8" s="1"/>
  <c r="I42" i="16"/>
  <c r="I41" i="16"/>
  <c r="I40" i="16"/>
  <c r="I43" i="16"/>
  <c r="G16" i="8"/>
  <c r="I16" i="8" s="1"/>
  <c r="H43" i="14"/>
  <c r="H42" i="14"/>
  <c r="H41" i="14"/>
  <c r="H40" i="14"/>
  <c r="P21" i="8"/>
  <c r="R21" i="8" s="1"/>
  <c r="S20" i="2"/>
  <c r="S16" i="2"/>
  <c r="S19" i="2"/>
  <c r="S17" i="2"/>
  <c r="S11" i="2"/>
  <c r="S14" i="2"/>
  <c r="S12" i="2"/>
  <c r="S13" i="2"/>
  <c r="S15" i="2"/>
  <c r="S18" i="2"/>
  <c r="J15" i="13"/>
  <c r="J16" i="13" s="1"/>
  <c r="J30" i="13" s="1"/>
  <c r="F15" i="13"/>
  <c r="H42" i="17"/>
  <c r="H39" i="17"/>
  <c r="H40" i="17"/>
  <c r="H41" i="17"/>
  <c r="P14" i="8"/>
  <c r="R14" i="8" s="1"/>
  <c r="H18" i="9"/>
  <c r="F15" i="14"/>
  <c r="J15" i="14"/>
  <c r="J16" i="14" s="1"/>
  <c r="J31" i="14" s="1"/>
  <c r="F15" i="19"/>
  <c r="J15" i="19"/>
  <c r="J16" i="19" s="1"/>
  <c r="J31" i="19" s="1"/>
  <c r="I36" i="13"/>
  <c r="I37" i="13" s="1"/>
  <c r="I44" i="13" s="1"/>
  <c r="I45" i="13" s="1"/>
  <c r="H39" i="10"/>
  <c r="P12" i="8"/>
  <c r="R12" i="8" s="1"/>
  <c r="H42" i="10"/>
  <c r="H40" i="10"/>
  <c r="H41" i="10"/>
  <c r="I34" i="17"/>
  <c r="I35" i="17" s="1"/>
  <c r="I36" i="17" s="1"/>
  <c r="I37" i="17" s="1"/>
  <c r="I44" i="17" s="1"/>
  <c r="I45" i="17" s="1"/>
  <c r="I19" i="9"/>
  <c r="I35" i="21"/>
  <c r="I36" i="21" s="1"/>
  <c r="I37" i="21" s="1"/>
  <c r="I38" i="21" s="1"/>
  <c r="I45" i="21" s="1"/>
  <c r="I46" i="21" s="1"/>
  <c r="I44" i="19"/>
  <c r="I42" i="10"/>
  <c r="I40" i="10"/>
  <c r="G12" i="8"/>
  <c r="I12" i="8" s="1"/>
  <c r="I41" i="10"/>
  <c r="I39" i="10"/>
  <c r="F15" i="10"/>
  <c r="J15" i="10"/>
  <c r="J16" i="10" s="1"/>
  <c r="J30" i="10" s="1"/>
  <c r="F15" i="15"/>
  <c r="J15" i="15"/>
  <c r="J16" i="15" s="1"/>
  <c r="J31" i="15" s="1"/>
  <c r="J15" i="20"/>
  <c r="J16" i="20" s="1"/>
  <c r="J31" i="20" s="1"/>
  <c r="F15" i="20"/>
  <c r="H43" i="15"/>
  <c r="H40" i="15"/>
  <c r="H42" i="15"/>
  <c r="P15" i="8"/>
  <c r="R15" i="8" s="1"/>
  <c r="H41" i="15"/>
  <c r="I40" i="20"/>
  <c r="I43" i="20"/>
  <c r="I42" i="20"/>
  <c r="I41" i="20"/>
  <c r="G17" i="8"/>
  <c r="I17" i="8" s="1"/>
  <c r="I41" i="15"/>
  <c r="I43" i="15"/>
  <c r="I42" i="15"/>
  <c r="G15" i="8"/>
  <c r="I15" i="8" s="1"/>
  <c r="I40" i="15"/>
  <c r="H42" i="20"/>
  <c r="H41" i="20"/>
  <c r="H40" i="20"/>
  <c r="H43" i="20"/>
  <c r="P17" i="8"/>
  <c r="R17" i="8" s="1"/>
  <c r="H41" i="16"/>
  <c r="H40" i="16"/>
  <c r="H42" i="16"/>
  <c r="H43" i="16"/>
  <c r="P16" i="8"/>
  <c r="R16" i="8" s="1"/>
  <c r="J15" i="17"/>
  <c r="J16" i="17" s="1"/>
  <c r="J30" i="17" s="1"/>
  <c r="F15" i="17"/>
  <c r="F15" i="11"/>
  <c r="J15" i="11"/>
  <c r="J16" i="11" s="1"/>
  <c r="J30" i="11" s="1"/>
  <c r="J15" i="16"/>
  <c r="J16" i="16" s="1"/>
  <c r="J31" i="16" s="1"/>
  <c r="F15" i="16"/>
  <c r="F15" i="21"/>
  <c r="J15" i="21"/>
  <c r="J16" i="21" s="1"/>
  <c r="J31" i="21" s="1"/>
  <c r="F27" i="15" l="1"/>
  <c r="F30" i="15" s="1"/>
  <c r="F26" i="9"/>
  <c r="F33" i="9" s="1"/>
  <c r="F34" i="9" s="1"/>
  <c r="N19" i="9"/>
  <c r="N20" i="9" s="1"/>
  <c r="N26" i="9" s="1"/>
  <c r="O19" i="9"/>
  <c r="O21" i="9" s="1"/>
  <c r="O26" i="9" s="1"/>
  <c r="O33" i="9" s="1"/>
  <c r="O34" i="9" s="1"/>
  <c r="M19" i="9"/>
  <c r="M20" i="9" s="1"/>
  <c r="M26" i="9" s="1"/>
  <c r="M33" i="9" s="1"/>
  <c r="M34" i="9" s="1"/>
  <c r="K19" i="9"/>
  <c r="K20" i="9" s="1"/>
  <c r="K26" i="9" s="1"/>
  <c r="L19" i="9"/>
  <c r="L20" i="9" s="1"/>
  <c r="L26" i="9" s="1"/>
  <c r="L33" i="9" s="1"/>
  <c r="L34" i="9" s="1"/>
  <c r="J19" i="9"/>
  <c r="J20" i="9" s="1"/>
  <c r="J26" i="9" s="1"/>
  <c r="J33" i="9" s="1"/>
  <c r="J34" i="9" s="1"/>
  <c r="I20" i="9"/>
  <c r="I26" i="9" s="1"/>
  <c r="I33" i="9" s="1"/>
  <c r="I34" i="9" s="1"/>
  <c r="I23" i="9" s="1"/>
  <c r="G23" i="9"/>
  <c r="G22" i="9"/>
  <c r="G25" i="9"/>
  <c r="F28" i="21"/>
  <c r="F30" i="21" s="1"/>
  <c r="F27" i="19"/>
  <c r="F30" i="19" s="1"/>
  <c r="F27" i="20"/>
  <c r="F30" i="20" s="1"/>
  <c r="H43" i="11"/>
  <c r="H44" i="16"/>
  <c r="I40" i="17"/>
  <c r="I42" i="17"/>
  <c r="I41" i="17"/>
  <c r="I39" i="17"/>
  <c r="G14" i="8"/>
  <c r="I14" i="8" s="1"/>
  <c r="I43" i="21"/>
  <c r="I42" i="21"/>
  <c r="I41" i="21"/>
  <c r="I40" i="21"/>
  <c r="G19" i="8"/>
  <c r="I19" i="8" s="1"/>
  <c r="J33" i="11"/>
  <c r="J34" i="11" s="1"/>
  <c r="J35" i="11" s="1"/>
  <c r="J34" i="14"/>
  <c r="J33" i="13"/>
  <c r="G15" i="21"/>
  <c r="G16" i="21" s="1"/>
  <c r="G31" i="21" s="1"/>
  <c r="F16" i="21"/>
  <c r="G15" i="20"/>
  <c r="G16" i="20" s="1"/>
  <c r="G31" i="20" s="1"/>
  <c r="F16" i="20"/>
  <c r="J33" i="10"/>
  <c r="J34" i="10" s="1"/>
  <c r="J35" i="10" s="1"/>
  <c r="R22" i="8"/>
  <c r="M21" i="2" s="1"/>
  <c r="G15" i="14"/>
  <c r="G16" i="14" s="1"/>
  <c r="G31" i="14" s="1"/>
  <c r="F16" i="14"/>
  <c r="F31" i="14" s="1"/>
  <c r="H44" i="14"/>
  <c r="I44" i="14"/>
  <c r="G15" i="11"/>
  <c r="G16" i="11" s="1"/>
  <c r="G30" i="11" s="1"/>
  <c r="F16" i="11"/>
  <c r="F30" i="11" s="1"/>
  <c r="G15" i="16"/>
  <c r="G16" i="16" s="1"/>
  <c r="G31" i="16" s="1"/>
  <c r="F16" i="16"/>
  <c r="F31" i="16" s="1"/>
  <c r="G15" i="17"/>
  <c r="G16" i="17" s="1"/>
  <c r="G30" i="17" s="1"/>
  <c r="F16" i="17"/>
  <c r="F30" i="17" s="1"/>
  <c r="I44" i="15"/>
  <c r="J34" i="20"/>
  <c r="J35" i="20" s="1"/>
  <c r="J36" i="20" s="1"/>
  <c r="G15" i="10"/>
  <c r="G16" i="10" s="1"/>
  <c r="G30" i="10" s="1"/>
  <c r="F16" i="10"/>
  <c r="F30" i="10" s="1"/>
  <c r="H43" i="10"/>
  <c r="J34" i="19"/>
  <c r="J35" i="19" s="1"/>
  <c r="J36" i="19" s="1"/>
  <c r="H19" i="9"/>
  <c r="H43" i="17"/>
  <c r="S21" i="2"/>
  <c r="H44" i="19"/>
  <c r="H43" i="13"/>
  <c r="I43" i="11"/>
  <c r="J34" i="21"/>
  <c r="J35" i="21" s="1"/>
  <c r="J36" i="21" s="1"/>
  <c r="G15" i="15"/>
  <c r="G16" i="15" s="1"/>
  <c r="G31" i="15" s="1"/>
  <c r="F16" i="15"/>
  <c r="J34" i="16"/>
  <c r="J33" i="17"/>
  <c r="H44" i="20"/>
  <c r="I44" i="20"/>
  <c r="H44" i="15"/>
  <c r="J34" i="15"/>
  <c r="I43" i="10"/>
  <c r="I41" i="13"/>
  <c r="I42" i="13"/>
  <c r="I40" i="13"/>
  <c r="G20" i="8"/>
  <c r="I20" i="8" s="1"/>
  <c r="I39" i="13"/>
  <c r="G15" i="19"/>
  <c r="G16" i="19" s="1"/>
  <c r="G31" i="19" s="1"/>
  <c r="F16" i="19"/>
  <c r="G15" i="13"/>
  <c r="G16" i="13" s="1"/>
  <c r="G30" i="13" s="1"/>
  <c r="F16" i="13"/>
  <c r="F30" i="13" s="1"/>
  <c r="I44" i="16"/>
  <c r="H44" i="21"/>
  <c r="F31" i="21" l="1"/>
  <c r="F34" i="21" s="1"/>
  <c r="F35" i="21" s="1"/>
  <c r="F36" i="21" s="1"/>
  <c r="F22" i="9"/>
  <c r="M12" i="8"/>
  <c r="O12" i="8" s="1"/>
  <c r="F23" i="9"/>
  <c r="F25" i="9"/>
  <c r="F31" i="15"/>
  <c r="F34" i="15" s="1"/>
  <c r="F35" i="15" s="1"/>
  <c r="F36" i="15" s="1"/>
  <c r="H21" i="9"/>
  <c r="H26" i="9" s="1"/>
  <c r="H33" i="9" s="1"/>
  <c r="H34" i="9" s="1"/>
  <c r="L23" i="9"/>
  <c r="L24" i="9"/>
  <c r="L22" i="9"/>
  <c r="O23" i="9"/>
  <c r="O25" i="9"/>
  <c r="O22" i="9"/>
  <c r="F31" i="20"/>
  <c r="F34" i="20" s="1"/>
  <c r="F35" i="20" s="1"/>
  <c r="F36" i="20" s="1"/>
  <c r="F31" i="19"/>
  <c r="F34" i="19" s="1"/>
  <c r="F35" i="19" s="1"/>
  <c r="F36" i="19" s="1"/>
  <c r="M23" i="9"/>
  <c r="M24" i="9"/>
  <c r="M22" i="9"/>
  <c r="J23" i="9"/>
  <c r="J24" i="9"/>
  <c r="J22" i="9"/>
  <c r="I22" i="9"/>
  <c r="I24" i="9"/>
  <c r="I44" i="21"/>
  <c r="M21" i="8"/>
  <c r="O21" i="8" s="1"/>
  <c r="M20" i="8"/>
  <c r="O20" i="8" s="1"/>
  <c r="K33" i="9"/>
  <c r="K34" i="9" s="1"/>
  <c r="F33" i="17"/>
  <c r="F34" i="17" s="1"/>
  <c r="F35" i="17" s="1"/>
  <c r="F33" i="11"/>
  <c r="F34" i="11" s="1"/>
  <c r="F35" i="11" s="1"/>
  <c r="G34" i="21"/>
  <c r="G35" i="21" s="1"/>
  <c r="G36" i="21" s="1"/>
  <c r="M15" i="8"/>
  <c r="O15" i="8" s="1"/>
  <c r="G34" i="16"/>
  <c r="G34" i="14"/>
  <c r="J36" i="11"/>
  <c r="J37" i="11" s="1"/>
  <c r="J44" i="11" s="1"/>
  <c r="J45" i="11" s="1"/>
  <c r="G33" i="13"/>
  <c r="N33" i="9"/>
  <c r="N34" i="9" s="1"/>
  <c r="J37" i="19"/>
  <c r="J38" i="19" s="1"/>
  <c r="J45" i="19" s="1"/>
  <c r="J46" i="19" s="1"/>
  <c r="J37" i="20"/>
  <c r="J38" i="20" s="1"/>
  <c r="J45" i="20" s="1"/>
  <c r="J46" i="20" s="1"/>
  <c r="G33" i="17"/>
  <c r="G34" i="17" s="1"/>
  <c r="G35" i="17" s="1"/>
  <c r="G33" i="11"/>
  <c r="G34" i="11" s="1"/>
  <c r="G35" i="11" s="1"/>
  <c r="M18" i="8"/>
  <c r="O18" i="8" s="1"/>
  <c r="M17" i="8"/>
  <c r="O17" i="8" s="1"/>
  <c r="I43" i="17"/>
  <c r="F33" i="13"/>
  <c r="F34" i="13" s="1"/>
  <c r="F35" i="13" s="1"/>
  <c r="J37" i="21"/>
  <c r="J38" i="21" s="1"/>
  <c r="J45" i="21" s="1"/>
  <c r="J46" i="21" s="1"/>
  <c r="G33" i="10"/>
  <c r="G34" i="10" s="1"/>
  <c r="G35" i="10" s="1"/>
  <c r="I22" i="8"/>
  <c r="H21" i="2" s="1"/>
  <c r="G34" i="19"/>
  <c r="J34" i="17"/>
  <c r="J35" i="17" s="1"/>
  <c r="J36" i="17" s="1"/>
  <c r="J37" i="17" s="1"/>
  <c r="J44" i="17" s="1"/>
  <c r="J45" i="17" s="1"/>
  <c r="J35" i="16"/>
  <c r="J36" i="16" s="1"/>
  <c r="J37" i="16" s="1"/>
  <c r="J38" i="16" s="1"/>
  <c r="J45" i="16" s="1"/>
  <c r="J46" i="16" s="1"/>
  <c r="I43" i="13"/>
  <c r="J35" i="15"/>
  <c r="J36" i="15" s="1"/>
  <c r="J37" i="15" s="1"/>
  <c r="J38" i="15" s="1"/>
  <c r="J45" i="15" s="1"/>
  <c r="J46" i="15" s="1"/>
  <c r="G34" i="15"/>
  <c r="F33" i="10"/>
  <c r="F34" i="10" s="1"/>
  <c r="F35" i="10" s="1"/>
  <c r="F34" i="16"/>
  <c r="F35" i="16" s="1"/>
  <c r="F36" i="16" s="1"/>
  <c r="F34" i="14"/>
  <c r="J36" i="10"/>
  <c r="J37" i="10" s="1"/>
  <c r="J44" i="10" s="1"/>
  <c r="J45" i="10" s="1"/>
  <c r="G34" i="20"/>
  <c r="G35" i="20" s="1"/>
  <c r="G36" i="20" s="1"/>
  <c r="J34" i="13"/>
  <c r="J35" i="13" s="1"/>
  <c r="J36" i="13" s="1"/>
  <c r="J37" i="13" s="1"/>
  <c r="J44" i="13" s="1"/>
  <c r="J45" i="13" s="1"/>
  <c r="J35" i="14"/>
  <c r="J36" i="14" s="1"/>
  <c r="J37" i="14" s="1"/>
  <c r="J38" i="14" s="1"/>
  <c r="J45" i="14" s="1"/>
  <c r="J46" i="14" s="1"/>
  <c r="N23" i="9" l="1"/>
  <c r="N24" i="9"/>
  <c r="N22" i="9"/>
  <c r="K23" i="9"/>
  <c r="K24" i="9"/>
  <c r="K22" i="9"/>
  <c r="J41" i="17"/>
  <c r="J40" i="17"/>
  <c r="J39" i="17"/>
  <c r="J42" i="17"/>
  <c r="J40" i="16"/>
  <c r="J43" i="16"/>
  <c r="J42" i="16"/>
  <c r="J41" i="16"/>
  <c r="J42" i="14"/>
  <c r="J41" i="14"/>
  <c r="J40" i="14"/>
  <c r="J43" i="14"/>
  <c r="J41" i="21"/>
  <c r="J40" i="21"/>
  <c r="J43" i="21"/>
  <c r="J42" i="21"/>
  <c r="J42" i="15"/>
  <c r="J41" i="15"/>
  <c r="J43" i="15"/>
  <c r="J40" i="15"/>
  <c r="F36" i="13"/>
  <c r="F37" i="13" s="1"/>
  <c r="F44" i="13" s="1"/>
  <c r="F45" i="13" s="1"/>
  <c r="J43" i="20"/>
  <c r="J42" i="20"/>
  <c r="J41" i="20"/>
  <c r="J40" i="20"/>
  <c r="G37" i="20"/>
  <c r="G38" i="20" s="1"/>
  <c r="G45" i="20" s="1"/>
  <c r="G46" i="20" s="1"/>
  <c r="F37" i="20"/>
  <c r="F38" i="20" s="1"/>
  <c r="F45" i="20" s="1"/>
  <c r="F46" i="20" s="1"/>
  <c r="G36" i="11"/>
  <c r="G37" i="11" s="1"/>
  <c r="G44" i="11" s="1"/>
  <c r="G45" i="11" s="1"/>
  <c r="F37" i="16"/>
  <c r="F38" i="16" s="1"/>
  <c r="F45" i="16" s="1"/>
  <c r="F46" i="16" s="1"/>
  <c r="M14" i="8"/>
  <c r="H22" i="9"/>
  <c r="H23" i="9"/>
  <c r="H25" i="9"/>
  <c r="F35" i="14"/>
  <c r="F36" i="14" s="1"/>
  <c r="F37" i="14" s="1"/>
  <c r="F38" i="14" s="1"/>
  <c r="F45" i="14" s="1"/>
  <c r="F46" i="14" s="1"/>
  <c r="F36" i="10"/>
  <c r="F37" i="10" s="1"/>
  <c r="F44" i="10" s="1"/>
  <c r="F45" i="10" s="1"/>
  <c r="G36" i="10"/>
  <c r="G37" i="10" s="1"/>
  <c r="G44" i="10" s="1"/>
  <c r="G45" i="10" s="1"/>
  <c r="G36" i="17"/>
  <c r="G37" i="17" s="1"/>
  <c r="G44" i="17" s="1"/>
  <c r="G45" i="17" s="1"/>
  <c r="J41" i="19"/>
  <c r="J47" i="19"/>
  <c r="T17" i="8" s="1"/>
  <c r="J40" i="19"/>
  <c r="J43" i="19"/>
  <c r="J42" i="19"/>
  <c r="G34" i="13"/>
  <c r="G35" i="13" s="1"/>
  <c r="G36" i="13" s="1"/>
  <c r="G37" i="13" s="1"/>
  <c r="G44" i="13" s="1"/>
  <c r="G45" i="13" s="1"/>
  <c r="J40" i="11"/>
  <c r="J41" i="11"/>
  <c r="J39" i="11"/>
  <c r="J42" i="11"/>
  <c r="G35" i="14"/>
  <c r="G36" i="14" s="1"/>
  <c r="G37" i="14" s="1"/>
  <c r="G38" i="14" s="1"/>
  <c r="G45" i="14" s="1"/>
  <c r="G46" i="14" s="1"/>
  <c r="G35" i="16"/>
  <c r="G36" i="16" s="1"/>
  <c r="G37" i="16" s="1"/>
  <c r="G38" i="16" s="1"/>
  <c r="G45" i="16" s="1"/>
  <c r="G46" i="16" s="1"/>
  <c r="F37" i="19"/>
  <c r="F38" i="19" s="1"/>
  <c r="F45" i="19" s="1"/>
  <c r="F46" i="19" s="1"/>
  <c r="G37" i="21"/>
  <c r="G38" i="21" s="1"/>
  <c r="G45" i="21" s="1"/>
  <c r="G46" i="21" s="1"/>
  <c r="F36" i="11"/>
  <c r="F37" i="11" s="1"/>
  <c r="F44" i="11" s="1"/>
  <c r="F45" i="11" s="1"/>
  <c r="F37" i="15"/>
  <c r="F38" i="15" s="1"/>
  <c r="F45" i="15" s="1"/>
  <c r="F46" i="15" s="1"/>
  <c r="J39" i="13"/>
  <c r="J41" i="13"/>
  <c r="J40" i="13"/>
  <c r="J42" i="13"/>
  <c r="M16" i="8"/>
  <c r="O16" i="8" s="1"/>
  <c r="J40" i="10"/>
  <c r="J41" i="10"/>
  <c r="J39" i="10"/>
  <c r="J42" i="10"/>
  <c r="G35" i="15"/>
  <c r="G36" i="15" s="1"/>
  <c r="G37" i="15" s="1"/>
  <c r="G38" i="15" s="1"/>
  <c r="G45" i="15" s="1"/>
  <c r="G46" i="15" s="1"/>
  <c r="G35" i="19"/>
  <c r="G36" i="19" s="1"/>
  <c r="G37" i="19" s="1"/>
  <c r="G38" i="19" s="1"/>
  <c r="G45" i="19" s="1"/>
  <c r="G46" i="19" s="1"/>
  <c r="M19" i="8"/>
  <c r="O19" i="8" s="1"/>
  <c r="F37" i="21"/>
  <c r="F38" i="21" s="1"/>
  <c r="F45" i="21" s="1"/>
  <c r="F46" i="21" s="1"/>
  <c r="F36" i="17"/>
  <c r="F37" i="17" s="1"/>
  <c r="F44" i="17" s="1"/>
  <c r="F45" i="17" s="1"/>
  <c r="J43" i="10" l="1"/>
  <c r="J44" i="19"/>
  <c r="J44" i="14"/>
  <c r="J43" i="17"/>
  <c r="J44" i="21"/>
  <c r="J44" i="20"/>
  <c r="G42" i="19"/>
  <c r="G43" i="19"/>
  <c r="G40" i="19"/>
  <c r="G47" i="19"/>
  <c r="G41" i="19"/>
  <c r="J18" i="8"/>
  <c r="L18" i="8" s="1"/>
  <c r="S18" i="8" s="1"/>
  <c r="O17" i="2" s="1"/>
  <c r="G40" i="15"/>
  <c r="G47" i="15"/>
  <c r="G43" i="15"/>
  <c r="G42" i="15"/>
  <c r="G41" i="15"/>
  <c r="J15" i="8"/>
  <c r="L15" i="8" s="1"/>
  <c r="S15" i="8" s="1"/>
  <c r="O14" i="2" s="1"/>
  <c r="G43" i="16"/>
  <c r="G47" i="16"/>
  <c r="G41" i="16"/>
  <c r="G42" i="16"/>
  <c r="G40" i="16"/>
  <c r="J16" i="8"/>
  <c r="L16" i="8" s="1"/>
  <c r="S16" i="8" s="1"/>
  <c r="O15" i="2" s="1"/>
  <c r="G40" i="14"/>
  <c r="G43" i="14"/>
  <c r="G42" i="14"/>
  <c r="J21" i="8"/>
  <c r="L21" i="8" s="1"/>
  <c r="S21" i="8" s="1"/>
  <c r="O20" i="2" s="1"/>
  <c r="G47" i="14"/>
  <c r="G41" i="14"/>
  <c r="F42" i="14"/>
  <c r="F47" i="14"/>
  <c r="F40" i="14"/>
  <c r="F43" i="14"/>
  <c r="F41" i="14"/>
  <c r="E21" i="8"/>
  <c r="F21" i="8" s="1"/>
  <c r="F42" i="15"/>
  <c r="F41" i="15"/>
  <c r="F47" i="15"/>
  <c r="F40" i="15"/>
  <c r="F43" i="15"/>
  <c r="E15" i="8"/>
  <c r="F15" i="8" s="1"/>
  <c r="F46" i="11"/>
  <c r="F40" i="11"/>
  <c r="F41" i="11"/>
  <c r="E13" i="8"/>
  <c r="F13" i="8" s="1"/>
  <c r="F39" i="11"/>
  <c r="F42" i="11"/>
  <c r="G41" i="10"/>
  <c r="G39" i="10"/>
  <c r="G46" i="10"/>
  <c r="J12" i="8"/>
  <c r="G40" i="10"/>
  <c r="G42" i="10"/>
  <c r="F40" i="16"/>
  <c r="F42" i="16"/>
  <c r="F47" i="16"/>
  <c r="E16" i="8"/>
  <c r="F16" i="8" s="1"/>
  <c r="F41" i="16"/>
  <c r="F43" i="16"/>
  <c r="G47" i="20"/>
  <c r="G41" i="20"/>
  <c r="G43" i="20"/>
  <c r="G42" i="20"/>
  <c r="G40" i="20"/>
  <c r="J17" i="8"/>
  <c r="L17" i="8" s="1"/>
  <c r="S17" i="8" s="1"/>
  <c r="O16" i="2" s="1"/>
  <c r="G39" i="17"/>
  <c r="G46" i="17"/>
  <c r="G42" i="17"/>
  <c r="G41" i="17"/>
  <c r="G40" i="17"/>
  <c r="J14" i="8"/>
  <c r="L14" i="8" s="1"/>
  <c r="O14" i="8"/>
  <c r="O22" i="8" s="1"/>
  <c r="L21" i="2" s="1"/>
  <c r="M22" i="8"/>
  <c r="F41" i="17"/>
  <c r="F40" i="17"/>
  <c r="F46" i="17"/>
  <c r="F42" i="17"/>
  <c r="F39" i="17"/>
  <c r="E14" i="8"/>
  <c r="F14" i="8" s="1"/>
  <c r="G42" i="21"/>
  <c r="G43" i="21"/>
  <c r="G47" i="21"/>
  <c r="G41" i="21"/>
  <c r="G40" i="21"/>
  <c r="J19" i="8"/>
  <c r="L19" i="8" s="1"/>
  <c r="S19" i="8" s="1"/>
  <c r="O18" i="2" s="1"/>
  <c r="A26" i="8"/>
  <c r="V17" i="8"/>
  <c r="F46" i="10"/>
  <c r="F40" i="10"/>
  <c r="F41" i="10"/>
  <c r="F42" i="10"/>
  <c r="E12" i="8"/>
  <c r="F12" i="8" s="1"/>
  <c r="F39" i="10"/>
  <c r="G41" i="11"/>
  <c r="G39" i="11"/>
  <c r="J13" i="8"/>
  <c r="L13" i="8" s="1"/>
  <c r="S13" i="8" s="1"/>
  <c r="O12" i="2" s="1"/>
  <c r="G42" i="11"/>
  <c r="G40" i="11"/>
  <c r="G46" i="11"/>
  <c r="F39" i="13"/>
  <c r="F46" i="13"/>
  <c r="F40" i="13"/>
  <c r="E20" i="8"/>
  <c r="F20" i="8" s="1"/>
  <c r="F41" i="13"/>
  <c r="F42" i="13"/>
  <c r="F47" i="21"/>
  <c r="F41" i="21"/>
  <c r="F40" i="21"/>
  <c r="F43" i="21"/>
  <c r="F42" i="21"/>
  <c r="E19" i="8"/>
  <c r="F19" i="8" s="1"/>
  <c r="G42" i="13"/>
  <c r="G40" i="13"/>
  <c r="J20" i="8"/>
  <c r="L20" i="8" s="1"/>
  <c r="S20" i="8" s="1"/>
  <c r="O19" i="2" s="1"/>
  <c r="G39" i="13"/>
  <c r="G41" i="13"/>
  <c r="G46" i="13"/>
  <c r="J43" i="13"/>
  <c r="F47" i="19"/>
  <c r="F41" i="19"/>
  <c r="F40" i="19"/>
  <c r="F42" i="19"/>
  <c r="F43" i="19"/>
  <c r="E18" i="8"/>
  <c r="F18" i="8" s="1"/>
  <c r="J43" i="11"/>
  <c r="F43" i="20"/>
  <c r="F40" i="20"/>
  <c r="F47" i="20"/>
  <c r="F41" i="20"/>
  <c r="F42" i="20"/>
  <c r="E17" i="8"/>
  <c r="F17" i="8" s="1"/>
  <c r="J44" i="15"/>
  <c r="J44" i="16"/>
  <c r="W16" i="8" l="1"/>
  <c r="Q15" i="2" s="1"/>
  <c r="W18" i="8"/>
  <c r="Q17" i="2" s="1"/>
  <c r="W21" i="8"/>
  <c r="Q20" i="2" s="1"/>
  <c r="U20" i="2" s="1"/>
  <c r="F44" i="19"/>
  <c r="F43" i="10"/>
  <c r="F44" i="15"/>
  <c r="W13" i="8"/>
  <c r="Q12" i="2" s="1"/>
  <c r="G44" i="16"/>
  <c r="G44" i="19"/>
  <c r="F44" i="21"/>
  <c r="F43" i="13"/>
  <c r="F22" i="8"/>
  <c r="G44" i="21"/>
  <c r="G44" i="20"/>
  <c r="G44" i="15"/>
  <c r="W17" i="8"/>
  <c r="Q16" i="2" s="1"/>
  <c r="F44" i="20"/>
  <c r="G43" i="13"/>
  <c r="W19" i="8"/>
  <c r="Q18" i="2" s="1"/>
  <c r="W20" i="8"/>
  <c r="Q19" i="2" s="1"/>
  <c r="G43" i="11"/>
  <c r="V22" i="8"/>
  <c r="P16" i="2"/>
  <c r="S14" i="8"/>
  <c r="O13" i="2" s="1"/>
  <c r="L12" i="8"/>
  <c r="J22" i="8"/>
  <c r="W15" i="8"/>
  <c r="Q14" i="2" s="1"/>
  <c r="G43" i="10"/>
  <c r="F43" i="17"/>
  <c r="G43" i="17"/>
  <c r="F44" i="16"/>
  <c r="F43" i="11"/>
  <c r="F44" i="14"/>
  <c r="G44" i="14"/>
  <c r="U15" i="2" l="1"/>
  <c r="W14" i="8"/>
  <c r="Q13" i="2" s="1"/>
  <c r="L22" i="8"/>
  <c r="K21" i="2" s="1"/>
  <c r="O21" i="2" s="1"/>
  <c r="S12" i="8"/>
  <c r="P21" i="2"/>
  <c r="N21" i="2"/>
  <c r="S22" i="8" l="1"/>
  <c r="O11" i="2"/>
  <c r="W12" i="8"/>
  <c r="W22" i="8" l="1"/>
  <c r="Q11" i="2"/>
  <c r="W24" i="8" l="1"/>
  <c r="Q21" i="2"/>
  <c r="U11" i="2"/>
  <c r="U21" i="2" s="1"/>
</calcChain>
</file>

<file path=xl/sharedStrings.xml><?xml version="1.0" encoding="utf-8"?>
<sst xmlns="http://schemas.openxmlformats.org/spreadsheetml/2006/main" count="1864" uniqueCount="772">
  <si>
    <t>Tribunal Regional Federal da 6ª Região</t>
  </si>
  <si>
    <t>Seção Judiciária de Minas Gerais</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</si>
  <si>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</si>
  <si>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</si>
  <si>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</si>
  <si>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</si>
  <si>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</si>
  <si>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</si>
  <si>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</si>
  <si>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etc.);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</si>
  <si>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</si>
  <si>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</si>
  <si>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</si>
  <si>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</si>
  <si>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</si>
  <si>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</si>
  <si>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</si>
  <si>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</si>
  <si>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</si>
  <si>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</si>
  <si>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</si>
  <si>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</si>
  <si>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</si>
  <si>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</si>
  <si>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</si>
  <si>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3.6</t>
  </si>
  <si>
    <t>PREENCHIMENTO ABA "EQUIPAMENTOS"</t>
  </si>
  <si>
    <t xml:space="preserve"> - Informar os valores unitários de cada item nas células destacadas em amarelo dispostas na "Coluna D", de acordo com sua descrição "Colunas B:C".</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</si>
  <si>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</si>
  <si>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</si>
  <si>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</si>
  <si>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</si>
  <si>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 xml:space="preserve"> - Atentar-se às observações adicionais dispostas na ABA "Especificações", ao final do quadro com o detalhamento dos uniformes. (OBSERVAÇÕES)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</si>
  <si>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</si>
  <si>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</si>
  <si>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</si>
  <si>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</si>
  <si>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</si>
  <si>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</si>
  <si>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</si>
  <si>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</si>
  <si>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</si>
  <si>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"W24",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</si>
  <si>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</si>
  <si>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</si>
  <si>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</si>
  <si>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</si>
  <si>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</si>
  <si>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</si>
  <si>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</si>
  <si>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</si>
  <si>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</si>
  <si>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</si>
  <si>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</si>
  <si>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</si>
  <si>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</si>
  <si>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</si>
  <si>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</si>
  <si>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</si>
  <si>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</si>
  <si>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</si>
  <si>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</si>
  <si>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</si>
  <si>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</si>
  <si>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</si>
  <si>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</si>
  <si>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</si>
  <si>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</si>
  <si>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</si>
  <si>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</si>
  <si>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</si>
  <si>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</si>
  <si>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</si>
  <si>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</si>
  <si>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</si>
  <si>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</si>
  <si>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</si>
  <si>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</si>
  <si>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</si>
  <si>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</si>
  <si>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</si>
  <si>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</si>
  <si>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</si>
  <si>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</si>
  <si>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</si>
  <si>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</si>
  <si>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</si>
  <si>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</si>
  <si>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</si>
  <si>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</si>
  <si>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</si>
  <si>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</si>
  <si>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ELEMENTO 5</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</si>
  <si>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</si>
  <si>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</si>
  <si>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</si>
  <si>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</si>
  <si>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</si>
  <si>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</si>
  <si>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</si>
  <si>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</si>
  <si>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"D26" e lançar 25 na célula "E26".
Lançar o resultado convertido na coluna "H".</t>
  </si>
  <si>
    <t>2. Na célula “N18” deverá ser informado a quantidade de dias em que o trabalho insalubre foi realizado por outra servente do quadro, durante as férias da Servente de Limpeza 40% insalubre - titular.</t>
  </si>
  <si>
    <t>ITEM</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</si>
  <si>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</si>
  <si>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</si>
  <si>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</si>
  <si>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</si>
  <si>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</si>
  <si>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</si>
  <si>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</si>
  <si>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</si>
  <si>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</si>
  <si>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</si>
  <si>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</si>
  <si>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</si>
  <si>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</si>
  <si>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</si>
  <si>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</si>
  <si>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</si>
  <si>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unid.</t>
  </si>
  <si>
    <t>pacote</t>
  </si>
  <si>
    <t>VALOR TOTAL COM MATERIAIS DE COPA</t>
  </si>
  <si>
    <t>VALOR TOTAL COM MATERIAIS DE JARDINEIRO</t>
  </si>
  <si>
    <t>VALOR TOTAL COM MATERIAIS DE LIMPEZA DE VEÍCULO</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</si>
  <si>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</si>
  <si>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</si>
  <si>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</si>
  <si>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</si>
  <si>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</si>
  <si>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</si>
  <si>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</si>
  <si>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</si>
  <si>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</si>
  <si>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</si>
  <si>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</si>
  <si>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</si>
  <si>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</si>
  <si>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</si>
  <si>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</si>
  <si>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</si>
  <si>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Insalubridade/Periculosidade
Grau de Risco
(%)</t>
  </si>
  <si>
    <t>Valor Insalubridade/Periculosidade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</si>
  <si>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</si>
  <si>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</si>
  <si>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</si>
  <si>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</si>
  <si>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</si>
  <si>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</si>
  <si>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</si>
  <si>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Limpador de Vidro Rateado (R$)</t>
  </si>
  <si>
    <t>Material de Copa Rateado
(R$)</t>
  </si>
  <si>
    <t>Material Jardineiro Rateado (R$)</t>
  </si>
  <si>
    <t>Material Limpeza de Veículo Rateado (R$)</t>
  </si>
  <si>
    <t>Depreciação Rateada
(R$)</t>
  </si>
  <si>
    <t>CÓDIGO DE ELEMENTO DE DESPESA
(CONTROLE DA CONTRATANTE)</t>
  </si>
  <si>
    <t>RATEIO
INSUMOS</t>
  </si>
  <si>
    <t>339037-01</t>
  </si>
  <si>
    <t>Recepcionista</t>
  </si>
  <si>
    <t>339037-02</t>
  </si>
  <si>
    <t>Limpador de Vidro</t>
  </si>
  <si>
    <t>Servente de Limpeza</t>
  </si>
  <si>
    <t>Servente de Limpeza insalubridade (40%)</t>
  </si>
  <si>
    <t>Encarregado Geral</t>
  </si>
  <si>
    <t>339037-05</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</si>
  <si>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</si>
  <si>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</si>
  <si>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</si>
  <si>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</si>
  <si>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</si>
  <si>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DATA DA PROPOSTA</t>
  </si>
  <si>
    <t>Informar a data da proposta.</t>
  </si>
  <si>
    <t>Sindicato utilizado</t>
  </si>
  <si>
    <t>Informar o sindicato utilizado pela Licitante.</t>
  </si>
  <si>
    <t>Número de registro da CCT - Código MTE</t>
  </si>
  <si>
    <t>Informar o número de registro da Convenção Coletiva de Tralbalho vinculante à empresa, junto ao Ministério do Trabalho e Emprego.</t>
  </si>
  <si>
    <t>Vigência da CCT utilizada</t>
  </si>
  <si>
    <t>Informar a vigência da Convenção Coletiva de Trabalho vinculante à empresa.</t>
  </si>
  <si>
    <t>Data base da categoria</t>
  </si>
  <si>
    <t>01º Janeiro</t>
  </si>
  <si>
    <t>Informar a data base da Convenção Coletiva de Trabalho vinculante à empresa.</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</si>
  <si>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</si>
  <si>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</si>
  <si>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</si>
  <si>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</si>
  <si>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</si>
  <si>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</si>
  <si>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</si>
  <si>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</si>
  <si>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</si>
  <si>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t>
  </si>
  <si>
    <t>Informar base salarial para fins de cálculo de Insalubridade.</t>
  </si>
  <si>
    <t>BENEFÍCIOS</t>
  </si>
  <si>
    <t>Seguro de Vida em Grupo</t>
  </si>
  <si>
    <t>Inserir valor unitário mensal.</t>
  </si>
  <si>
    <t>Programa de Assistência a Saúde</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</si>
  <si>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</si>
  <si>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</si>
  <si>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</si>
  <si>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</si>
  <si>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</si>
  <si>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</si>
  <si>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</si>
  <si>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</si>
  <si>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</si>
  <si>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</si>
  <si>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</si>
  <si>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</si>
  <si>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</si>
  <si>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</si>
  <si>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</si>
  <si>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</si>
  <si>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</si>
  <si>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</si>
  <si>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</si>
  <si>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</si>
  <si>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</si>
  <si>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</si>
  <si>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</si>
  <si>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</si>
  <si>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</si>
  <si>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</si>
  <si>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</si>
  <si>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</si>
  <si>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</si>
  <si>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</si>
  <si>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</si>
  <si>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</si>
  <si>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</si>
  <si>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</si>
  <si>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</si>
  <si>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</si>
  <si>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</si>
  <si>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</si>
  <si>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</si>
  <si>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</si>
  <si>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</si>
  <si>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</si>
  <si>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</si>
  <si>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</si>
  <si>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</si>
  <si>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</si>
  <si>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</si>
  <si>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</si>
  <si>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</si>
  <si>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</si>
  <si>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</si>
  <si>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</si>
  <si>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</si>
  <si>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</si>
  <si>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</si>
  <si>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Fórmula SE, para inclusão após o término do processo licitatório. (INSERIR NA CÉLULA "G31")</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</si>
  <si>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</si>
  <si>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</si>
  <si>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</si>
  <si>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</si>
  <si>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</si>
  <si>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</si>
  <si>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</si>
  <si>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</si>
  <si>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</si>
  <si>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</si>
  <si>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</si>
  <si>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</si>
  <si>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</si>
  <si>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</si>
  <si>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</si>
  <si>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</si>
  <si>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</si>
  <si>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</si>
  <si>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</si>
  <si>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</si>
  <si>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</si>
  <si>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</si>
  <si>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</si>
  <si>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</si>
  <si>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</si>
  <si>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</si>
  <si>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</si>
  <si>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</si>
  <si>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</si>
  <si>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</si>
  <si>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</si>
  <si>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</si>
  <si>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</si>
  <si>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</si>
  <si>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</si>
  <si>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</si>
  <si>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</si>
  <si>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</si>
  <si>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</si>
  <si>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</si>
  <si>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</si>
  <si>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</si>
  <si>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</si>
  <si>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</si>
  <si>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</si>
  <si>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</si>
  <si>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</si>
  <si>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</si>
  <si>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</si>
  <si>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</si>
  <si>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</si>
  <si>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</si>
  <si>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</si>
  <si>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</si>
  <si>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</si>
  <si>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</si>
  <si>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</si>
  <si>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</si>
  <si>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</si>
  <si>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</si>
  <si>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</si>
  <si>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</si>
  <si>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</si>
  <si>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</si>
  <si>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</si>
  <si>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</si>
  <si>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</si>
  <si>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</si>
  <si>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</si>
  <si>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</si>
  <si>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</si>
  <si>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</si>
  <si>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</si>
  <si>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</si>
  <si>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</si>
  <si>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</si>
  <si>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</si>
  <si>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</si>
  <si>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</si>
  <si>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</si>
  <si>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</si>
  <si>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</si>
  <si>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</si>
  <si>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</si>
  <si>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</si>
  <si>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</si>
  <si>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PREÇOS DE EQUIPAMENTOS</t>
  </si>
  <si>
    <t>INSTRUÇÕES DE PREENCHIMENTO - Informar/Alterar somente as células destacadas na Cor Amarela, de acordo com o valor unitário da Licitante.</t>
  </si>
  <si>
    <t>Valores em R$</t>
  </si>
  <si>
    <t>Item</t>
  </si>
  <si>
    <t>Especificação</t>
  </si>
  <si>
    <t>Quant.</t>
  </si>
  <si>
    <t>Valor Unitário</t>
  </si>
  <si>
    <t>Valor Total</t>
  </si>
  <si>
    <t>Depreciação 10% ao Ano</t>
  </si>
  <si>
    <t>Repasse Mensal</t>
  </si>
  <si>
    <t>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</si>
  <si>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OBSERVAÇÕES</t>
  </si>
  <si>
    <t>REFERÊNCIA</t>
  </si>
  <si>
    <t>VALORES UNITÁRIOS DO CONTRATO, CORRIGIDOS PELO REAJUSTE DE IPCA.
(SUBSTITUIR/IGUALAR MANUALMENTE OS PREÇOS UNITÁRIOS DA COLUNA "R" NA PLANILHA DE MATERIAIS - QUANDO HOUVER PLANIHA INICIAL DO CONTRATO)</t>
  </si>
  <si>
    <t>Quantidade</t>
  </si>
  <si>
    <t>Preço Unitário</t>
  </si>
  <si>
    <t>VALOR INICIAL DO CONTRATO
(Informar após o término da licitação)</t>
  </si>
  <si>
    <t>galão</t>
  </si>
  <si>
    <t>Mensal</t>
  </si>
  <si>
    <t>Semestral</t>
  </si>
  <si>
    <t>Trimestral</t>
  </si>
  <si>
    <t>Bimestral</t>
  </si>
  <si>
    <t>Bombril</t>
  </si>
  <si>
    <t>Veja</t>
  </si>
  <si>
    <t>Economy ou similar</t>
  </si>
  <si>
    <t>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</si>
  <si>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Sabão em barra glicerinado - cor neutra. Pacote com 5 de 200g cada unidade.</t>
  </si>
  <si>
    <t>Ypê ou Minuano</t>
  </si>
  <si>
    <t>Anual</t>
  </si>
  <si>
    <t>Marca de Referência</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</si>
  <si>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</si>
  <si>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ANEXO X - CUSTO ESTIMATIVO DE PREÇOS DOS UNIFORMES</t>
  </si>
  <si>
    <t>Serviços de Limpeza e Conservação</t>
  </si>
  <si>
    <t>CATEGORIA</t>
  </si>
  <si>
    <t>QUANT.</t>
  </si>
  <si>
    <t>DESCRIÇÃO DE UNIFORME</t>
  </si>
  <si>
    <t>CORES</t>
  </si>
  <si>
    <t>TOTAL DO QUANTITATIVO</t>
  </si>
  <si>
    <t>PREÇO UNITÁRIO</t>
  </si>
  <si>
    <t>Fórmula SE, para inclusão após o término do processo licitatório. (INSERIR NA CÉLULA "G9" em diante)</t>
  </si>
  <si>
    <t>Calça</t>
  </si>
  <si>
    <t>Azul marinho</t>
  </si>
  <si>
    <t>Camisa</t>
  </si>
  <si>
    <t>Azul</t>
  </si>
  <si>
    <t>Calçado</t>
  </si>
  <si>
    <t>preto</t>
  </si>
  <si>
    <t>TOTAL DE POSTOS</t>
  </si>
  <si>
    <t>Soma</t>
  </si>
  <si>
    <t>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t>
  </si>
  <si>
    <t>Preto</t>
  </si>
  <si>
    <t>Branco</t>
  </si>
  <si>
    <t xml:space="preserve">TOTAL DE POSTOS </t>
  </si>
  <si>
    <t>CÁLCULO VALOR DO REPASSE MENSAL RECEPCIONISTAS</t>
  </si>
  <si>
    <t xml:space="preserve">
Encarregado Geral
 </t>
  </si>
  <si>
    <t>CÁLCULO VALOR DO REPASSE MENSAL ENCARREGADO GERAL</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</si>
  <si>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</si>
  <si>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</si>
  <si>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</si>
  <si>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</si>
  <si>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</si>
  <si>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</si>
  <si>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</si>
  <si>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</si>
  <si>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</si>
  <si>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</si>
  <si>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</si>
  <si>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</si>
  <si>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</si>
  <si>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</si>
  <si>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</si>
  <si>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</si>
  <si>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</si>
  <si>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</si>
  <si>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</si>
  <si>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</si>
  <si>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</si>
  <si>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</si>
  <si>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</si>
  <si>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</si>
  <si>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</si>
  <si>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</si>
  <si>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</si>
  <si>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</si>
  <si>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</si>
  <si>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</si>
  <si>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</si>
  <si>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</si>
  <si>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</si>
  <si>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</si>
  <si>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</si>
  <si>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</si>
  <si>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</si>
  <si>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</si>
  <si>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 xml:space="preserve">ANEXO X - PLANILHA DE CUSTO E FORMAÇÃO DE PREÇO MENSAL ESTIMATIVO DO PROFISSIONAL SUBSTITUTO DO TITULAR EM FÉRIAS </t>
  </si>
  <si>
    <t xml:space="preserve">DESCRIÇÃO </t>
  </si>
  <si>
    <t>Percentual</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</si>
  <si>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</si>
  <si>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</si>
  <si>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</si>
  <si>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</si>
  <si>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</si>
  <si>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</si>
  <si>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</si>
  <si>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</si>
  <si>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</si>
  <si>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</si>
  <si>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</si>
  <si>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</si>
  <si>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</si>
  <si>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</si>
  <si>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</si>
  <si>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</si>
  <si>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C.1</t>
  </si>
  <si>
    <t>Tributos Federais (PIS E COFINS)</t>
  </si>
  <si>
    <t>C.2</t>
  </si>
  <si>
    <t>Tributos Estaduais (especificar)</t>
  </si>
  <si>
    <t>C.3</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</si>
  <si>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</si>
  <si>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</si>
  <si>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</si>
  <si>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</si>
  <si>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</si>
  <si>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</si>
  <si>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</si>
  <si>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</si>
  <si>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</si>
  <si>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</si>
  <si>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Planilha de Custo e Formação de Preço Mensal Por Categoria Profissional</t>
  </si>
  <si>
    <t>COM MATERIAL</t>
  </si>
  <si>
    <t>SEM MATERIAL</t>
  </si>
  <si>
    <t>CUSTO DE VALE ALIMENTAÇÃO</t>
  </si>
  <si>
    <t>CUSTO DE VALE-TRANSPORTE</t>
  </si>
  <si>
    <t>CUSTO INSALUBRIDADE</t>
  </si>
  <si>
    <t>33390.37.01 - Apoio Administrativo, técnico e operacional</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</si>
  <si>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</si>
  <si>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</si>
  <si>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</si>
  <si>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</si>
  <si>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</si>
  <si>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</si>
  <si>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</si>
  <si>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</si>
  <si>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</si>
  <si>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</si>
  <si>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</si>
  <si>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</si>
  <si>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</si>
  <si>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</si>
  <si>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</si>
  <si>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</si>
  <si>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</si>
  <si>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</si>
  <si>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</si>
  <si>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</si>
  <si>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</si>
  <si>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</si>
  <si>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</si>
  <si>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</si>
  <si>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</si>
  <si>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</si>
  <si>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</si>
  <si>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</si>
  <si>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</si>
  <si>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33390.37.01 - Serviços Administrativos</t>
  </si>
  <si>
    <t>33390.37.05 - Copa e Cozinha</t>
  </si>
  <si>
    <t>Material de Jardinagem</t>
  </si>
  <si>
    <t>CUSTO PERICULOSIDADE</t>
  </si>
  <si>
    <t>33390.37.02 - Limpeza e Conservação</t>
  </si>
  <si>
    <t>Adicional de Periculosidade</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</si>
  <si>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</si>
  <si>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</si>
  <si>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</si>
  <si>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</si>
  <si>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</si>
  <si>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</si>
  <si>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</si>
  <si>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</si>
  <si>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</si>
  <si>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</si>
  <si>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</si>
  <si>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</si>
  <si>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</si>
  <si>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</si>
  <si>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</si>
  <si>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</si>
  <si>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</si>
  <si>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</si>
  <si>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</si>
  <si>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</si>
  <si>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</si>
  <si>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</si>
  <si>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</si>
  <si>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Dias de ausência
(Coluna "J")</t>
  </si>
  <si>
    <t>01/01/2025 à 31/12/2025</t>
  </si>
  <si>
    <t>Assistente Administrativo</t>
  </si>
  <si>
    <t>Copeira</t>
  </si>
  <si>
    <t>Servente de Limpeza insalubridade (20%)</t>
  </si>
  <si>
    <t>Zelador acúmulo de função Lavador de Carro e Jardineiro</t>
  </si>
  <si>
    <t>SEAC/MG x SINDEACO/MG</t>
  </si>
  <si>
    <t>MG001252/2025</t>
  </si>
  <si>
    <t xml:space="preserve">Valor Unitário do Ticket </t>
  </si>
  <si>
    <t>Plano de Assistência Odontológica</t>
  </si>
  <si>
    <t>Água sanitária galão de 5 litros, composição do produto: hipoclorito de sódio 2,5%, hidróxido de sódio e veículo, teor de cloro ativo entre 2,0 e 2,5% p/p.</t>
  </si>
  <si>
    <t>Santa Clara</t>
  </si>
  <si>
    <t>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</si>
  <si>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</si>
  <si>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Balde Material: Plástico, Material Alça: Arame Galvanizado, Capacidade: 10 L, Cor: Preta, Características Adicionais: Reforço Fundo E Borda</t>
  </si>
  <si>
    <t>Sanremo</t>
  </si>
  <si>
    <t>Balde plástico em polietileno de alta densidade, alta resistência a impacto, com paredes e fundo reforçados, com reforço no encaixe da alça de aço zincado constando no corpo a marcado fabricante, capacidade de 20 litros.</t>
  </si>
  <si>
    <t>Arqplast</t>
  </si>
  <si>
    <t>Azulim</t>
  </si>
  <si>
    <t>Cesto para lixo de 100 litros - tipo balde, com tampa e pedal - confeccionado em material de polipropileno ou poliestireno resistente, atóxico, com tampa sobreposta, duas alças laterais, cesto em formato redondo.</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</si>
  <si>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</si>
  <si>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</si>
  <si>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Medidas aproximadas: Comprimento Cabo: 50 CM, Altura: 10 CM, Diâmetro: 16 CM, Material Cabo: Madeira</t>
  </si>
  <si>
    <t>Canada</t>
  </si>
  <si>
    <t>Glade</t>
  </si>
  <si>
    <t>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350mm, limpador confeccionado em fibra sintética e mineral abrasivo;</t>
  </si>
  <si>
    <t>Mirax Floral Bouquet</t>
  </si>
  <si>
    <t>Disco Escova Nylon branco ou verde para enceradeira industrial disco 350mm. Disco para enceradeira industrial, limpador confeccionado em fibra sintética e mineral abrasivo,com diâmetro de 350mm.industrial disco 350mm, limpador confeccionado em fibra sintética e mineral abrasivo;</t>
  </si>
  <si>
    <t>Cleaner</t>
  </si>
  <si>
    <t>Escova para lavar multiuso, oval, base plástica e cerdas de escova para lavar multiuso, oval, base plástica e cerdas de nylon.para lavar multiuso, oval, base plástica e cerdas de nylon.</t>
  </si>
  <si>
    <t>Condor</t>
  </si>
  <si>
    <t>Escova Sanitária Redonda em plástico Branco contendo 01 escova para vaso sanitário e 01 suporte redondo: Branco Tamanho aprox.: 14 x 42 cm</t>
  </si>
  <si>
    <t>Limpamania</t>
  </si>
  <si>
    <t>Esponja Para Lavagem De Louças E Limpeza Em Geral, Dupla Face Sintética, Um Lado Em Espuma Poliuretano E Outro Em Fibra Sintética Abrasiva, Antibacteriana, Formato Retangular, Medindo Aproximadamente 110mm X 75mm X 20mm De Espessura. Pacote com 4 unidades.</t>
  </si>
  <si>
    <t>Scotch-Brite</t>
  </si>
  <si>
    <t>Esponja de LÃ DE AÇO, composição básica: aço carbono abrasivo, p/ limpeza em geral, acondicionada em embalagem plástica original do fabricante, peso líquido aproximado de 60g, pacote c/ 08 unidades.</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</si>
  <si>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</si>
  <si>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</si>
  <si>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Funil, material plástico, uso doméstico, diâmetro nominal 120 mm, características adicionais branco, com pegador.</t>
  </si>
  <si>
    <t>Plasútil</t>
  </si>
  <si>
    <t>Kit limpador de vidro: Rodo 2 em 1 limpa vidros com cabo telescópico extensor de 06 (seis) metros. Extremidade composta por lavador de acrílico e limpador com lâmina de borracha esponja de limpeza de aproximadamente 35 cm. Utilizado para limpeza de vidros e vidraças.</t>
  </si>
  <si>
    <t>Bralimpia</t>
  </si>
  <si>
    <t>Pedrex</t>
  </si>
  <si>
    <t>Lustra Móveis, Embalagem de 200 ml, Emulsão aquosa cremosa, perfumada, para aplicação em móveis e superfícies lisas. aromas diversos. frasco plástico de 200ml com bico econômico. embalagem certificada pelo INMETRO contendo data de fabricação, validade.</t>
  </si>
  <si>
    <t>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t>
  </si>
  <si>
    <t>Luva Segurança Com Forro. Material: 100% Látex Nitrílico, Tamanho: M ou G, Aplicação: Manuseio Reagente Químico E Radioativo, Características Adicionais: Com Forro, Sem Talco, Pulso Com Bainha, Modelo: Palma Antiderrapante, Cor: Verde, Tipo: Ambidestra</t>
  </si>
  <si>
    <t>Par</t>
  </si>
  <si>
    <t>Bettanin</t>
  </si>
  <si>
    <t>Mangueira para jardim, com 50 metros de extensão ou mais, antitorção, com engate de torneira e esguicho jato regulável</t>
  </si>
  <si>
    <t>Tramontina</t>
  </si>
  <si>
    <t>Pá p/ lixo em plástico resistente c/ cabo de madeira de aprox. 60cm de altura na vertical</t>
  </si>
  <si>
    <t>Neve</t>
  </si>
  <si>
    <t>Papel Toalha Interfolhado, 2 dobras, 100% fibras celulósicas, branco extra luxo, sem pintas ou outros tipos de sujidades, boa qualidade , medindo aproximadamente 23cm x 23 cm , acondicionado em caixa c/1000 folhas.</t>
  </si>
  <si>
    <t>Pedra sanitária c/ 25g - com suporte para fixar no vaso sanitário. Desinfetante sanitário em pedra 25 g</t>
  </si>
  <si>
    <t>Harpic, Pato</t>
  </si>
  <si>
    <t>Rodo Plástico e borracha dupla expandida de 40cm de largura, acompanha cabo de madeira plastificado de aproximadamente 1,26m, com garras pontiagudas nas laterais para melhor fixar panos de chão.</t>
  </si>
  <si>
    <t>Brubalar</t>
  </si>
  <si>
    <t>Rodo Plástico e borracha dupla expandida de 60cm, resistente e durável, que puxa e seca a água, feita em EVA e cepo em polipropileno com garras pontiagudas nas laterais para melhor fixar panos de chão.</t>
  </si>
  <si>
    <t xml:space="preserve">Rodo Mop Limpa Vidros Cabo Extensor Telescópio - Dupla Face </t>
  </si>
  <si>
    <t>Minuano</t>
  </si>
  <si>
    <t>Sabão em Pó – Caixa de 0,8 a 1Kg. Sabão em pó, convencional, de primeira linha. Para lavar roupas e limpeza em geral.</t>
  </si>
  <si>
    <t>caixa</t>
  </si>
  <si>
    <t>Omo ou similar</t>
  </si>
  <si>
    <t>Sapólio em pó 300g</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</si>
  <si>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</si>
  <si>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</si>
  <si>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</si>
  <si>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</si>
  <si>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plástico reforçado para lixo em polietileno, com capacidade de 20 litros, com estanqueidade suficiente para que não haja vazamento de lixo líquido. com espessura mínima de 08 micra, na cor preta. Pacote com 100 unidades.</t>
  </si>
  <si>
    <t>Polisac</t>
  </si>
  <si>
    <t>Altaplast</t>
  </si>
  <si>
    <t>Saco plástico reforçado para lixo em polietileno, com capacidade de 100 litros, com estanqueidade suficiente para que não haja vazamento de lixo líquido. com espessura mínima de 10 micra, na cor preta. Pacote com 100 unidades.</t>
  </si>
  <si>
    <t>Pacote</t>
  </si>
  <si>
    <t>Vassoura Material Cerdas: Pêlo Sintético, Comprimento Cepa: 60 CM, Tipo Cabo: Reforçado, Material Cabo: Madeira</t>
  </si>
  <si>
    <t>Vassoura de nylon, cerdas c/ ponta desfiada, corpo de madeira medindo aproximadamente 25 x 05cm, c/ cabo de no mínimo 1,50m de comprimento</t>
  </si>
  <si>
    <t>Vassoura Material Cerdas: Piaçava, Aplicação: Limpeza, Material Cepa: Madeira, Comprimento Cepa: 40 CM, Comprimento Cerdas: 13 CM, Largura Cepa: 5 CM, Altura Cepa: 4 CM, Material Cabo: Madeira</t>
  </si>
  <si>
    <t>Noviça</t>
  </si>
  <si>
    <t>Limpa Carpetes e Estofados 5 litros, produto líquido para limpeza profunda e remoção de manchas e odores em tecidos como carpetes, tapetes, cortinas e estofados. Embalagem: Galão de 5L com rótulo completo</t>
  </si>
  <si>
    <t>Star Spartan</t>
  </si>
  <si>
    <t>Saco plástico reforçado para lixo em polietileno, com capacidade de 200 litros, com estanqueidade suficiente para que não haja vazamento de lixo líquido. com espessura mínima de 10 micra, na cor preta. Pacote com 100 unidades.</t>
  </si>
  <si>
    <t>Scotch Brite</t>
  </si>
  <si>
    <t>Detergente líquido para louça, neutro, embalagem de 5 litros. Deverá conter glicerina e ser testado e aprovado por dermatologistas. Com fórmula biodegradável. Deve possuir registro na Anvisa/Ministério da Saúde, o qual deverá estar impresso no rótulo.</t>
  </si>
  <si>
    <t>Ypê, Limpol</t>
  </si>
  <si>
    <t>Pulverizador plástico 500 ml com regulador no borrifador. características do produto: capacidade: 500 ml. material: corpo e bomba em plástico resistente de alta qualidade (como polietileno ou polipropileno), garantindo durabilidade e resistência ao uso contínuo. borrifador: bico ajustável com regulador de intensidade, permitindo escolha entre pulverização fina ou mais intensa, conforme a necessidade. mangueira: mangueira interna resistente à pressão, com comprimento adequado para facilitar o uso. tampa: tampa de fechamento com vedação segura para evitar vazamentos durante o armazenamento ou transporte.</t>
  </si>
  <si>
    <t>Vonder</t>
  </si>
  <si>
    <t xml:space="preserve">Cera Líquida 5 litros. Cera Líquida Autobrilhante. Aplicação: Pisos Cerâmicos, granitos, Mármores e Paviflex. Cores: Incolor/Amarela/Vermelha. Galão de 5 litros. A embalagem deverá conter externamente os dados de identificação, procedência, numero do lote, validade e número do registro no Ministério da saúde. Marca igual ou superior a Brilho Fácil, Inglesa ou Poliflor </t>
  </si>
  <si>
    <t>Brilho Fácil,  Inglesa ou Poliflor</t>
  </si>
  <si>
    <t>Suporte para fibra abrasiva em polipropileno, com junção articulada e cabo em alumínio</t>
  </si>
  <si>
    <t>Limpa vidro 05 litros. Limpa Vidros líquido ou spray com álcool, cor: incolor/azul, embalagem de 05 litros. A embalagem deverá conter externamente os dados de identificação, procedência, número do lote, validade e número do registro no ministério da saúde. Marca igual ou superior Veja, Criviali ou Ypê</t>
  </si>
  <si>
    <t>Veja, Criviali ou Ypê</t>
  </si>
  <si>
    <t>Multiuso para limpeza diária 05 litros - Limpador Geral Multiuso, para remoção de gorduras, fuligem, poeira, marcas de dedos e de sapatos, riscos de lápis, etc. ingredientes: alquil benzeno sulfonato de sódio, álcool etoxilado, coadjuvantes, sequestrante, fragrância e água. Galão de 05 litros de produto (marca de referência: veja).</t>
  </si>
  <si>
    <t>Start, Coperalcool</t>
  </si>
  <si>
    <t>Removedor de cera e película – tenso ativo não iônico, baixo teor espumante, biodegradável, de alto teor de solubilização, com agentes conservantes e veículos, para remover cera, acondicionado em bombona plástica (material opaco e resistente) contendo 05 litros, com validade mínima de 12 meses a contar da data de entrega. O produto deve conter impresso em sua embalagem todas as informações do produto e estar com registro vigente na ANVISA</t>
  </si>
  <si>
    <t>Audax Start</t>
  </si>
  <si>
    <t>Selador brilho acrílico antiderrapante, aplicado na manutenção de pisos, dando brilho proporciona maior durabilidade, formando filme transparente e resistente a altas rotações, produto não inflamável pronto para uso. em sua composição possuir resina acrílica com aspecto líquido compacto, cor branco leitoso e ph de 7,5 a 9. rendimento mínimo de 80 m² por litro de selador em embalagens de 5 litros (lacrado, inviolável, contendo o número e registro do químico responsável pela empresa e em embalagem própria exclusivamente branca leitosa nunca antes utilizada).</t>
  </si>
  <si>
    <t>Start</t>
  </si>
  <si>
    <t>Start, Asseptgel</t>
  </si>
  <si>
    <t>Politriz</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</si>
  <si>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</si>
  <si>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 ou similar</t>
  </si>
  <si>
    <t>Escova para limpeza de mamadeira/garrafa, tipo redonda, base de arame galvanizado, com cerdas 100% polipropileno, medindo 15cm, cabo de arame duplo retorcido e ferro galvanizado, medindo 15cm, mínimo de 30 cerdas por tufos</t>
  </si>
  <si>
    <t>Dynasty</t>
  </si>
  <si>
    <t>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t>
  </si>
  <si>
    <t>Santepel</t>
  </si>
  <si>
    <t>Pá para lixo, material: plástico com cabo, material cabo: madeira, comprimento cabo: 60cm, tamanho:24x16,5x7cm.</t>
  </si>
  <si>
    <t>Pano de copa aberto 100% dimensões mínimas 40x60cm</t>
  </si>
  <si>
    <t>Karsten</t>
  </si>
  <si>
    <t>Sabão em barra glicerinado - cor neutra. Pacote com 5 de 200g cada unidade</t>
  </si>
  <si>
    <t>Saco De Algodão Tipo: Alvejado, Tamanho: 60 X 80 CM, Cor: Branco, Características Adicionais: Dupla Face</t>
  </si>
  <si>
    <t>Uzzilim</t>
  </si>
  <si>
    <t>Rodo, Material Cabo: Plástico , Material Suporte: Plástico , Comprimento Suporte: 13 Cm, Características Adicionais: Para Pia</t>
  </si>
  <si>
    <t>Plasutil</t>
  </si>
  <si>
    <t>Cera Aplicação: Automóvel, Cor: Incolor Leitoso , Tipo: Pastosa , Características Adicionais: Diluível, Pulverizar Veículo Lavado , Composição: Cera Carnaúba E Poli- Tetrafluor-Etileno (Teflon) 200g</t>
  </si>
  <si>
    <t>Norton</t>
  </si>
  <si>
    <t>Estopa 150g para polimento - Estopa 150g para polimento - Estopa Material: Fio Algodão , Aplicação: Polimento E Limpeza Especial , Cor: Branca</t>
  </si>
  <si>
    <t>Detailer</t>
  </si>
  <si>
    <t>Limpa Pneu - aspecto físico líquido, composição glicerina, tensoativos, pigmentos, água, aplicação em superfícies emborrachadas e similares, frasco 500ml</t>
  </si>
  <si>
    <t>Tecbril</t>
  </si>
  <si>
    <t>Shampoo Automotivo - 5 LITROS Especificações Mínimas: tipo neutro; produto concentrado 1 x 40; composto de tensoativo aniônico, coadjuvante, conservante, corante e veículo; produto com validade de 12 (doze) meses. Produto com registro/notificação/isenção na ANVISA/MS.</t>
  </si>
  <si>
    <t>Detersid</t>
  </si>
  <si>
    <t>Toalha Mágica - Pano Limpeza Material: Microfibra. Aplicação: Uso Geral, Comprimento aprox. 66cm x 43cm, Tipo: Toalha, Características Adicionais: Alto Grau Absorção.</t>
  </si>
  <si>
    <t>Herbicida (mata mato) principio ativo glifosato, 01 litro, seletivo de ação sistêmica, com controle total de plantas daninhas, tanto das mono como das dicotiledôneas, atingidas pela ação herbicida não somente na parte aérea, como nas raízes. Possuindo registro no ministério da agricultura, pecuária e abastecimento (mapa).</t>
  </si>
  <si>
    <t>Randup Tordon</t>
  </si>
  <si>
    <t>Inseticida agrícola para pragas em plantas, deltametrina, de contato e ingestão do grupo químico dos piretróides sintéticos; concentração do ingrediente ativo: 25g/l; tipo de formulação: concentração emulsionável, de contato e ingestão do grupo químico piretroide, indicado para o controle de diversas pragas nas culturas do algodão, amendoim, batata, cacau, café, feijão, milho, trigo, modo de ação: contato e ingestão.</t>
  </si>
  <si>
    <t>unid. 1L</t>
  </si>
  <si>
    <t>Decis</t>
  </si>
  <si>
    <t>Inseticida Líquido. Composição Do Produto Ingrediente Ativo: Deltametrina Grupo Químico: Piretroides Formulação: Sc (Suspensão Concentrada) Embalagem: Frasco De 01 litro</t>
  </si>
  <si>
    <t>K-Othrine Sc25, Kelldrin Sc 25, Fipronil</t>
  </si>
  <si>
    <t>Fertilizante (Adubo) NPK 20 05 20, aspecto físico granulado</t>
  </si>
  <si>
    <t>saco 50kg</t>
  </si>
  <si>
    <t>Itale</t>
  </si>
  <si>
    <t>Saco 25kg</t>
  </si>
  <si>
    <t>Bico para torneira/mangueira 3/4 x 1/2 em metal</t>
  </si>
  <si>
    <t>Esguicho jato regulável para mangueira 3/4 tipo pistola em metal</t>
  </si>
  <si>
    <t>Abraçadeira Material: Aço Inoxidável, Tipo: Rosca Sem Fim, Largura: 9Mm, Aplicação: Fixação Mangueira, Diâmetro Amarração: 25 A 38 mm</t>
  </si>
  <si>
    <t>Emenda de conexão / adaptador para mangueiras 3/4</t>
  </si>
  <si>
    <t>ANEXO X - CUSTO ESTIMATIVO DE INSUMOS DE LIMPEZA</t>
  </si>
  <si>
    <t>DESCRIÇÃO DO INSUMO</t>
  </si>
  <si>
    <t>CUSTO ESTIMATIVO DE INSUMO DE COPA</t>
  </si>
  <si>
    <t>Insumo</t>
  </si>
  <si>
    <t>CUSTO ESTIMATIVO DE INSUMOS JARDINEIRO</t>
  </si>
  <si>
    <t>CUSTO ESTIMATIVO DE INSUMOS LIMPEZA VEÍCULO</t>
  </si>
  <si>
    <t>INSUMO DE LIMPEZA DE COPA</t>
  </si>
  <si>
    <t>INSUMO DE JARDINEIRO</t>
  </si>
  <si>
    <t>INSUMO DE LIMPEZA DE VEÍCULO</t>
  </si>
  <si>
    <t>INSUMO DE LIMPEZA</t>
  </si>
  <si>
    <t>RELAÇÃO DE MÁQUINAS E EQUIPAMENTOS ZELADOR</t>
  </si>
  <si>
    <t xml:space="preserve">Lavadora de alta pressão 2500W Industrial - Lavadora de alta pressão, (máxima libras) 2500W, vazão de água de no mínimo 300 litros/h, potência a partir de 1800 watts, comprimento da mangueira de no mínimo – 4m, com descanso para pistola e lança gatilho, com trava de segurança, carrinho para transporte, rodízio, 220v, cabo elétrico com no mínimo 5 metros. Incluso: aplicador de detergente, bico, pistola ergonômica, engate, lavadora. </t>
  </si>
  <si>
    <t>Roçadeira Cortador de grama do tipo Roçadeira - Profissional - À Gasolina - mínimo 2 tempos</t>
  </si>
  <si>
    <t>Tesoura para corte de grama mínimo 48cm, qualidade superior - Profissional</t>
  </si>
  <si>
    <t>Soprador de folhas profissional costal à gasolina, com motor 2 tempos, potência mínima de 3,5 cv, velocidade mínima do ar de 1260m3/h ou 78m/s, peso máximo de 9,1 kg,  marca STIHL ou similar</t>
  </si>
  <si>
    <t>Serrote curvo para poda, lamina em aço com corte nos dois sentidos, mínimo de sete dentes por polegada, cabo ergonômico emborrachado, marca TRAMONTINA, RAMADA ou similar</t>
  </si>
  <si>
    <t>Tesoura para poda de galhos, profissional, lamina em aço, cabo emborrachado, com trava de segurança,  marca TRAMONTINA ou similar</t>
  </si>
  <si>
    <t>Vassoura Metálica (rastelo), Mínimo 22 Dentes, Com Cabo, marca TRAMONTINA ou similar</t>
  </si>
  <si>
    <t>Total da Depreciação de Máquinas e Equipamentos de Zelador</t>
  </si>
  <si>
    <t>RELAÇÃO DE MÁQUINAS E EQUIPAMENTOS SERVENTE</t>
  </si>
  <si>
    <t>Total da Depreciação de Máquinas e Equipamentos Servente</t>
  </si>
  <si>
    <t>RELAÇÃO DE MÁQUINAS E EQUIPAMENTOS SERVENTE / ZELADOR / LIMPADOR DE VIDROS</t>
  </si>
  <si>
    <t>Escada doméstica, material alumínio, número degraus 7, 8 ou 9, características adicionais pés antiderrapantes, trava de segurança, capacidade 120 kg, tipo dobrável.</t>
  </si>
  <si>
    <t>Total da Depreciação de Máquinas e Equipamentos Servente, Zelador e Limpador de Vidros</t>
  </si>
  <si>
    <t xml:space="preserve">RELAÇÃO DE MÁQUINAS E EQUIPAMENTOS SERVENTE / ZELADOR </t>
  </si>
  <si>
    <t>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</si>
  <si>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Total da Depreciação de Máquinas e Equipamentos Servente e Zelador</t>
  </si>
  <si>
    <t>RELAÇÃO DE MÁQUINAS E EQUIPAMENTOS ZELADOR / LIMPADOR DE VIDROS</t>
  </si>
  <si>
    <t>Total da Depreciação de Máquinas e Equipamentos Zelador e Limpador de Vidros</t>
  </si>
  <si>
    <t>Escada doméstica, material alumínio, número degraus 16, características adicionais pés antiderrapantes, trava de segurança, capacidade 120 kg, tipo dobrável.</t>
  </si>
  <si>
    <t>Branca</t>
  </si>
  <si>
    <t>Avental Copeira - 1,20 x 0,60 m (Tecido Oxford). Cor: Preta , Características Adicionais: 2 Bolsos Dianteiros , Tamanho: Longo.</t>
  </si>
  <si>
    <t>Avental</t>
  </si>
  <si>
    <t xml:space="preserve">Lenço - em seda, liso, tamanho 1,30 m x 0,13 m, tipo echarpe </t>
  </si>
  <si>
    <t>Lenço</t>
  </si>
  <si>
    <t>CÁLCULO VALOR DO REPASSE MENSAL SERVENTE DE LIMPEZA</t>
  </si>
  <si>
    <t>Camiseta Malha - Modelo unissex, confeccionado em Malha PV, com gramatura de 180g/m² ou superior, em tecido sem transparência, com manga curta, sem punho. Gola redonda e barra reta. Logotipo da empresa em silk screen.</t>
  </si>
  <si>
    <t>Botina segurança - Material: Couro, Material Sola: Borracha, Modelo: Com Elástico nas Laterais, Características Adicionais: Biqueira Em Polipropileno, Tamanho: Sob Medida</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</si>
  <si>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t>
  </si>
  <si>
    <t>Boné</t>
  </si>
  <si>
    <t>Boné - modelo americano confeccionado em brim, 100% algodão, de primeira linha e alta qualidade no tecido e ótimo acabamento, Material Regulador Abertura Tecido Com Fivela/Fecho Metálico</t>
  </si>
  <si>
    <t>CÁLCULO VALOR DO REPASSE MENSAL LIMPADOR DE VIDRO</t>
  </si>
  <si>
    <t>CÁLCULO VALOR DO REPASSE MENSAL ZELADOR</t>
  </si>
  <si>
    <t>CÁLCULO VALOR DO REPASSE MENSAL ASSISTENTE ADMINISTRATIVO</t>
  </si>
  <si>
    <t>CÁLCULO VALOR DO REPASSE MENSAL COPEIRA</t>
  </si>
  <si>
    <t>Quantidade de postos p/ rateio</t>
  </si>
  <si>
    <t>Subseção Judiciária de Uberlândia</t>
  </si>
  <si>
    <t>Material de Limpeza de Veículo</t>
  </si>
  <si>
    <t>ANEXO X - CUSTO ESTIMATIVO DE EPI</t>
  </si>
  <si>
    <t xml:space="preserve">EPI Bota Segurança Material: Pvc - Cloreto De Polivinila , Material Sola: Antiderrapante , Cor: Preta , Tipo Cano: Longo </t>
  </si>
  <si>
    <t>EPI</t>
  </si>
  <si>
    <t>Assistente Administrativo 220h</t>
  </si>
  <si>
    <t>ISSQN 7.10 - Limpeza</t>
  </si>
  <si>
    <t>ISSQN 17.05 - Fornecimento de mão-de-obra</t>
  </si>
  <si>
    <t>ISSQN 7.10</t>
  </si>
  <si>
    <t>ISSQN 17.05</t>
  </si>
  <si>
    <t>Tributos com ISSQN 7.10 - Limpeza</t>
  </si>
  <si>
    <t>Tributos com ISSQN 17.05 - Mão de obra</t>
  </si>
  <si>
    <t xml:space="preserve"> - Informar piso salarial de cada categoria, correspondente à jornada de 220h. (Células "E7":"E16").</t>
  </si>
  <si>
    <t xml:space="preserve"> - Informar o percentual de acúmulo de função a ser aplicado. (Célula "I14").</t>
  </si>
  <si>
    <t xml:space="preserve"> - Informar o salário base para cálculo da atividade acumulada. (Célula "K14").</t>
  </si>
  <si>
    <t xml:space="preserve"> - Informar os Dados da Apresentação da Proposta e relacionados à Convenção Coletiva de Trabalho. Tais informações não interferem na execução de cálculos, servem apenas para instruir o processo da análise da proposta. (Células "E19:E23").</t>
  </si>
  <si>
    <t xml:space="preserve"> - Informar o percentual correspondente ao RAT, conforme atividade principal da licitante. (Célula "G29").</t>
  </si>
  <si>
    <t xml:space="preserve"> - Informar o fator correspondente ao FAP, conforme extraído do relatório FapWeb. (Célula "G30").</t>
  </si>
  <si>
    <t xml:space="preserve"> - Informar o valor do salário mínimo nacional vigente (base de cálculo para a cotação de insalubridade). (Célula "G33").</t>
  </si>
  <si>
    <t xml:space="preserve"> - Informar o valor unitário do Seguro de Vida, nos casos exigidos, conforme legislação vigente. (Célula "G36").</t>
  </si>
  <si>
    <t xml:space="preserve"> - Informar o valor unitário do Programa de Assistência Familiar - PAF, nos casos exigidos, conforme legislação vigente. (Célula "G37").</t>
  </si>
  <si>
    <t xml:space="preserve"> - Informar o valor unitário da tarifa de transporte público vigente à data de apresentação da proposta, conforme legislação vigente. (Célula "G38").</t>
  </si>
  <si>
    <t xml:space="preserve"> - Informar o quantitativo unitário diário de tarifas de transporte público (ex.: 1 tarifa para ida e 1 tarifa para volta = Total de 2 tarifas). (Célula "G39").</t>
  </si>
  <si>
    <t xml:space="preserve"> - Informar o percentual de desconto à título de participação do trabalhador em relação ao fornecimento de vale transporte, nos casos exigidos, conforme legislação vigente. (Célula "G41").</t>
  </si>
  <si>
    <t xml:space="preserve"> - Informar o valor unitário do ticket de Vale Alimentação, nos casos exigidos, conforme legislação vigente. (Célula "G42").</t>
  </si>
  <si>
    <t xml:space="preserve"> - Informar o percentual de desconto à título de participação do trabalhador em relação ao fornecimento de Vale Alimentação, nos casos exigidos, conforme legislação vigente. (Célula "G44").</t>
  </si>
  <si>
    <t xml:space="preserve"> - Incluir outros custos não previstos previamente, bem como descrevê-los, em caso de previsão legal, devendo ser apresentadas justificativas para a inserção. (Células "B45" e "G45").</t>
  </si>
  <si>
    <t xml:space="preserve"> - Incluir outros custos não previstos previamente, bem como descrevê-los, em caso de previsão legal, devendo ser apresentadas justificativas para a inserção. (Células "B46" e "G46").</t>
  </si>
  <si>
    <t xml:space="preserve"> - Informar o percentual relativo às Despesas Administrativas da licitante. (Células "G49").</t>
  </si>
  <si>
    <t xml:space="preserve"> - Informar o percentual relativo ao Lucro da licitante. (Células "G50").</t>
  </si>
  <si>
    <t xml:space="preserve"> - Informar a opção tributária da licitante (Células "F56") conforme legislação vigente, OBSERVANDO as instruções contantes na Célula "B55".</t>
  </si>
  <si>
    <t xml:space="preserve"> - Informar o percentual da alíquota COFINS (Células "G657) conforme legislação vigente, OBSERVANDO as instruções contantes na Célula "B55".</t>
  </si>
  <si>
    <t xml:space="preserve"> - Informar o percentual da alíquota PIS/PASEP (Células "G58") conforme legislação vigente, OBSERVANDO as instruções contantes na Célula "B55".</t>
  </si>
  <si>
    <t xml:space="preserve"> - Informar o percentual da alíquota ISSQN (Células "G59") conforme legislação vigente, OBSERVANDO as instruções contantes na Célula "B55".</t>
  </si>
  <si>
    <t xml:space="preserve"> - Informar o percentual da alíquota ISSQN (Células "G60") conforme legislação vigente, OBSERVANDO as instruções contantes na Célula "B55".</t>
  </si>
  <si>
    <t>PREENCHIMENTO ABA "INSUMOS"</t>
  </si>
  <si>
    <t xml:space="preserve"> - Insumos de Limpeza (Células "G9:G62")</t>
  </si>
  <si>
    <t>- Insumos de Copa (Células "G69:G83")</t>
  </si>
  <si>
    <t>- Insumos de Jardineiro (Células "G90:G99")</t>
  </si>
  <si>
    <t>- Insumos de Limpeza de Veículo (Células "G106:G111")</t>
  </si>
  <si>
    <t>Total de EPI de Servente , Zelador, Limpador de Vidros</t>
  </si>
  <si>
    <t>Serrote curvo podador de galhos altos com cabo extensor telescópio de, no mínimo, 3 metros, marca RAMADA, TRAMONTINA ou similar</t>
  </si>
  <si>
    <t xml:space="preserve"> - Informar o número de dias ou total do fornecimento do Vale Alimentação, nos casos exigidos, conforme legislação vigente. Exemplo: se fornecimento por valor mensal inserir o total de 1 dia, se fornecimento diário inserir 22 dias,(Célula "G43").</t>
  </si>
  <si>
    <t>Feminino: 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Masculino: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t>
  </si>
  <si>
    <t>Feminino: modelo social, confeccionada em tricoline com elastano, sendo 3% elastano e no mínimo 40% algodão, tecido não transparente.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Masculino: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</si>
  <si>
    <t>Sapato Social
Feminino: Sapatilha Feminina material sintético; sola antiderrapante, confeccionado em couro na cor Preto, palmilha em EVA recoberta com tecido antimicrobiano. Tamanho: Sob Medida
Masculino: modelo social de couro, tipo esporte fino masculino, cabedal em couro natural, com cadarço, palmilha almofadada acolchoado, contraforte, solado em borracha, costurado e colado, sistema anti-impacto para o joelho e antiderrapante.</t>
  </si>
  <si>
    <t>Feminino: Sapatilha Feminina material sintético; sola antiderrapante, confeccionado em couro na cor Preto, palmilha em EVA recoberta com tecido antimicrobiano. Tamanho: Sob Medida
Masculino: modelo social de couro, tipo esporte fino masculino, cabedal em couro natural, com cadarço, palmilha almofadada acolchoado, contraforte, solado em borracha, costurado e colado, sistema anti-impacto para o joelho e antiderrapante.</t>
  </si>
  <si>
    <t>Inserir o número de dias ou total do fornecimento do Vale Alimentação, nos casos exigidos, conforme legislação vigente ou CCT vinculante. Exemplo: se fornecimento por valor mensal inserir o total de 1 dia, se fornecimento diário inserir 22 dias.</t>
  </si>
  <si>
    <t>Desodorizador de ambiente com 360ml. Aromatizador de Ambientes Aerosol, conteúdo 360ml/240g sem Cfc. Essências suaves. Aplicação: aromatizador ambiental. Embalagem deverá conter externamente os dados de identificação, procedência, número do lote, validade e número do registro no Ministério da Saúde. Marca igual ou superior a Bom Ar, Glade ou Ultra Fresh.</t>
  </si>
  <si>
    <t>pacote 50g</t>
  </si>
  <si>
    <t>Zelador acúmulo de função Lavador e Jardineiro</t>
  </si>
  <si>
    <t>Naftalina. Pacotes 50 gramas. Especificação: pedra de naftalina, aspecto físico esferas brancas, peso molecular 128,17 g/mol, fórmula química c10h8, grau de pureza em torno de 95. pacote de 50g.</t>
  </si>
  <si>
    <t>Fardo com 4 rolos</t>
  </si>
  <si>
    <t>Papel higiênico branco, folha dupla, de alta qualidade, com dimensões 10cm X 30m, com a marca do fabricante e indicação na embalagem, absorvente e resistente, fardo com 4 rolos de 30 metros. Tipo Neve ou de melhor qualidade.</t>
  </si>
  <si>
    <t>Fibra de limpeza multiuso: produto não tecido à base de fibras sintéticas e mineral abrasivo unidos por resina á prova dàgua.</t>
  </si>
  <si>
    <t>Álcool gel para limpeza, 500 g. Álcool etílico hidratado em Gel 62,4º INPM, para limpeza, embalagem de 500 g, fragrância de lavanda</t>
  </si>
  <si>
    <t>Álcool liquido 70%. Galão 05 litros. Álcool etílico hidratado liquido 70% (70º INPM).</t>
  </si>
  <si>
    <t>Substrato para plantas a base de casca de pinus, turfa, vermiculita expandida, enriquecido com macro e micronutrientes. Embalagem: saco de 25 kg.</t>
  </si>
  <si>
    <t>Lâminas para Arco de Serra 12 polegadas, em aço bi-metal, com, no mínimo, 24 Dentes por Polegada , dentes reforçados e lâmina flexível.</t>
  </si>
  <si>
    <t>Informar código de elemento de despesa
(Coluna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</si>
</sst>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_(* #,##0_);_(* \(#,##0\);_(* \-??_);_(@_)"/>
    <numFmt numFmtId="171" formatCode="* #,##0.00\ ;* \(#,##0.00\);* \-#\ ;@\ "/>
    <numFmt numFmtId="172" formatCode="_-&quot;R$&quot;* #,##0.00_-;\-&quot;R$&quot;* #,##0.00_-;_-&quot;R$&quot;* &quot;-&quot;??_-;_-@_-"/>
  </numFmts>
  <fonts count="52" x14ac:knownFonts="1">
    <font>
      <sz val="11"/>
      <color rgb="FF000000"/>
      <name val="Calibri"/>
      <family val="2"/>
      <charset val="1"/>
    </font>
    <font>
      <sz val="11"/>
      <color theme="1"/>
      <name val="Calibri"/>
      <family val="2"/>
      <scheme val="minor"/>
    </font>
    <font>
      <sz val="10"/>
      <name val="Arial"/>
      <family val="2"/>
      <charset val="1"/>
    </font>
    <font>
      <sz val="10"/>
      <name val="Times New Roman"/>
      <family val="1"/>
      <charset val="1"/>
    </font>
    <font>
      <sz val="11"/>
      <color rgb="FF333333"/>
      <name val="Calibri"/>
      <family val="2"/>
      <charset val="1"/>
    </font>
    <font>
      <sz val="10"/>
      <name val="Calibri"/>
      <family val="2"/>
      <charset val="1"/>
    </font>
    <font>
      <sz val="8"/>
      <name val="Calibri"/>
      <family val="2"/>
      <charset val="1"/>
    </font>
    <font>
      <sz val="10"/>
      <color rgb="FF333333"/>
      <name val="Calibri"/>
      <family val="2"/>
      <charset val="1"/>
    </font>
    <font>
      <b/>
      <sz val="12"/>
      <name val="Calibri"/>
      <family val="2"/>
      <charset val="1"/>
    </font>
    <font>
      <sz val="12"/>
      <name val="Calibri"/>
      <family val="2"/>
      <charset val="1"/>
    </font>
    <font>
      <b/>
      <sz val="10"/>
      <name val="Calibri"/>
      <family val="2"/>
      <charset val="1"/>
    </font>
    <font>
      <b/>
      <u/>
      <sz val="10"/>
      <name val="Calibri"/>
      <family val="2"/>
      <charset val="1"/>
    </font>
    <font>
      <sz val="11"/>
      <name val="Calibri"/>
      <family val="2"/>
      <charset val="1"/>
    </font>
    <font>
      <b/>
      <sz val="18"/>
      <name val="Calibri"/>
      <family val="2"/>
      <charset val="1"/>
    </font>
    <font>
      <b/>
      <sz val="16"/>
      <name val="Calibri"/>
      <family val="2"/>
      <charset val="1"/>
    </font>
    <font>
      <b/>
      <sz val="11"/>
      <name val="Calibri"/>
      <family val="2"/>
      <charset val="1"/>
    </font>
    <font>
      <b/>
      <sz val="10"/>
      <color rgb="FFFF000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i/>
      <sz val="11"/>
      <color rgb="FF339966"/>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sz val="11"/>
      <color rgb="FFFFFFFF"/>
      <name val="Calibri"/>
      <family val="2"/>
      <charset val="1"/>
    </font>
    <font>
      <b/>
      <sz val="9"/>
      <name val="Calibri"/>
      <family val="2"/>
      <charset val="1"/>
    </font>
    <font>
      <b/>
      <sz val="8"/>
      <name val="Calibri"/>
      <family val="2"/>
      <charset val="1"/>
    </font>
    <font>
      <b/>
      <sz val="9"/>
      <color rgb="FFFF0000"/>
      <name val="Calibri"/>
      <family val="2"/>
      <charset val="1"/>
    </font>
    <font>
      <sz val="10"/>
      <color rgb="FFFFFFFF"/>
      <name val="Calibri"/>
      <family val="2"/>
      <charset val="1"/>
    </font>
    <font>
      <b/>
      <sz val="12"/>
      <color rgb="FFBFBFBF"/>
      <name val="Calibri"/>
      <family val="2"/>
      <charset val="1"/>
    </font>
    <font>
      <sz val="8"/>
      <name val="Arial"/>
      <family val="2"/>
      <charset val="1"/>
    </font>
    <font>
      <b/>
      <sz val="10"/>
      <color rgb="FF000000"/>
      <name val="Calibri"/>
      <family val="2"/>
      <charset val="1"/>
    </font>
    <font>
      <sz val="10"/>
      <color rgb="FF000000"/>
      <name val="Calibri"/>
      <family val="2"/>
      <charset val="1"/>
    </font>
    <font>
      <sz val="8"/>
      <color rgb="FF000000"/>
      <name val="Calibri"/>
      <family val="2"/>
      <charset val="1"/>
    </font>
    <font>
      <b/>
      <sz val="6"/>
      <name val="Calibri"/>
      <family val="2"/>
      <charset val="1"/>
    </font>
    <font>
      <b/>
      <sz val="10"/>
      <color rgb="FFC00000"/>
      <name val="Calibri"/>
      <family val="2"/>
      <charset val="1"/>
    </font>
    <font>
      <sz val="10"/>
      <color rgb="FFC00000"/>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1"/>
      <name val="Calibri"/>
      <family val="2"/>
    </font>
    <font>
      <sz val="9"/>
      <color rgb="FFFF0000"/>
      <name val="Calibri"/>
      <family val="2"/>
      <charset val="1"/>
    </font>
    <font>
      <sz val="9"/>
      <name val="Arial"/>
      <family val="2"/>
      <charset val="1"/>
    </font>
  </fonts>
  <fills count="30">
    <fill>
      <patternFill patternType="none"/>
    </fill>
    <fill>
      <patternFill patternType="gray125"/>
    </fill>
    <fill>
      <patternFill patternType="solid">
        <fgColor rgb="FFFFFF99"/>
        <bgColor rgb="FFFFFFCC"/>
      </patternFill>
    </fill>
    <fill>
      <patternFill patternType="solid">
        <fgColor theme="0" tint="-0.14999847407452621"/>
        <bgColor rgb="FFDCE6F2"/>
      </patternFill>
    </fill>
    <fill>
      <patternFill patternType="solid">
        <fgColor theme="8" tint="0.39979247413556324"/>
        <bgColor rgb="FFBFBFBF"/>
      </patternFill>
    </fill>
    <fill>
      <patternFill patternType="solid">
        <fgColor rgb="FFF2F2F2"/>
        <bgColor rgb="FFDEEBF7"/>
      </patternFill>
    </fill>
    <fill>
      <patternFill patternType="solid">
        <fgColor rgb="FFFFFFFF"/>
        <bgColor rgb="FFF2F2F2"/>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595959"/>
        <bgColor rgb="FF606060"/>
      </patternFill>
    </fill>
    <fill>
      <patternFill patternType="solid">
        <fgColor rgb="FF606060"/>
        <bgColor rgb="FF595959"/>
      </patternFill>
    </fill>
    <fill>
      <patternFill patternType="solid">
        <fgColor rgb="FFF2DCDB"/>
        <bgColor rgb="FFD9D9D9"/>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theme="0" tint="-0.249977111117893"/>
        <bgColor rgb="FFC0C0C0"/>
      </patternFill>
    </fill>
    <fill>
      <patternFill patternType="solid">
        <fgColor rgb="FF4ADAFC"/>
        <bgColor rgb="FF00CCFF"/>
      </patternFill>
    </fill>
    <fill>
      <patternFill patternType="solid">
        <fgColor rgb="FF808080"/>
        <bgColor rgb="FF969696"/>
      </patternFill>
    </fill>
    <fill>
      <patternFill patternType="solid">
        <fgColor rgb="FFFFCCCC"/>
        <bgColor rgb="FFF2F2F2"/>
      </patternFill>
    </fill>
    <fill>
      <patternFill patternType="solid">
        <fgColor theme="1" tint="0.34998626667073579"/>
        <bgColor indexed="64"/>
      </patternFill>
    </fill>
    <fill>
      <patternFill patternType="solid">
        <fgColor theme="1" tint="0.34998626667073579"/>
        <bgColor rgb="FFF2F2F2"/>
      </patternFill>
    </fill>
    <fill>
      <patternFill patternType="solid">
        <fgColor theme="1" tint="0.34998626667073579"/>
        <bgColor rgb="FF606060"/>
      </patternFill>
    </fill>
    <fill>
      <patternFill patternType="solid">
        <fgColor theme="1" tint="0.34998626667073579"/>
        <bgColor rgb="FF595959"/>
      </patternFill>
    </fill>
    <fill>
      <patternFill patternType="solid">
        <fgColor rgb="FFD9D9D9"/>
        <bgColor rgb="FFDCE6F2"/>
      </patternFill>
    </fill>
    <fill>
      <patternFill patternType="solid">
        <fgColor theme="0"/>
        <bgColor rgb="FFF2F2F2"/>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rgb="FFDCE6F2"/>
      </patternFill>
    </fill>
  </fills>
  <borders count="7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diagonal/>
    </border>
    <border>
      <left style="medium">
        <color auto="1"/>
      </left>
      <right/>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top style="medium">
        <color auto="1"/>
      </top>
      <bottom/>
      <diagonal/>
    </border>
    <border>
      <left/>
      <right/>
      <top style="thin">
        <color auto="1"/>
      </top>
      <bottom style="medium">
        <color auto="1"/>
      </bottom>
      <diagonal/>
    </border>
    <border>
      <left/>
      <right style="medium">
        <color auto="1"/>
      </right>
      <top/>
      <bottom style="medium">
        <color auto="1"/>
      </bottom>
      <diagonal/>
    </border>
  </borders>
  <cellStyleXfs count="35">
    <xf numFmtId="0" fontId="0" fillId="0" borderId="0"/>
    <xf numFmtId="166" fontId="48" fillId="0" borderId="0" applyBorder="0" applyProtection="0"/>
    <xf numFmtId="164" fontId="48" fillId="0" borderId="0" applyBorder="0" applyProtection="0"/>
    <xf numFmtId="9" fontId="48" fillId="0" borderId="0" applyBorder="0" applyProtection="0"/>
    <xf numFmtId="164" fontId="2" fillId="0" borderId="0" applyBorder="0" applyProtection="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Border="0" applyProtection="0"/>
    <xf numFmtId="9" fontId="2" fillId="0" borderId="0" applyBorder="0" applyProtection="0"/>
    <xf numFmtId="9" fontId="2" fillId="0" borderId="0" applyBorder="0" applyProtection="0"/>
    <xf numFmtId="9" fontId="3" fillId="0" borderId="0" applyBorder="0" applyProtection="0"/>
    <xf numFmtId="165" fontId="2" fillId="0" borderId="0" applyBorder="0" applyProtection="0"/>
    <xf numFmtId="165" fontId="2" fillId="0" borderId="0" applyBorder="0" applyProtection="0"/>
    <xf numFmtId="165" fontId="2" fillId="0" borderId="0" applyBorder="0" applyProtection="0"/>
    <xf numFmtId="165" fontId="2" fillId="0" borderId="0" applyBorder="0" applyProtection="0"/>
    <xf numFmtId="166" fontId="3" fillId="0" borderId="0" applyBorder="0" applyProtection="0"/>
    <xf numFmtId="165" fontId="2" fillId="0" borderId="0" applyBorder="0" applyProtection="0"/>
    <xf numFmtId="166" fontId="4" fillId="0" borderId="0" applyBorder="0" applyProtection="0"/>
    <xf numFmtId="165" fontId="3" fillId="0" borderId="0" applyBorder="0" applyProtection="0"/>
    <xf numFmtId="166" fontId="48" fillId="0" borderId="0" applyBorder="0" applyProtection="0"/>
    <xf numFmtId="0" fontId="22" fillId="0" borderId="0" applyBorder="0" applyProtection="0"/>
    <xf numFmtId="171" fontId="3" fillId="0" borderId="0" applyBorder="0" applyProtection="0"/>
    <xf numFmtId="0" fontId="1" fillId="0" borderId="0"/>
    <xf numFmtId="172"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68">
    <xf numFmtId="0" fontId="0" fillId="0" borderId="0" xfId="0"/>
    <xf numFmtId="0" fontId="15" fillId="2" borderId="5" xfId="6"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xf>
    <xf numFmtId="0" fontId="5" fillId="0" borderId="0" xfId="0" applyFont="1"/>
    <xf numFmtId="0" fontId="6" fillId="0" borderId="1" xfId="13" applyFont="1" applyBorder="1"/>
    <xf numFmtId="0" fontId="7" fillId="0" borderId="2" xfId="9" applyFont="1" applyBorder="1" applyAlignment="1">
      <alignment vertical="center"/>
    </xf>
    <xf numFmtId="0" fontId="6" fillId="0" borderId="3" xfId="13" applyFont="1" applyBorder="1"/>
    <xf numFmtId="0" fontId="7" fillId="0" borderId="0" xfId="9" applyFont="1" applyAlignment="1">
      <alignment vertical="center"/>
    </xf>
    <xf numFmtId="0" fontId="5" fillId="0" borderId="0" xfId="9" applyFont="1"/>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left"/>
    </xf>
    <xf numFmtId="0" fontId="5" fillId="2" borderId="4"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5" fillId="2" borderId="0" xfId="0" applyFont="1" applyFill="1"/>
    <xf numFmtId="0" fontId="10" fillId="0" borderId="0" xfId="0" applyFont="1"/>
    <xf numFmtId="49" fontId="5" fillId="0" borderId="0" xfId="0" applyNumberFormat="1" applyFont="1"/>
    <xf numFmtId="0" fontId="5" fillId="3" borderId="0" xfId="0" applyFont="1" applyFill="1"/>
    <xf numFmtId="0" fontId="5" fillId="0" borderId="0" xfId="0" applyFont="1" applyAlignment="1">
      <alignment horizontal="left" vertical="center"/>
    </xf>
    <xf numFmtId="0" fontId="5" fillId="0" borderId="0" xfId="0" applyFont="1" applyAlignment="1">
      <alignment vertical="center"/>
    </xf>
    <xf numFmtId="0" fontId="10" fillId="4" borderId="0" xfId="0" applyFont="1" applyFill="1"/>
    <xf numFmtId="0" fontId="5" fillId="5" borderId="0" xfId="0" applyFont="1" applyFill="1" applyAlignment="1">
      <alignment vertical="center"/>
    </xf>
    <xf numFmtId="0" fontId="5" fillId="6" borderId="0" xfId="0" applyFont="1" applyFill="1" applyAlignment="1">
      <alignment vertical="center"/>
    </xf>
    <xf numFmtId="0" fontId="12" fillId="0" borderId="0" xfId="6" applyFont="1"/>
    <xf numFmtId="0" fontId="12" fillId="0" borderId="0" xfId="6" applyFont="1" applyAlignment="1">
      <alignment horizontal="center"/>
    </xf>
    <xf numFmtId="0" fontId="12" fillId="0" borderId="0" xfId="6" applyFont="1" applyAlignment="1">
      <alignment horizontal="center" vertical="center"/>
    </xf>
    <xf numFmtId="0" fontId="12" fillId="0" borderId="1" xfId="6" applyFont="1" applyBorder="1"/>
    <xf numFmtId="0" fontId="7" fillId="0" borderId="2" xfId="0" applyFont="1" applyBorder="1" applyAlignment="1">
      <alignment horizontal="left" vertical="center"/>
    </xf>
    <xf numFmtId="0" fontId="13" fillId="0" borderId="0" xfId="6" applyFont="1" applyAlignment="1">
      <alignment vertical="center"/>
    </xf>
    <xf numFmtId="0" fontId="12" fillId="0" borderId="3" xfId="6" applyFont="1" applyBorder="1" applyAlignment="1">
      <alignment vertical="top"/>
    </xf>
    <xf numFmtId="0" fontId="7" fillId="0" borderId="0" xfId="0" applyFont="1" applyAlignment="1">
      <alignment horizontal="left" vertical="center"/>
    </xf>
    <xf numFmtId="0" fontId="13" fillId="0" borderId="0" xfId="6" applyFont="1" applyAlignment="1">
      <alignment vertical="top"/>
    </xf>
    <xf numFmtId="0" fontId="12" fillId="0" borderId="0" xfId="6" applyFont="1" applyAlignment="1">
      <alignment horizontal="center" vertical="top"/>
    </xf>
    <xf numFmtId="0" fontId="12" fillId="0" borderId="0" xfId="6" applyFont="1" applyAlignment="1">
      <alignment vertical="top"/>
    </xf>
    <xf numFmtId="0" fontId="7" fillId="0" borderId="0" xfId="0" applyFont="1" applyAlignment="1">
      <alignment horizontal="left" vertical="top"/>
    </xf>
    <xf numFmtId="0" fontId="12" fillId="0" borderId="0" xfId="6" applyFont="1" applyAlignment="1">
      <alignment horizontal="left" vertical="center"/>
    </xf>
    <xf numFmtId="0" fontId="13" fillId="0" borderId="0" xfId="6" applyFont="1" applyAlignment="1">
      <alignment horizontal="center" vertical="center"/>
    </xf>
    <xf numFmtId="0" fontId="9" fillId="0" borderId="0" xfId="6" applyFont="1" applyAlignment="1">
      <alignment vertical="center"/>
    </xf>
    <xf numFmtId="0" fontId="9" fillId="0" borderId="0" xfId="6" applyFont="1" applyAlignment="1">
      <alignment horizontal="center" vertical="center"/>
    </xf>
    <xf numFmtId="0" fontId="12" fillId="0" borderId="5" xfId="6" applyFont="1" applyBorder="1" applyAlignment="1">
      <alignment horizontal="center" vertical="center"/>
    </xf>
    <xf numFmtId="0" fontId="10" fillId="9" borderId="11" xfId="25" applyNumberFormat="1" applyFont="1" applyFill="1" applyBorder="1" applyAlignment="1" applyProtection="1">
      <alignment horizontal="center" vertical="center" wrapText="1"/>
    </xf>
    <xf numFmtId="0" fontId="10" fillId="9" borderId="12" xfId="25" applyNumberFormat="1" applyFont="1" applyFill="1" applyBorder="1" applyAlignment="1" applyProtection="1">
      <alignment horizontal="center" vertical="center" wrapText="1"/>
    </xf>
    <xf numFmtId="0" fontId="10" fillId="9" borderId="13" xfId="25" applyNumberFormat="1" applyFont="1" applyFill="1" applyBorder="1" applyAlignment="1" applyProtection="1">
      <alignment horizontal="center" vertical="center" wrapText="1"/>
    </xf>
    <xf numFmtId="0" fontId="10" fillId="9" borderId="14" xfId="25" applyNumberFormat="1" applyFont="1" applyFill="1" applyBorder="1" applyAlignment="1" applyProtection="1">
      <alignment horizontal="center" vertical="center" wrapText="1"/>
    </xf>
    <xf numFmtId="0" fontId="10" fillId="9" borderId="15" xfId="25" applyNumberFormat="1" applyFont="1" applyFill="1" applyBorder="1" applyAlignment="1" applyProtection="1">
      <alignment horizontal="center" vertical="center" wrapText="1"/>
    </xf>
    <xf numFmtId="0" fontId="10" fillId="9" borderId="16" xfId="25" applyNumberFormat="1" applyFont="1" applyFill="1" applyBorder="1" applyAlignment="1" applyProtection="1">
      <alignment horizontal="center" vertical="center" wrapText="1"/>
    </xf>
    <xf numFmtId="1" fontId="5" fillId="6" borderId="17" xfId="6" applyNumberFormat="1" applyFont="1" applyFill="1" applyBorder="1" applyAlignment="1">
      <alignment horizontal="center" vertical="center"/>
    </xf>
    <xf numFmtId="0" fontId="5" fillId="6" borderId="5" xfId="6" applyFont="1" applyFill="1" applyBorder="1" applyAlignment="1">
      <alignment vertical="center"/>
    </xf>
    <xf numFmtId="1" fontId="5" fillId="6" borderId="5" xfId="6" applyNumberFormat="1" applyFont="1" applyFill="1" applyBorder="1" applyAlignment="1">
      <alignment horizontal="center" vertical="center"/>
    </xf>
    <xf numFmtId="2" fontId="5" fillId="6" borderId="19" xfId="25" applyNumberFormat="1" applyFont="1" applyFill="1" applyBorder="1" applyAlignment="1" applyProtection="1">
      <alignment horizontal="center" vertical="center"/>
    </xf>
    <xf numFmtId="164" fontId="5" fillId="6" borderId="21" xfId="4" applyFont="1" applyFill="1" applyBorder="1" applyAlignment="1" applyProtection="1">
      <alignment horizontal="center" vertical="center"/>
    </xf>
    <xf numFmtId="164" fontId="5" fillId="6" borderId="5" xfId="4" applyFont="1" applyFill="1" applyBorder="1" applyAlignment="1" applyProtection="1">
      <alignment horizontal="center" vertical="center"/>
    </xf>
    <xf numFmtId="0" fontId="5" fillId="6" borderId="5" xfId="6" applyFont="1" applyFill="1" applyBorder="1" applyAlignment="1">
      <alignment horizontal="center" vertical="center"/>
    </xf>
    <xf numFmtId="164" fontId="5" fillId="6" borderId="5" xfId="2" applyFont="1" applyFill="1" applyBorder="1" applyAlignment="1" applyProtection="1">
      <alignment horizontal="center" vertical="center"/>
    </xf>
    <xf numFmtId="0" fontId="9" fillId="6" borderId="0" xfId="6" applyFont="1" applyFill="1" applyAlignment="1">
      <alignment vertical="center"/>
    </xf>
    <xf numFmtId="166" fontId="9" fillId="6" borderId="0" xfId="6" applyNumberFormat="1" applyFont="1" applyFill="1" applyAlignment="1">
      <alignment vertical="center"/>
    </xf>
    <xf numFmtId="0" fontId="18" fillId="10" borderId="20" xfId="25" applyNumberFormat="1" applyFont="1" applyFill="1" applyBorder="1" applyAlignment="1" applyProtection="1">
      <alignment horizontal="center" vertical="center"/>
      <protection locked="0"/>
    </xf>
    <xf numFmtId="166" fontId="19" fillId="11" borderId="5" xfId="6" applyNumberFormat="1" applyFont="1" applyFill="1" applyBorder="1" applyAlignment="1">
      <alignment horizontal="center" vertical="center"/>
    </xf>
    <xf numFmtId="166" fontId="9" fillId="0" borderId="0" xfId="6" applyNumberFormat="1" applyFont="1" applyAlignment="1">
      <alignment vertical="center"/>
    </xf>
    <xf numFmtId="0" fontId="5" fillId="0" borderId="0" xfId="6" applyFont="1" applyAlignment="1">
      <alignment vertical="center"/>
    </xf>
    <xf numFmtId="164" fontId="10" fillId="9" borderId="23" xfId="4" applyFont="1" applyFill="1" applyBorder="1" applyAlignment="1" applyProtection="1">
      <alignment horizontal="center" vertical="center"/>
    </xf>
    <xf numFmtId="164" fontId="10" fillId="9" borderId="25" xfId="4" applyFont="1" applyFill="1" applyBorder="1" applyAlignment="1" applyProtection="1">
      <alignment horizontal="center" vertical="center"/>
    </xf>
    <xf numFmtId="164" fontId="10" fillId="9" borderId="4" xfId="4" applyFont="1" applyFill="1" applyBorder="1" applyAlignment="1" applyProtection="1">
      <alignment horizontal="center" vertical="center"/>
    </xf>
    <xf numFmtId="164" fontId="10" fillId="9" borderId="26" xfId="4" applyFont="1" applyFill="1" applyBorder="1" applyAlignment="1" applyProtection="1">
      <alignment horizontal="center" vertical="center"/>
    </xf>
    <xf numFmtId="164" fontId="10" fillId="9" borderId="27" xfId="4" applyFont="1" applyFill="1" applyBorder="1" applyAlignment="1" applyProtection="1">
      <alignment horizontal="center" vertical="center"/>
    </xf>
    <xf numFmtId="164" fontId="10" fillId="9" borderId="28" xfId="4" applyFont="1" applyFill="1" applyBorder="1" applyAlignment="1" applyProtection="1">
      <alignment horizontal="center" vertical="center"/>
    </xf>
    <xf numFmtId="164" fontId="10" fillId="9" borderId="22" xfId="4" applyFont="1" applyFill="1" applyBorder="1" applyAlignment="1" applyProtection="1">
      <alignment vertical="center"/>
    </xf>
    <xf numFmtId="0" fontId="20" fillId="0" borderId="0" xfId="6" applyFont="1" applyAlignment="1">
      <alignment horizontal="left" vertical="center"/>
    </xf>
    <xf numFmtId="0" fontId="5" fillId="0" borderId="0" xfId="6" applyFont="1" applyAlignment="1">
      <alignment horizontal="left" vertical="center"/>
    </xf>
    <xf numFmtId="0" fontId="21" fillId="0" borderId="0" xfId="6" applyFont="1" applyAlignment="1">
      <alignment horizontal="left" vertical="center"/>
    </xf>
    <xf numFmtId="0" fontId="10" fillId="9" borderId="5" xfId="25" applyNumberFormat="1" applyFont="1" applyFill="1" applyBorder="1" applyAlignment="1" applyProtection="1">
      <alignment horizontal="center" vertical="center" wrapText="1"/>
    </xf>
    <xf numFmtId="0" fontId="5" fillId="0" borderId="0" xfId="6" applyFont="1" applyAlignment="1">
      <alignment horizontal="center" vertical="center"/>
    </xf>
    <xf numFmtId="2" fontId="5" fillId="0" borderId="0" xfId="6" applyNumberFormat="1" applyFont="1" applyAlignment="1">
      <alignment horizontal="left" vertical="center"/>
    </xf>
    <xf numFmtId="0" fontId="5" fillId="0" borderId="5" xfId="6" applyFont="1" applyBorder="1" applyAlignment="1" applyProtection="1">
      <alignment horizontal="center" vertical="center"/>
      <protection locked="0"/>
    </xf>
    <xf numFmtId="166" fontId="12" fillId="0" borderId="0" xfId="6" applyNumberFormat="1" applyFont="1" applyAlignment="1">
      <alignment horizontal="center" vertical="center"/>
    </xf>
    <xf numFmtId="0" fontId="10" fillId="0" borderId="0" xfId="15" applyFont="1" applyAlignment="1">
      <alignment horizontal="center" vertical="center"/>
    </xf>
    <xf numFmtId="0" fontId="5" fillId="0" borderId="0" xfId="15" applyFont="1"/>
    <xf numFmtId="0" fontId="10" fillId="9" borderId="31" xfId="25" applyNumberFormat="1" applyFont="1" applyFill="1" applyBorder="1" applyAlignment="1" applyProtection="1">
      <alignment horizontal="center" vertical="center" wrapText="1"/>
    </xf>
    <xf numFmtId="0" fontId="10" fillId="9" borderId="32" xfId="25" applyNumberFormat="1" applyFont="1" applyFill="1" applyBorder="1" applyAlignment="1" applyProtection="1">
      <alignment horizontal="center" vertical="center" wrapText="1"/>
    </xf>
    <xf numFmtId="0" fontId="10" fillId="9" borderId="33" xfId="25" applyNumberFormat="1" applyFont="1" applyFill="1" applyBorder="1" applyAlignment="1" applyProtection="1">
      <alignment horizontal="center" vertical="center" wrapText="1"/>
    </xf>
    <xf numFmtId="166" fontId="12" fillId="0" borderId="0" xfId="6" applyNumberFormat="1" applyFont="1"/>
    <xf numFmtId="0" fontId="10" fillId="9" borderId="19" xfId="25" applyNumberFormat="1" applyFont="1" applyFill="1" applyBorder="1" applyAlignment="1" applyProtection="1">
      <alignment horizontal="center" vertical="center" wrapText="1"/>
    </xf>
    <xf numFmtId="0" fontId="10" fillId="9" borderId="17" xfId="25" applyNumberFormat="1" applyFont="1" applyFill="1" applyBorder="1" applyAlignment="1" applyProtection="1">
      <alignment horizontal="center" vertical="center" wrapText="1"/>
    </xf>
    <xf numFmtId="1" fontId="7" fillId="0" borderId="17" xfId="12" applyNumberFormat="1" applyFont="1" applyBorder="1" applyAlignment="1">
      <alignment horizontal="center" vertical="center"/>
    </xf>
    <xf numFmtId="0" fontId="5" fillId="6" borderId="5" xfId="0" applyFont="1" applyFill="1" applyBorder="1" applyAlignment="1">
      <alignment horizontal="center" vertical="center"/>
    </xf>
    <xf numFmtId="0" fontId="18" fillId="12" borderId="12" xfId="25" applyNumberFormat="1" applyFont="1" applyFill="1" applyBorder="1" applyAlignment="1" applyProtection="1">
      <alignment horizontal="center" vertical="center"/>
      <protection locked="0"/>
    </xf>
    <xf numFmtId="165" fontId="5" fillId="0" borderId="14" xfId="20" applyFont="1" applyBorder="1" applyAlignment="1" applyProtection="1">
      <alignment vertical="center"/>
    </xf>
    <xf numFmtId="0" fontId="5" fillId="0" borderId="11" xfId="0" applyFont="1" applyBorder="1" applyAlignment="1">
      <alignment horizontal="center" vertical="center"/>
    </xf>
    <xf numFmtId="167" fontId="5" fillId="0" borderId="12" xfId="15" applyNumberFormat="1" applyFont="1" applyBorder="1" applyAlignment="1">
      <alignment horizontal="center" vertical="center"/>
    </xf>
    <xf numFmtId="0" fontId="5" fillId="0" borderId="18" xfId="15" applyFont="1" applyBorder="1" applyAlignment="1">
      <alignment horizontal="center" vertical="center"/>
    </xf>
    <xf numFmtId="0" fontId="5" fillId="0" borderId="19" xfId="15" applyFont="1" applyBorder="1" applyAlignment="1">
      <alignment horizontal="center" vertical="center"/>
    </xf>
    <xf numFmtId="1" fontId="7" fillId="6" borderId="17" xfId="12" applyNumberFormat="1" applyFont="1" applyFill="1" applyBorder="1" applyAlignment="1">
      <alignment horizontal="center" vertical="center"/>
    </xf>
    <xf numFmtId="164" fontId="10" fillId="9" borderId="14" xfId="2" applyFont="1" applyFill="1" applyBorder="1" applyAlignment="1" applyProtection="1">
      <alignment horizontal="center" vertical="center"/>
    </xf>
    <xf numFmtId="0" fontId="5" fillId="0" borderId="0" xfId="15" applyFont="1" applyAlignment="1">
      <alignment vertical="center"/>
    </xf>
    <xf numFmtId="10" fontId="10" fillId="9" borderId="21" xfId="25" applyNumberFormat="1" applyFont="1" applyFill="1" applyBorder="1" applyAlignment="1" applyProtection="1">
      <alignment horizontal="center" vertical="center"/>
    </xf>
    <xf numFmtId="164" fontId="10" fillId="9" borderId="19" xfId="2" applyFont="1" applyFill="1" applyBorder="1" applyAlignment="1" applyProtection="1">
      <alignment horizontal="center" vertical="center"/>
    </xf>
    <xf numFmtId="166" fontId="5" fillId="0" borderId="0" xfId="15" applyNumberFormat="1" applyFont="1" applyAlignment="1">
      <alignment vertical="center"/>
    </xf>
    <xf numFmtId="164" fontId="10" fillId="9" borderId="29" xfId="2" applyFont="1" applyFill="1" applyBorder="1" applyAlignment="1" applyProtection="1">
      <alignment horizontal="center" vertical="center"/>
    </xf>
    <xf numFmtId="0" fontId="5" fillId="0" borderId="0" xfId="15" applyFont="1" applyAlignment="1">
      <alignment horizontal="center" vertical="center"/>
    </xf>
    <xf numFmtId="1" fontId="5" fillId="0" borderId="17" xfId="29" applyNumberFormat="1" applyFont="1" applyBorder="1" applyAlignment="1" applyProtection="1">
      <alignment horizontal="center" vertical="center"/>
    </xf>
    <xf numFmtId="0" fontId="5" fillId="0" borderId="5" xfId="29" applyFont="1" applyBorder="1" applyAlignment="1" applyProtection="1">
      <alignment horizontal="center" vertical="center" wrapText="1"/>
    </xf>
    <xf numFmtId="0" fontId="17" fillId="0" borderId="11" xfId="0" applyFont="1" applyBorder="1" applyAlignment="1">
      <alignment horizontal="center" vertical="center"/>
    </xf>
    <xf numFmtId="1" fontId="5" fillId="0" borderId="5" xfId="14" applyNumberFormat="1" applyFont="1" applyBorder="1" applyAlignment="1">
      <alignment horizontal="center" vertical="center"/>
    </xf>
    <xf numFmtId="0" fontId="5" fillId="0" borderId="5" xfId="29" applyFont="1" applyBorder="1" applyAlignment="1" applyProtection="1">
      <alignment horizontal="center" vertical="center"/>
    </xf>
    <xf numFmtId="164" fontId="10" fillId="9" borderId="33" xfId="2" applyFont="1" applyFill="1" applyBorder="1" applyAlignment="1" applyProtection="1">
      <alignment horizontal="center" vertical="center"/>
    </xf>
    <xf numFmtId="0" fontId="5" fillId="6" borderId="5" xfId="29" applyFont="1" applyFill="1" applyBorder="1" applyAlignment="1" applyProtection="1">
      <alignment horizontal="center" vertical="center"/>
    </xf>
    <xf numFmtId="0" fontId="12" fillId="0" borderId="5" xfId="6" applyFont="1" applyBorder="1"/>
    <xf numFmtId="3" fontId="12" fillId="0" borderId="18" xfId="6" applyNumberFormat="1" applyFont="1" applyBorder="1" applyAlignment="1">
      <alignment horizontal="center" vertical="center"/>
    </xf>
    <xf numFmtId="0" fontId="12" fillId="0" borderId="18" xfId="6" applyFont="1" applyBorder="1" applyAlignment="1">
      <alignment horizontal="center" vertical="center"/>
    </xf>
    <xf numFmtId="0" fontId="12" fillId="0" borderId="5" xfId="6" applyFont="1" applyBorder="1" applyAlignment="1">
      <alignment horizontal="left"/>
    </xf>
    <xf numFmtId="0" fontId="7" fillId="0" borderId="0" xfId="0" applyFont="1"/>
    <xf numFmtId="0" fontId="7" fillId="0" borderId="0" xfId="0" applyFont="1" applyAlignment="1">
      <alignment vertical="center"/>
    </xf>
    <xf numFmtId="0" fontId="5" fillId="0" borderId="0" xfId="0" applyFont="1" applyAlignment="1">
      <alignment horizontal="center"/>
    </xf>
    <xf numFmtId="0" fontId="23" fillId="0" borderId="0" xfId="6" applyFont="1" applyAlignment="1">
      <alignment horizontal="left" vertical="center"/>
    </xf>
    <xf numFmtId="164" fontId="5" fillId="0" borderId="0" xfId="4" applyFont="1" applyBorder="1" applyProtection="1"/>
    <xf numFmtId="0" fontId="12" fillId="0" borderId="0" xfId="6" applyFont="1" applyAlignment="1">
      <alignment vertical="center"/>
    </xf>
    <xf numFmtId="168" fontId="15" fillId="0" borderId="0" xfId="6" applyNumberFormat="1" applyFont="1" applyAlignment="1">
      <alignment horizontal="left" vertical="center"/>
    </xf>
    <xf numFmtId="0" fontId="12" fillId="0" borderId="0" xfId="0" applyFont="1"/>
    <xf numFmtId="0" fontId="15" fillId="0" borderId="0" xfId="6" applyFont="1" applyAlignment="1">
      <alignment vertical="center"/>
    </xf>
    <xf numFmtId="0" fontId="5" fillId="3" borderId="5" xfId="6" applyFont="1" applyFill="1" applyBorder="1" applyAlignment="1">
      <alignment horizontal="center" vertical="center" wrapText="1"/>
    </xf>
    <xf numFmtId="0" fontId="15" fillId="3" borderId="5" xfId="6" applyFont="1" applyFill="1" applyBorder="1" applyAlignment="1">
      <alignment horizontal="center" vertical="center" wrapText="1"/>
    </xf>
    <xf numFmtId="169" fontId="9" fillId="0" borderId="0" xfId="6" applyNumberFormat="1" applyFont="1" applyAlignment="1">
      <alignment vertical="center"/>
    </xf>
    <xf numFmtId="0" fontId="15" fillId="0" borderId="5" xfId="0" applyFont="1" applyBorder="1" applyAlignment="1">
      <alignment horizontal="center" vertical="center" wrapText="1"/>
    </xf>
    <xf numFmtId="1" fontId="12" fillId="0" borderId="5" xfId="6" applyNumberFormat="1" applyFont="1" applyBorder="1" applyAlignment="1">
      <alignment horizontal="center" vertical="center"/>
    </xf>
    <xf numFmtId="0" fontId="15" fillId="0" borderId="5" xfId="6" applyFont="1" applyBorder="1" applyAlignment="1">
      <alignment horizontal="center" vertical="center"/>
    </xf>
    <xf numFmtId="4" fontId="12" fillId="2" borderId="5" xfId="1" applyNumberFormat="1" applyFont="1" applyFill="1" applyBorder="1" applyAlignment="1" applyProtection="1">
      <alignment horizontal="center" vertical="center"/>
      <protection locked="0"/>
    </xf>
    <xf numFmtId="4" fontId="12" fillId="0" borderId="5" xfId="1" applyNumberFormat="1" applyFont="1" applyBorder="1" applyAlignment="1" applyProtection="1">
      <alignment horizontal="center" vertical="center"/>
    </xf>
    <xf numFmtId="10" fontId="12" fillId="10" borderId="5" xfId="3" applyNumberFormat="1" applyFont="1" applyFill="1" applyBorder="1" applyAlignment="1" applyProtection="1">
      <alignment horizontal="center" vertical="center"/>
    </xf>
    <xf numFmtId="4" fontId="12" fillId="10" borderId="5" xfId="1" applyNumberFormat="1" applyFont="1" applyFill="1" applyBorder="1" applyAlignment="1" applyProtection="1">
      <alignment horizontal="center" vertical="center"/>
    </xf>
    <xf numFmtId="4" fontId="15" fillId="0" borderId="5" xfId="1" applyNumberFormat="1" applyFont="1" applyBorder="1" applyAlignment="1" applyProtection="1">
      <alignment horizontal="center" vertical="center"/>
    </xf>
    <xf numFmtId="1" fontId="5" fillId="0" borderId="17" xfId="6" applyNumberFormat="1" applyFont="1" applyBorder="1" applyAlignment="1">
      <alignment horizontal="center" vertical="center"/>
    </xf>
    <xf numFmtId="166" fontId="19" fillId="11" borderId="5" xfId="1" applyFont="1" applyFill="1" applyBorder="1" applyAlignment="1" applyProtection="1">
      <alignment horizontal="center" vertical="center"/>
    </xf>
    <xf numFmtId="10" fontId="12" fillId="10" borderId="5" xfId="6" applyNumberFormat="1" applyFont="1" applyFill="1" applyBorder="1" applyAlignment="1">
      <alignment horizontal="center" vertical="center"/>
    </xf>
    <xf numFmtId="166" fontId="12" fillId="10" borderId="5" xfId="6" applyNumberFormat="1" applyFont="1" applyFill="1" applyBorder="1" applyAlignment="1">
      <alignment horizontal="left" vertical="center"/>
    </xf>
    <xf numFmtId="166" fontId="12" fillId="6" borderId="5" xfId="6" applyNumberFormat="1" applyFont="1" applyFill="1" applyBorder="1" applyAlignment="1">
      <alignment horizontal="center" vertical="center"/>
    </xf>
    <xf numFmtId="166" fontId="12" fillId="6" borderId="12" xfId="6" applyNumberFormat="1" applyFont="1" applyFill="1" applyBorder="1" applyAlignment="1">
      <alignment horizontal="center" vertical="center"/>
    </xf>
    <xf numFmtId="10" fontId="12" fillId="0" borderId="5" xfId="3" applyNumberFormat="1" applyFont="1" applyBorder="1" applyAlignment="1" applyProtection="1">
      <alignment horizontal="center" vertical="center"/>
    </xf>
    <xf numFmtId="10" fontId="12" fillId="2" borderId="5" xfId="6" applyNumberFormat="1" applyFont="1" applyFill="1" applyBorder="1" applyAlignment="1">
      <alignment horizontal="center" vertical="center"/>
    </xf>
    <xf numFmtId="10" fontId="12" fillId="0" borderId="5" xfId="6" applyNumberFormat="1" applyFont="1" applyBorder="1" applyAlignment="1">
      <alignment horizontal="center" vertical="center"/>
    </xf>
    <xf numFmtId="166" fontId="12" fillId="2" borderId="5" xfId="6" applyNumberFormat="1" applyFont="1" applyFill="1" applyBorder="1" applyAlignment="1">
      <alignment horizontal="left" vertical="center"/>
    </xf>
    <xf numFmtId="0" fontId="15" fillId="0" borderId="12" xfId="6" applyFont="1" applyBorder="1" applyAlignment="1">
      <alignment horizontal="center" vertical="center"/>
    </xf>
    <xf numFmtId="4" fontId="15" fillId="0" borderId="12" xfId="1" applyNumberFormat="1" applyFont="1" applyBorder="1" applyAlignment="1" applyProtection="1">
      <alignment horizontal="center" vertical="center"/>
    </xf>
    <xf numFmtId="0" fontId="15" fillId="3" borderId="5" xfId="6" applyFont="1" applyFill="1" applyBorder="1" applyAlignment="1">
      <alignment horizontal="center" vertical="center"/>
    </xf>
    <xf numFmtId="0" fontId="12" fillId="0" borderId="41" xfId="6" applyFont="1" applyBorder="1" applyAlignment="1">
      <alignment vertical="center"/>
    </xf>
    <xf numFmtId="10" fontId="15" fillId="0" borderId="5" xfId="3" applyNumberFormat="1" applyFont="1" applyBorder="1" applyAlignment="1" applyProtection="1">
      <alignment horizontal="center" vertical="center"/>
    </xf>
    <xf numFmtId="10" fontId="12" fillId="2" borderId="5" xfId="3" applyNumberFormat="1" applyFont="1" applyFill="1" applyBorder="1" applyAlignment="1" applyProtection="1">
      <alignment horizontal="center" vertical="center"/>
      <protection locked="0"/>
    </xf>
    <xf numFmtId="2" fontId="12" fillId="2" borderId="5" xfId="6" applyNumberFormat="1" applyFont="1" applyFill="1" applyBorder="1" applyAlignment="1" applyProtection="1">
      <alignment horizontal="center" vertical="center"/>
      <protection locked="0"/>
    </xf>
    <xf numFmtId="0" fontId="12" fillId="0" borderId="18" xfId="6" applyFont="1" applyBorder="1" applyAlignment="1">
      <alignment vertical="center"/>
    </xf>
    <xf numFmtId="0" fontId="12" fillId="0" borderId="42" xfId="6" applyFont="1" applyBorder="1" applyAlignment="1">
      <alignment vertical="center"/>
    </xf>
    <xf numFmtId="166" fontId="12" fillId="0" borderId="21" xfId="1" applyFont="1" applyBorder="1" applyAlignment="1" applyProtection="1">
      <alignment vertical="center"/>
    </xf>
    <xf numFmtId="0" fontId="12" fillId="2" borderId="5" xfId="6" applyFont="1" applyFill="1" applyBorder="1" applyAlignment="1" applyProtection="1">
      <alignment horizontal="center" vertical="center"/>
      <protection locked="0"/>
    </xf>
    <xf numFmtId="0" fontId="12" fillId="0" borderId="41" xfId="6" applyFont="1" applyBorder="1" applyAlignment="1">
      <alignment horizontal="center" vertical="center"/>
    </xf>
    <xf numFmtId="2" fontId="12" fillId="2" borderId="5" xfId="0" applyNumberFormat="1" applyFont="1" applyFill="1" applyBorder="1" applyAlignment="1" applyProtection="1">
      <alignment horizontal="center" vertical="center"/>
      <protection locked="0"/>
    </xf>
    <xf numFmtId="0" fontId="12" fillId="0" borderId="0" xfId="0" applyFont="1" applyAlignment="1">
      <alignment horizontal="left" vertical="center"/>
    </xf>
    <xf numFmtId="4" fontId="24" fillId="0" borderId="5" xfId="0" applyNumberFormat="1" applyFont="1" applyBorder="1" applyAlignment="1">
      <alignment horizontal="center" vertical="center"/>
    </xf>
    <xf numFmtId="10" fontId="12" fillId="2" borderId="5" xfId="19" applyNumberFormat="1" applyFont="1" applyFill="1" applyBorder="1" applyAlignment="1" applyProtection="1">
      <alignment horizontal="center" vertical="center"/>
      <protection locked="0"/>
    </xf>
    <xf numFmtId="166" fontId="12" fillId="0" borderId="0" xfId="1" applyFont="1" applyBorder="1" applyProtection="1"/>
    <xf numFmtId="0" fontId="15" fillId="3" borderId="18" xfId="6" applyFont="1" applyFill="1" applyBorder="1" applyAlignment="1">
      <alignment vertical="center" wrapText="1"/>
    </xf>
    <xf numFmtId="0" fontId="15" fillId="3" borderId="0" xfId="6" applyFont="1" applyFill="1" applyAlignment="1">
      <alignment horizontal="center" vertical="center"/>
    </xf>
    <xf numFmtId="0" fontId="15" fillId="0" borderId="0" xfId="6" applyFont="1" applyAlignment="1">
      <alignment horizontal="center" vertical="center"/>
    </xf>
    <xf numFmtId="10" fontId="21" fillId="0" borderId="5" xfId="6" applyNumberFormat="1" applyFont="1" applyBorder="1" applyAlignment="1">
      <alignment horizontal="center" vertical="center"/>
    </xf>
    <xf numFmtId="0" fontId="21" fillId="0" borderId="5" xfId="6" applyFont="1" applyBorder="1" applyAlignment="1">
      <alignment horizontal="center" vertical="center"/>
    </xf>
    <xf numFmtId="2" fontId="12" fillId="5" borderId="18" xfId="6" applyNumberFormat="1" applyFont="1" applyFill="1" applyBorder="1" applyAlignment="1">
      <alignment vertical="center"/>
    </xf>
    <xf numFmtId="168" fontId="12" fillId="0" borderId="5" xfId="6" applyNumberFormat="1" applyFont="1" applyBorder="1" applyAlignment="1">
      <alignment horizontal="center" vertical="center"/>
    </xf>
    <xf numFmtId="2" fontId="12" fillId="0" borderId="5" xfId="6" applyNumberFormat="1" applyFont="1" applyBorder="1" applyAlignment="1">
      <alignment horizontal="center" vertical="center"/>
    </xf>
    <xf numFmtId="2" fontId="12" fillId="0" borderId="0" xfId="6" applyNumberFormat="1" applyFont="1" applyAlignment="1">
      <alignment horizontal="center" vertical="center"/>
    </xf>
    <xf numFmtId="168" fontId="12" fillId="0" borderId="0" xfId="6" applyNumberFormat="1" applyFont="1" applyAlignment="1">
      <alignment horizontal="center" vertical="center"/>
    </xf>
    <xf numFmtId="0" fontId="12" fillId="0" borderId="0" xfId="6" applyFont="1" applyAlignment="1">
      <alignment horizontal="left"/>
    </xf>
    <xf numFmtId="0" fontId="15" fillId="3" borderId="5" xfId="25" applyNumberFormat="1" applyFont="1" applyFill="1" applyBorder="1" applyAlignment="1" applyProtection="1">
      <alignment horizontal="center" vertical="center" wrapText="1"/>
    </xf>
    <xf numFmtId="0" fontId="25" fillId="3" borderId="5" xfId="25" applyNumberFormat="1" applyFont="1" applyFill="1" applyBorder="1" applyAlignment="1" applyProtection="1">
      <alignment horizontal="center" vertical="center" wrapText="1"/>
    </xf>
    <xf numFmtId="164" fontId="21" fillId="0" borderId="5" xfId="4" applyFont="1" applyBorder="1" applyAlignment="1" applyProtection="1">
      <alignment horizontal="center" vertical="center"/>
    </xf>
    <xf numFmtId="164" fontId="12" fillId="0" borderId="5" xfId="4" applyFont="1" applyBorder="1" applyAlignment="1" applyProtection="1">
      <alignment horizontal="center" vertical="center"/>
    </xf>
    <xf numFmtId="164" fontId="12" fillId="0" borderId="0" xfId="6" applyNumberFormat="1" applyFont="1" applyAlignment="1">
      <alignment horizontal="center"/>
    </xf>
    <xf numFmtId="0" fontId="12" fillId="0" borderId="32" xfId="6" applyFont="1" applyBorder="1"/>
    <xf numFmtId="0" fontId="12" fillId="0" borderId="12" xfId="6" applyFont="1" applyBorder="1"/>
    <xf numFmtId="0" fontId="12" fillId="0" borderId="41" xfId="6" applyFont="1" applyBorder="1"/>
    <xf numFmtId="0" fontId="12" fillId="0" borderId="45" xfId="6" applyFont="1" applyBorder="1"/>
    <xf numFmtId="0" fontId="7" fillId="0" borderId="1" xfId="0" applyFont="1" applyBorder="1"/>
    <xf numFmtId="0" fontId="7" fillId="0" borderId="2" xfId="0" applyFont="1" applyBorder="1" applyAlignment="1">
      <alignment vertical="center"/>
    </xf>
    <xf numFmtId="0" fontId="4" fillId="0" borderId="46" xfId="0" applyFont="1" applyBorder="1" applyAlignment="1">
      <alignment vertical="center"/>
    </xf>
    <xf numFmtId="0" fontId="7" fillId="0" borderId="3" xfId="0" applyFont="1" applyBorder="1"/>
    <xf numFmtId="0" fontId="4" fillId="0" borderId="47" xfId="0" applyFont="1" applyBorder="1" applyAlignment="1">
      <alignment vertical="center"/>
    </xf>
    <xf numFmtId="0" fontId="17" fillId="0" borderId="3" xfId="0" applyFont="1" applyBorder="1"/>
    <xf numFmtId="0" fontId="27" fillId="0" borderId="17" xfId="0" applyFont="1" applyBorder="1" applyAlignment="1">
      <alignment horizontal="center"/>
    </xf>
    <xf numFmtId="0" fontId="27" fillId="0" borderId="5" xfId="0" applyFont="1" applyBorder="1" applyAlignment="1">
      <alignment horizontal="center"/>
    </xf>
    <xf numFmtId="0" fontId="27" fillId="0" borderId="19" xfId="0" applyFont="1" applyBorder="1" applyAlignment="1">
      <alignment horizontal="center"/>
    </xf>
    <xf numFmtId="0" fontId="28" fillId="3" borderId="17" xfId="0" applyFont="1" applyFill="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vertical="center"/>
    </xf>
    <xf numFmtId="10" fontId="12" fillId="2" borderId="19" xfId="7" applyNumberFormat="1" applyFont="1" applyFill="1" applyBorder="1" applyAlignment="1" applyProtection="1">
      <alignment horizontal="center" vertical="center"/>
      <protection locked="0"/>
    </xf>
    <xf numFmtId="10" fontId="12" fillId="0" borderId="19" xfId="7" applyNumberFormat="1" applyFont="1" applyBorder="1" applyAlignment="1">
      <alignment horizontal="center" vertical="center"/>
    </xf>
    <xf numFmtId="2" fontId="0" fillId="0" borderId="0" xfId="0" applyNumberFormat="1"/>
    <xf numFmtId="10" fontId="27" fillId="3" borderId="19" xfId="18" applyNumberFormat="1" applyFont="1" applyFill="1" applyBorder="1" applyAlignment="1" applyProtection="1">
      <alignment horizontal="center" vertical="center"/>
    </xf>
    <xf numFmtId="0" fontId="17" fillId="0" borderId="18" xfId="0" applyFont="1" applyBorder="1" applyAlignment="1">
      <alignment vertical="center"/>
    </xf>
    <xf numFmtId="10" fontId="29" fillId="14" borderId="19" xfId="3" applyNumberFormat="1" applyFont="1" applyFill="1" applyBorder="1" applyAlignment="1" applyProtection="1">
      <alignment horizontal="center" vertical="center"/>
    </xf>
    <xf numFmtId="10" fontId="15" fillId="0" borderId="19" xfId="7" applyNumberFormat="1" applyFont="1" applyBorder="1" applyAlignment="1">
      <alignment horizontal="center" vertical="center"/>
    </xf>
    <xf numFmtId="10" fontId="12" fillId="2" borderId="19" xfId="7" applyNumberFormat="1" applyFont="1" applyFill="1" applyBorder="1" applyAlignment="1">
      <alignment horizontal="center" vertical="center"/>
    </xf>
    <xf numFmtId="10" fontId="0" fillId="0" borderId="14" xfId="0" applyNumberFormat="1" applyBorder="1" applyAlignment="1">
      <alignment horizontal="center" vertical="center"/>
    </xf>
    <xf numFmtId="10" fontId="24" fillId="0" borderId="19" xfId="0" applyNumberFormat="1" applyFont="1" applyBorder="1" applyAlignment="1">
      <alignment horizontal="center" vertical="center"/>
    </xf>
    <xf numFmtId="0" fontId="30" fillId="0" borderId="17" xfId="0" applyFont="1" applyBorder="1" applyAlignment="1">
      <alignment horizontal="center" vertical="center"/>
    </xf>
    <xf numFmtId="0" fontId="30" fillId="0" borderId="5" xfId="0" applyFont="1" applyBorder="1" applyAlignment="1">
      <alignment horizontal="left" vertical="center"/>
    </xf>
    <xf numFmtId="10" fontId="15" fillId="0" borderId="19" xfId="18" applyNumberFormat="1" applyFont="1" applyBorder="1" applyAlignment="1" applyProtection="1">
      <alignment horizontal="center" vertical="center"/>
    </xf>
    <xf numFmtId="0" fontId="5" fillId="15" borderId="17" xfId="5" applyFont="1" applyFill="1" applyBorder="1" applyAlignment="1">
      <alignment horizontal="center" vertical="center" wrapText="1"/>
    </xf>
    <xf numFmtId="0" fontId="5" fillId="15" borderId="5" xfId="5" applyFont="1" applyFill="1" applyBorder="1" applyAlignment="1">
      <alignment horizontal="center" vertical="center" wrapText="1"/>
    </xf>
    <xf numFmtId="0" fontId="16" fillId="15" borderId="19" xfId="5" applyFont="1" applyFill="1" applyBorder="1" applyAlignment="1">
      <alignment horizontal="center" vertical="center" wrapText="1"/>
    </xf>
    <xf numFmtId="10" fontId="5" fillId="15" borderId="5" xfId="5" applyNumberFormat="1" applyFont="1" applyFill="1" applyBorder="1" applyAlignment="1">
      <alignment horizontal="center" vertical="center"/>
    </xf>
    <xf numFmtId="10" fontId="18" fillId="15" borderId="19" xfId="5" applyNumberFormat="1" applyFont="1" applyFill="1" applyBorder="1" applyAlignment="1">
      <alignment horizontal="center" vertical="center"/>
    </xf>
    <xf numFmtId="0" fontId="17" fillId="0" borderId="17" xfId="5" applyFont="1" applyBorder="1" applyAlignment="1">
      <alignment horizontal="center" vertical="center" wrapText="1"/>
    </xf>
    <xf numFmtId="10" fontId="17" fillId="0" borderId="5" xfId="5" applyNumberFormat="1" applyFont="1" applyBorder="1" applyAlignment="1">
      <alignment horizontal="center" vertical="center"/>
    </xf>
    <xf numFmtId="10" fontId="17" fillId="0" borderId="19" xfId="5" applyNumberFormat="1" applyFont="1" applyBorder="1" applyAlignment="1">
      <alignment horizontal="center" vertical="center"/>
    </xf>
    <xf numFmtId="0" fontId="30" fillId="15" borderId="17" xfId="5" applyFont="1" applyFill="1" applyBorder="1" applyAlignment="1">
      <alignment horizontal="center" vertical="center" wrapText="1"/>
    </xf>
    <xf numFmtId="10" fontId="30" fillId="15" borderId="5" xfId="5" applyNumberFormat="1" applyFont="1" applyFill="1" applyBorder="1" applyAlignment="1">
      <alignment horizontal="center" vertical="center"/>
    </xf>
    <xf numFmtId="10" fontId="30" fillId="15" borderId="19" xfId="5" applyNumberFormat="1" applyFont="1" applyFill="1" applyBorder="1" applyAlignment="1">
      <alignment horizontal="center" vertical="center"/>
    </xf>
    <xf numFmtId="0" fontId="30" fillId="0" borderId="17" xfId="5" applyFont="1" applyBorder="1" applyAlignment="1">
      <alignment horizontal="center" vertical="center" wrapText="1"/>
    </xf>
    <xf numFmtId="10" fontId="30" fillId="0" borderId="5" xfId="5" applyNumberFormat="1" applyFont="1" applyBorder="1" applyAlignment="1">
      <alignment horizontal="center" vertical="center"/>
    </xf>
    <xf numFmtId="10" fontId="32" fillId="0" borderId="19" xfId="5" applyNumberFormat="1" applyFont="1" applyBorder="1" applyAlignment="1">
      <alignment horizontal="center" vertical="center"/>
    </xf>
    <xf numFmtId="0" fontId="33" fillId="14" borderId="3" xfId="0" applyFont="1" applyFill="1" applyBorder="1" applyAlignment="1">
      <alignment horizontal="left" vertical="center"/>
    </xf>
    <xf numFmtId="0" fontId="33" fillId="14" borderId="0" xfId="0" applyFont="1" applyFill="1"/>
    <xf numFmtId="0" fontId="29" fillId="14" borderId="47" xfId="0" applyFont="1" applyFill="1" applyBorder="1"/>
    <xf numFmtId="10" fontId="17" fillId="0" borderId="5" xfId="5" applyNumberFormat="1" applyFont="1" applyBorder="1" applyAlignment="1">
      <alignment horizontal="center" vertical="center" wrapText="1"/>
    </xf>
    <xf numFmtId="10" fontId="17" fillId="0" borderId="19" xfId="5" applyNumberFormat="1" applyFont="1" applyBorder="1" applyAlignment="1">
      <alignment horizontal="center" vertical="center" wrapText="1"/>
    </xf>
    <xf numFmtId="0" fontId="30" fillId="15" borderId="22" xfId="5" applyFont="1" applyFill="1" applyBorder="1" applyAlignment="1">
      <alignment horizontal="center" vertical="center" wrapText="1"/>
    </xf>
    <xf numFmtId="10" fontId="30" fillId="15" borderId="28" xfId="5" applyNumberFormat="1" applyFont="1" applyFill="1" applyBorder="1" applyAlignment="1">
      <alignment horizontal="center" vertical="center"/>
    </xf>
    <xf numFmtId="10" fontId="32" fillId="15" borderId="29" xfId="5" applyNumberFormat="1" applyFont="1" applyFill="1" applyBorder="1" applyAlignment="1">
      <alignment horizontal="center" vertical="center"/>
    </xf>
    <xf numFmtId="0" fontId="9" fillId="0" borderId="2" xfId="9" applyFont="1" applyBorder="1" applyAlignment="1">
      <alignment horizontal="center"/>
    </xf>
    <xf numFmtId="0" fontId="9" fillId="0" borderId="2" xfId="9" applyFont="1" applyBorder="1"/>
    <xf numFmtId="0" fontId="9" fillId="0" borderId="46" xfId="9" applyFont="1" applyBorder="1"/>
    <xf numFmtId="0" fontId="7" fillId="0" borderId="3" xfId="0" applyFont="1" applyBorder="1" applyAlignment="1">
      <alignment vertical="center"/>
    </xf>
    <xf numFmtId="0" fontId="9" fillId="0" borderId="0" xfId="9" applyFont="1" applyAlignment="1">
      <alignment horizontal="center" vertical="center"/>
    </xf>
    <xf numFmtId="0" fontId="9" fillId="0" borderId="0" xfId="9" applyFont="1" applyAlignment="1">
      <alignment vertical="center"/>
    </xf>
    <xf numFmtId="0" fontId="9" fillId="0" borderId="47" xfId="9" applyFont="1" applyBorder="1" applyAlignment="1">
      <alignment vertical="center"/>
    </xf>
    <xf numFmtId="0" fontId="7" fillId="0" borderId="0" xfId="0" applyFont="1" applyAlignment="1">
      <alignment vertical="top"/>
    </xf>
    <xf numFmtId="0" fontId="9" fillId="0" borderId="0" xfId="9" applyFont="1" applyAlignment="1">
      <alignment horizontal="center"/>
    </xf>
    <xf numFmtId="0" fontId="9" fillId="0" borderId="0" xfId="9" applyFont="1"/>
    <xf numFmtId="0" fontId="9" fillId="0" borderId="47" xfId="9" applyFont="1" applyBorder="1"/>
    <xf numFmtId="0" fontId="8" fillId="0" borderId="3" xfId="9" applyFont="1" applyBorder="1" applyAlignment="1">
      <alignment horizontal="center" vertical="center"/>
    </xf>
    <xf numFmtId="0" fontId="8" fillId="0" borderId="0" xfId="9" applyFont="1" applyAlignment="1">
      <alignment horizontal="center" vertical="center"/>
    </xf>
    <xf numFmtId="9" fontId="34" fillId="0" borderId="47" xfId="9" applyNumberFormat="1" applyFont="1" applyBorder="1" applyAlignment="1">
      <alignment horizontal="center" vertical="center"/>
    </xf>
    <xf numFmtId="0" fontId="10" fillId="3" borderId="50" xfId="9" applyFont="1" applyFill="1" applyBorder="1" applyAlignment="1">
      <alignment horizontal="center" vertical="center" wrapText="1"/>
    </xf>
    <xf numFmtId="0" fontId="10" fillId="3" borderId="38" xfId="9" applyFont="1" applyFill="1" applyBorder="1" applyAlignment="1">
      <alignment horizontal="center" vertical="center" wrapText="1"/>
    </xf>
    <xf numFmtId="4" fontId="10" fillId="3" borderId="38" xfId="9" applyNumberFormat="1" applyFont="1" applyFill="1" applyBorder="1" applyAlignment="1">
      <alignment horizontal="center" vertical="center" wrapText="1"/>
    </xf>
    <xf numFmtId="170" fontId="35" fillId="0" borderId="11" xfId="28" applyNumberFormat="1" applyFont="1" applyBorder="1" applyAlignment="1" applyProtection="1">
      <alignment horizontal="center" vertical="center"/>
    </xf>
    <xf numFmtId="4" fontId="5" fillId="2" borderId="12" xfId="1" applyNumberFormat="1" applyFont="1" applyFill="1" applyBorder="1" applyAlignment="1" applyProtection="1">
      <alignment horizontal="center" vertical="center"/>
      <protection locked="0"/>
    </xf>
    <xf numFmtId="4" fontId="5" fillId="0" borderId="12" xfId="1" applyNumberFormat="1" applyFont="1" applyBorder="1" applyAlignment="1" applyProtection="1">
      <alignment horizontal="center" vertical="center"/>
    </xf>
    <xf numFmtId="170" fontId="35" fillId="0" borderId="17" xfId="28" applyNumberFormat="1" applyFont="1" applyBorder="1" applyAlignment="1" applyProtection="1">
      <alignment horizontal="center" vertical="center"/>
    </xf>
    <xf numFmtId="0" fontId="17" fillId="6" borderId="5" xfId="0" applyFont="1" applyFill="1" applyBorder="1" applyAlignment="1">
      <alignment horizontal="justify" wrapText="1"/>
    </xf>
    <xf numFmtId="4" fontId="5" fillId="2" borderId="5" xfId="1" applyNumberFormat="1" applyFont="1" applyFill="1" applyBorder="1" applyAlignment="1" applyProtection="1">
      <alignment horizontal="center" vertical="center"/>
      <protection locked="0"/>
    </xf>
    <xf numFmtId="4" fontId="5" fillId="0" borderId="5" xfId="1" applyNumberFormat="1" applyFont="1" applyBorder="1" applyAlignment="1" applyProtection="1">
      <alignment horizontal="center" vertical="center"/>
    </xf>
    <xf numFmtId="4" fontId="5" fillId="0" borderId="19" xfId="1" applyNumberFormat="1" applyFont="1" applyBorder="1" applyAlignment="1" applyProtection="1">
      <alignment horizontal="center" vertical="center"/>
    </xf>
    <xf numFmtId="0" fontId="38" fillId="6" borderId="11" xfId="0" applyFont="1" applyFill="1" applyBorder="1" applyAlignment="1">
      <alignment horizontal="center" vertical="center"/>
    </xf>
    <xf numFmtId="0" fontId="17" fillId="6" borderId="12" xfId="0" applyFont="1" applyFill="1" applyBorder="1" applyAlignment="1">
      <alignment vertical="center" wrapText="1"/>
    </xf>
    <xf numFmtId="0" fontId="12" fillId="6" borderId="12" xfId="0" applyFont="1" applyFill="1" applyBorder="1" applyAlignment="1">
      <alignment horizontal="center" vertical="center"/>
    </xf>
    <xf numFmtId="0" fontId="12" fillId="6" borderId="5" xfId="0" applyFont="1" applyFill="1" applyBorder="1" applyAlignment="1">
      <alignment horizontal="center" vertical="center"/>
    </xf>
    <xf numFmtId="0" fontId="17" fillId="0" borderId="0" xfId="15" applyFont="1"/>
    <xf numFmtId="0" fontId="10" fillId="0" borderId="0" xfId="15" applyFont="1"/>
    <xf numFmtId="0" fontId="5" fillId="0" borderId="1" xfId="9" applyFont="1" applyBorder="1"/>
    <xf numFmtId="0" fontId="17" fillId="0" borderId="2" xfId="15" applyFont="1" applyBorder="1"/>
    <xf numFmtId="0" fontId="5" fillId="0" borderId="2" xfId="15" applyFont="1" applyBorder="1"/>
    <xf numFmtId="0" fontId="10" fillId="0" borderId="2" xfId="15" applyFont="1" applyBorder="1"/>
    <xf numFmtId="0" fontId="5" fillId="0" borderId="46" xfId="15" applyFont="1" applyBorder="1"/>
    <xf numFmtId="0" fontId="5" fillId="0" borderId="3" xfId="9" applyFont="1" applyBorder="1"/>
    <xf numFmtId="0" fontId="5" fillId="0" borderId="47" xfId="15" applyFont="1" applyBorder="1"/>
    <xf numFmtId="0" fontId="23" fillId="0" borderId="0" xfId="9" applyFont="1" applyAlignment="1">
      <alignment horizontal="center" vertical="center"/>
    </xf>
    <xf numFmtId="0" fontId="12" fillId="0" borderId="0" xfId="15" applyFont="1"/>
    <xf numFmtId="0" fontId="15" fillId="0" borderId="0" xfId="15" applyFont="1" applyAlignment="1">
      <alignment horizontal="center" vertical="center"/>
    </xf>
    <xf numFmtId="0" fontId="10" fillId="3" borderId="5" xfId="15" applyFont="1" applyFill="1" applyBorder="1" applyAlignment="1">
      <alignment horizontal="center" vertical="center" wrapText="1"/>
    </xf>
    <xf numFmtId="0" fontId="10" fillId="3" borderId="5" xfId="15" applyFont="1" applyFill="1" applyBorder="1" applyAlignment="1">
      <alignment horizontal="center" vertical="center"/>
    </xf>
    <xf numFmtId="0" fontId="30" fillId="3" borderId="5" xfId="15" applyFont="1" applyFill="1" applyBorder="1" applyAlignment="1">
      <alignment horizontal="center" vertical="center" wrapText="1"/>
    </xf>
    <xf numFmtId="0" fontId="10" fillId="16" borderId="12" xfId="15" applyFont="1" applyFill="1" applyBorder="1" applyAlignment="1">
      <alignment horizontal="center" vertical="center" wrapText="1"/>
    </xf>
    <xf numFmtId="0" fontId="10" fillId="16" borderId="13" xfId="15" applyFont="1" applyFill="1" applyBorder="1" applyAlignment="1">
      <alignment horizontal="center" vertical="center" wrapText="1"/>
    </xf>
    <xf numFmtId="0" fontId="16" fillId="9" borderId="17" xfId="25" applyNumberFormat="1" applyFont="1" applyFill="1" applyBorder="1" applyAlignment="1" applyProtection="1">
      <alignment horizontal="center" vertical="center" wrapText="1"/>
    </xf>
    <xf numFmtId="0" fontId="17"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0" fontId="5" fillId="6" borderId="5" xfId="0" applyFont="1" applyFill="1" applyBorder="1" applyAlignment="1">
      <alignment horizontal="center" vertical="center" wrapText="1"/>
    </xf>
    <xf numFmtId="2" fontId="5" fillId="2" borderId="5" xfId="11" applyNumberFormat="1" applyFont="1" applyFill="1" applyBorder="1" applyAlignment="1" applyProtection="1">
      <alignment horizontal="center" vertical="center"/>
      <protection locked="0"/>
    </xf>
    <xf numFmtId="0" fontId="5" fillId="2" borderId="19" xfId="15" applyFont="1" applyFill="1" applyBorder="1" applyAlignment="1" applyProtection="1">
      <alignment vertical="center"/>
      <protection locked="0"/>
    </xf>
    <xf numFmtId="4" fontId="5" fillId="0" borderId="5" xfId="20" applyNumberFormat="1" applyFont="1" applyBorder="1" applyAlignment="1" applyProtection="1">
      <alignment horizontal="center" vertical="center"/>
    </xf>
    <xf numFmtId="164" fontId="48" fillId="0" borderId="17" xfId="2" applyBorder="1" applyProtection="1">
      <protection locked="0"/>
    </xf>
    <xf numFmtId="164" fontId="5" fillId="0" borderId="5" xfId="4" applyFont="1" applyBorder="1" applyAlignment="1" applyProtection="1">
      <alignment horizontal="center" vertical="center"/>
    </xf>
    <xf numFmtId="164" fontId="5" fillId="0" borderId="19" xfId="4" applyFont="1" applyBorder="1" applyAlignment="1" applyProtection="1">
      <alignment horizontal="center" vertical="center"/>
    </xf>
    <xf numFmtId="2" fontId="37" fillId="2" borderId="5" xfId="11" applyNumberFormat="1" applyFont="1" applyFill="1" applyBorder="1" applyAlignment="1" applyProtection="1">
      <alignment horizontal="center" vertical="center"/>
      <protection locked="0"/>
    </xf>
    <xf numFmtId="0" fontId="17" fillId="6" borderId="5" xfId="29" applyFont="1" applyFill="1" applyBorder="1" applyAlignment="1" applyProtection="1">
      <alignment horizontal="justify" wrapText="1"/>
    </xf>
    <xf numFmtId="0" fontId="10" fillId="6" borderId="5" xfId="29" applyFont="1" applyFill="1" applyBorder="1" applyAlignment="1" applyProtection="1">
      <alignment horizontal="center" vertical="center"/>
    </xf>
    <xf numFmtId="2" fontId="37" fillId="2" borderId="36" xfId="11" applyNumberFormat="1" applyFont="1" applyFill="1" applyBorder="1" applyAlignment="1" applyProtection="1">
      <alignment horizontal="center" vertical="center"/>
      <protection locked="0"/>
    </xf>
    <xf numFmtId="164" fontId="48" fillId="0" borderId="35" xfId="2" applyBorder="1" applyProtection="1">
      <protection locked="0"/>
    </xf>
    <xf numFmtId="2" fontId="5" fillId="2" borderId="36" xfId="11" applyNumberFormat="1" applyFont="1" applyFill="1" applyBorder="1" applyAlignment="1" applyProtection="1">
      <alignment horizontal="center" vertical="center"/>
      <protection locked="0"/>
    </xf>
    <xf numFmtId="0" fontId="5" fillId="2" borderId="52" xfId="15" applyFont="1" applyFill="1" applyBorder="1" applyAlignment="1" applyProtection="1">
      <alignment vertical="center"/>
      <protection locked="0"/>
    </xf>
    <xf numFmtId="0" fontId="17" fillId="6" borderId="5" xfId="0" applyFont="1" applyFill="1" applyBorder="1" applyAlignment="1">
      <alignment horizontal="justify" vertical="center" wrapText="1"/>
    </xf>
    <xf numFmtId="165" fontId="10" fillId="3" borderId="29" xfId="15" applyNumberFormat="1" applyFont="1" applyFill="1" applyBorder="1" applyAlignment="1">
      <alignment vertical="center"/>
    </xf>
    <xf numFmtId="0" fontId="10" fillId="17" borderId="5" xfId="15" applyFont="1" applyFill="1" applyBorder="1" applyAlignment="1">
      <alignment horizontal="center" vertical="center"/>
    </xf>
    <xf numFmtId="4" fontId="8" fillId="17" borderId="5" xfId="15" applyNumberFormat="1" applyFont="1" applyFill="1" applyBorder="1" applyAlignment="1">
      <alignment horizontal="center" vertical="center"/>
    </xf>
    <xf numFmtId="0" fontId="5" fillId="0" borderId="3" xfId="15" applyFont="1" applyBorder="1" applyAlignment="1">
      <alignment horizontal="center" vertical="center"/>
    </xf>
    <xf numFmtId="0" fontId="0" fillId="0" borderId="47" xfId="0" applyBorder="1"/>
    <xf numFmtId="0" fontId="10" fillId="0" borderId="3" xfId="15" applyFont="1" applyBorder="1" applyAlignment="1">
      <alignment horizontal="center" vertical="center"/>
    </xf>
    <xf numFmtId="0" fontId="30" fillId="0" borderId="0" xfId="15" applyFont="1" applyAlignment="1">
      <alignment horizontal="center" vertical="center"/>
    </xf>
    <xf numFmtId="0" fontId="10" fillId="0" borderId="47" xfId="15" applyFont="1" applyBorder="1" applyAlignment="1">
      <alignment horizontal="center" vertical="center"/>
    </xf>
    <xf numFmtId="0" fontId="30" fillId="16" borderId="12" xfId="15" applyFont="1" applyFill="1" applyBorder="1" applyAlignment="1">
      <alignment horizontal="center" vertical="center" wrapText="1"/>
    </xf>
    <xf numFmtId="0" fontId="17" fillId="6" borderId="5" xfId="29" applyFont="1" applyFill="1" applyBorder="1" applyAlignment="1" applyProtection="1">
      <alignment vertical="center" wrapText="1"/>
    </xf>
    <xf numFmtId="0" fontId="17" fillId="6" borderId="5" xfId="29" applyFont="1" applyFill="1" applyBorder="1" applyAlignment="1" applyProtection="1">
      <alignment horizontal="center" vertical="center"/>
    </xf>
    <xf numFmtId="1" fontId="10" fillId="0" borderId="5" xfId="14" applyNumberFormat="1" applyFont="1" applyBorder="1" applyAlignment="1">
      <alignment horizontal="center" vertical="center"/>
    </xf>
    <xf numFmtId="0" fontId="10" fillId="2" borderId="19" xfId="15" applyFont="1" applyFill="1" applyBorder="1" applyAlignment="1" applyProtection="1">
      <alignment horizontal="center" vertical="center"/>
      <protection locked="0"/>
    </xf>
    <xf numFmtId="164" fontId="48" fillId="0" borderId="5" xfId="2" applyBorder="1" applyProtection="1">
      <protection locked="0"/>
    </xf>
    <xf numFmtId="0" fontId="10" fillId="17" borderId="5" xfId="15" applyFont="1" applyFill="1" applyBorder="1" applyAlignment="1">
      <alignment horizontal="center"/>
    </xf>
    <xf numFmtId="4" fontId="10" fillId="17" borderId="5" xfId="15" applyNumberFormat="1" applyFont="1" applyFill="1" applyBorder="1" applyAlignment="1">
      <alignment horizontal="center"/>
    </xf>
    <xf numFmtId="164" fontId="5" fillId="0" borderId="28" xfId="4" applyFont="1" applyBorder="1" applyAlignment="1" applyProtection="1">
      <alignment horizontal="center" vertical="center"/>
    </xf>
    <xf numFmtId="164" fontId="5" fillId="0" borderId="29" xfId="4" applyFont="1" applyBorder="1" applyAlignment="1" applyProtection="1">
      <alignment horizontal="center" vertical="center"/>
    </xf>
    <xf numFmtId="164" fontId="48" fillId="0" borderId="22" xfId="2" applyBorder="1" applyProtection="1">
      <protection locked="0"/>
    </xf>
    <xf numFmtId="0" fontId="12" fillId="0" borderId="0" xfId="9" applyFont="1" applyAlignment="1">
      <alignment horizontal="center" vertical="center"/>
    </xf>
    <xf numFmtId="0" fontId="12" fillId="0" borderId="0" xfId="9" applyFont="1" applyAlignment="1">
      <alignment horizontal="center"/>
    </xf>
    <xf numFmtId="1" fontId="12" fillId="0" borderId="0" xfId="9" applyNumberFormat="1" applyFont="1" applyAlignment="1">
      <alignment horizontal="center" vertical="center"/>
    </xf>
    <xf numFmtId="0" fontId="12" fillId="0" borderId="0" xfId="9" applyFont="1" applyAlignment="1">
      <alignment horizontal="justify"/>
    </xf>
    <xf numFmtId="0" fontId="12" fillId="0" borderId="0" xfId="9" applyFont="1"/>
    <xf numFmtId="1" fontId="12" fillId="0" borderId="0" xfId="9" applyNumberFormat="1" applyFont="1" applyAlignment="1">
      <alignment horizontal="center"/>
    </xf>
    <xf numFmtId="2" fontId="12" fillId="0" borderId="0" xfId="9" applyNumberFormat="1" applyFont="1" applyAlignment="1">
      <alignment horizontal="center"/>
    </xf>
    <xf numFmtId="4" fontId="12" fillId="0" borderId="0" xfId="9" applyNumberFormat="1" applyFont="1" applyAlignment="1">
      <alignment horizontal="center"/>
    </xf>
    <xf numFmtId="0" fontId="0" fillId="0" borderId="0" xfId="0" applyAlignment="1">
      <alignment horizontal="center"/>
    </xf>
    <xf numFmtId="0" fontId="6" fillId="0" borderId="53" xfId="9" applyFont="1" applyBorder="1" applyAlignment="1">
      <alignment horizontal="left"/>
    </xf>
    <xf numFmtId="0" fontId="6" fillId="0" borderId="30" xfId="9" applyFont="1" applyBorder="1" applyAlignment="1">
      <alignment horizontal="left"/>
    </xf>
    <xf numFmtId="1" fontId="6" fillId="0" borderId="30" xfId="9" applyNumberFormat="1" applyFont="1" applyBorder="1" applyAlignment="1">
      <alignment horizontal="center"/>
    </xf>
    <xf numFmtId="0" fontId="6" fillId="0" borderId="30" xfId="9" applyFont="1" applyBorder="1" applyAlignment="1">
      <alignment horizontal="justify"/>
    </xf>
    <xf numFmtId="0" fontId="12" fillId="0" borderId="30" xfId="9" applyFont="1" applyBorder="1"/>
    <xf numFmtId="1" fontId="12" fillId="0" borderId="30" xfId="9" applyNumberFormat="1" applyFont="1" applyBorder="1" applyAlignment="1">
      <alignment horizontal="center"/>
    </xf>
    <xf numFmtId="2" fontId="12" fillId="0" borderId="30" xfId="9" applyNumberFormat="1" applyFont="1" applyBorder="1" applyAlignment="1">
      <alignment horizontal="center"/>
    </xf>
    <xf numFmtId="0" fontId="6" fillId="0" borderId="3" xfId="9" applyFont="1" applyBorder="1" applyAlignment="1">
      <alignment horizontal="left" vertical="center"/>
    </xf>
    <xf numFmtId="0" fontId="6" fillId="0" borderId="0" xfId="9" applyFont="1" applyAlignment="1">
      <alignment horizontal="left" vertical="center"/>
    </xf>
    <xf numFmtId="1" fontId="6" fillId="0" borderId="0" xfId="9" applyNumberFormat="1" applyFont="1" applyAlignment="1">
      <alignment horizontal="center" vertical="center"/>
    </xf>
    <xf numFmtId="0" fontId="6" fillId="0" borderId="0" xfId="9" applyFont="1" applyAlignment="1">
      <alignment horizontal="justify" vertical="center"/>
    </xf>
    <xf numFmtId="0" fontId="12" fillId="0" borderId="0" xfId="9" applyFont="1" applyAlignment="1">
      <alignment vertical="center"/>
    </xf>
    <xf numFmtId="2" fontId="12" fillId="0" borderId="0" xfId="9" applyNumberFormat="1" applyFont="1" applyAlignment="1">
      <alignment horizontal="center" vertical="center"/>
    </xf>
    <xf numFmtId="4" fontId="12" fillId="0" borderId="0" xfId="9" applyNumberFormat="1" applyFont="1" applyAlignment="1">
      <alignment horizontal="center" vertical="center"/>
    </xf>
    <xf numFmtId="0" fontId="6" fillId="0" borderId="3" xfId="9" applyFont="1" applyBorder="1" applyAlignment="1">
      <alignment horizontal="left" vertical="top"/>
    </xf>
    <xf numFmtId="0" fontId="6" fillId="0" borderId="0" xfId="9" applyFont="1" applyAlignment="1">
      <alignment horizontal="left" vertical="top"/>
    </xf>
    <xf numFmtId="1" fontId="6" fillId="0" borderId="0" xfId="9" applyNumberFormat="1" applyFont="1" applyAlignment="1">
      <alignment horizontal="center" vertical="top"/>
    </xf>
    <xf numFmtId="0" fontId="6" fillId="0" borderId="0" xfId="9" applyFont="1" applyAlignment="1">
      <alignment horizontal="justify" vertical="top"/>
    </xf>
    <xf numFmtId="0" fontId="12" fillId="0" borderId="0" xfId="9" applyFont="1" applyAlignment="1">
      <alignment vertical="top"/>
    </xf>
    <xf numFmtId="1" fontId="12" fillId="0" borderId="0" xfId="9" applyNumberFormat="1" applyFont="1" applyAlignment="1">
      <alignment horizontal="center" vertical="top"/>
    </xf>
    <xf numFmtId="2" fontId="12" fillId="0" borderId="0" xfId="9" applyNumberFormat="1" applyFont="1" applyAlignment="1">
      <alignment horizontal="center" vertical="top"/>
    </xf>
    <xf numFmtId="4" fontId="12" fillId="0" borderId="0" xfId="9" applyNumberFormat="1" applyFont="1" applyAlignment="1">
      <alignment horizontal="center" vertical="top"/>
    </xf>
    <xf numFmtId="0" fontId="5" fillId="0" borderId="0" xfId="9" applyFont="1" applyAlignment="1">
      <alignment horizontal="left" vertical="center"/>
    </xf>
    <xf numFmtId="0" fontId="12" fillId="0" borderId="3" xfId="9" applyFont="1" applyBorder="1" applyAlignment="1">
      <alignment horizontal="center" vertical="center"/>
    </xf>
    <xf numFmtId="0" fontId="12" fillId="0" borderId="0" xfId="9" applyFont="1" applyAlignment="1">
      <alignment horizontal="left" vertical="center"/>
    </xf>
    <xf numFmtId="0" fontId="30" fillId="0" borderId="31" xfId="9" applyFont="1" applyBorder="1" applyAlignment="1">
      <alignment horizontal="center" vertical="center"/>
    </xf>
    <xf numFmtId="0" fontId="30" fillId="0" borderId="32" xfId="9" applyFont="1" applyBorder="1" applyAlignment="1">
      <alignment horizontal="center" vertical="center"/>
    </xf>
    <xf numFmtId="1" fontId="30" fillId="0" borderId="32" xfId="9" applyNumberFormat="1" applyFont="1" applyBorder="1" applyAlignment="1">
      <alignment horizontal="center" vertical="center"/>
    </xf>
    <xf numFmtId="0" fontId="30" fillId="0" borderId="32" xfId="9" applyFont="1" applyBorder="1" applyAlignment="1">
      <alignment horizontal="center" vertical="center" wrapText="1"/>
    </xf>
    <xf numFmtId="1" fontId="30" fillId="0" borderId="32" xfId="9" applyNumberFormat="1" applyFont="1" applyBorder="1" applyAlignment="1">
      <alignment horizontal="center" vertical="center" wrapText="1"/>
    </xf>
    <xf numFmtId="2" fontId="30" fillId="0" borderId="32" xfId="9" applyNumberFormat="1" applyFont="1" applyBorder="1" applyAlignment="1">
      <alignment horizontal="center" vertical="center" wrapText="1"/>
    </xf>
    <xf numFmtId="4" fontId="30" fillId="0" borderId="33" xfId="9" applyNumberFormat="1" applyFont="1" applyBorder="1" applyAlignment="1">
      <alignment horizontal="center" vertical="center"/>
    </xf>
    <xf numFmtId="170" fontId="5" fillId="6" borderId="5" xfId="1" applyNumberFormat="1" applyFont="1" applyFill="1" applyBorder="1" applyAlignment="1" applyProtection="1">
      <alignment vertical="center"/>
    </xf>
    <xf numFmtId="0" fontId="17" fillId="6" borderId="0" xfId="0" applyFont="1" applyFill="1" applyAlignment="1">
      <alignment horizontal="justify" wrapText="1"/>
    </xf>
    <xf numFmtId="0" fontId="17" fillId="6" borderId="5" xfId="29" applyFont="1" applyFill="1" applyBorder="1" applyAlignment="1" applyProtection="1">
      <alignment horizontal="center" vertical="center" wrapText="1"/>
    </xf>
    <xf numFmtId="1" fontId="5" fillId="0" borderId="5" xfId="1" applyNumberFormat="1" applyFont="1" applyBorder="1" applyAlignment="1" applyProtection="1">
      <alignment horizontal="center" vertical="center"/>
    </xf>
    <xf numFmtId="2" fontId="5" fillId="2" borderId="5" xfId="1" applyNumberFormat="1" applyFont="1" applyFill="1" applyBorder="1" applyAlignment="1" applyProtection="1">
      <alignment horizontal="center" vertical="center"/>
      <protection locked="0"/>
    </xf>
    <xf numFmtId="164" fontId="41" fillId="0" borderId="5" xfId="4" applyFont="1" applyBorder="1" applyAlignment="1" applyProtection="1">
      <alignment horizontal="center" vertical="center"/>
    </xf>
    <xf numFmtId="0" fontId="5" fillId="0" borderId="17" xfId="9" applyFont="1" applyBorder="1" applyAlignment="1">
      <alignment horizontal="center" vertical="center" wrapText="1"/>
    </xf>
    <xf numFmtId="4" fontId="10" fillId="0" borderId="19" xfId="1" applyNumberFormat="1" applyFont="1" applyBorder="1" applyAlignment="1" applyProtection="1">
      <alignment horizontal="center" vertical="center"/>
    </xf>
    <xf numFmtId="2" fontId="8" fillId="3" borderId="55" xfId="9" applyNumberFormat="1" applyFont="1" applyFill="1" applyBorder="1" applyAlignment="1">
      <alignment horizontal="center" vertical="center"/>
    </xf>
    <xf numFmtId="4" fontId="8" fillId="3" borderId="25" xfId="1" applyNumberFormat="1" applyFont="1" applyFill="1" applyBorder="1" applyAlignment="1" applyProtection="1">
      <alignment horizontal="center" vertical="center"/>
    </xf>
    <xf numFmtId="0" fontId="5" fillId="0" borderId="3" xfId="9" applyFont="1" applyBorder="1" applyAlignment="1">
      <alignment horizontal="center" vertical="center"/>
    </xf>
    <xf numFmtId="1" fontId="5" fillId="0" borderId="0" xfId="1" applyNumberFormat="1" applyFont="1" applyBorder="1" applyAlignment="1" applyProtection="1">
      <alignment horizontal="center" vertical="center"/>
    </xf>
    <xf numFmtId="0" fontId="5" fillId="0" borderId="0" xfId="9" applyFont="1" applyAlignment="1">
      <alignment horizontal="justify"/>
    </xf>
    <xf numFmtId="0" fontId="5" fillId="0" borderId="0" xfId="9" applyFont="1" applyAlignment="1">
      <alignment vertical="center"/>
    </xf>
    <xf numFmtId="2" fontId="5" fillId="0" borderId="0" xfId="1" applyNumberFormat="1" applyFont="1" applyBorder="1" applyAlignment="1" applyProtection="1">
      <alignment horizontal="center" vertical="center"/>
    </xf>
    <xf numFmtId="4" fontId="5" fillId="0" borderId="0" xfId="1" applyNumberFormat="1" applyFont="1" applyBorder="1" applyAlignment="1" applyProtection="1">
      <alignment horizontal="center" vertical="center"/>
    </xf>
    <xf numFmtId="0" fontId="40" fillId="9" borderId="44" xfId="25" applyNumberFormat="1" applyFont="1" applyFill="1" applyBorder="1" applyAlignment="1" applyProtection="1">
      <alignment horizontal="center" vertical="center" wrapText="1"/>
    </xf>
    <xf numFmtId="0" fontId="10" fillId="9" borderId="44" xfId="25" applyNumberFormat="1" applyFont="1" applyFill="1" applyBorder="1" applyAlignment="1" applyProtection="1">
      <alignment horizontal="center" vertical="center" wrapText="1"/>
    </xf>
    <xf numFmtId="170" fontId="5" fillId="6" borderId="5" xfId="1" applyNumberFormat="1" applyFont="1" applyFill="1" applyBorder="1" applyAlignment="1" applyProtection="1">
      <alignment horizontal="center" vertical="center"/>
    </xf>
    <xf numFmtId="1" fontId="10" fillId="0" borderId="5" xfId="9" applyNumberFormat="1" applyFont="1" applyBorder="1" applyAlignment="1">
      <alignment horizontal="center" vertical="center"/>
    </xf>
    <xf numFmtId="2" fontId="5" fillId="2" borderId="5" xfId="0" applyNumberFormat="1" applyFont="1" applyFill="1" applyBorder="1" applyAlignment="1" applyProtection="1">
      <alignment horizontal="center" vertical="center"/>
      <protection locked="0"/>
    </xf>
    <xf numFmtId="0" fontId="5" fillId="6" borderId="5" xfId="29" applyFont="1" applyFill="1" applyBorder="1" applyAlignment="1" applyProtection="1">
      <alignment horizontal="center" vertical="center" wrapText="1"/>
    </xf>
    <xf numFmtId="2" fontId="5" fillId="2" borderId="12" xfId="0" applyNumberFormat="1" applyFont="1" applyFill="1" applyBorder="1" applyAlignment="1" applyProtection="1">
      <alignment horizontal="center" vertical="center"/>
      <protection locked="0"/>
    </xf>
    <xf numFmtId="4" fontId="10" fillId="0" borderId="29" xfId="1" applyNumberFormat="1" applyFont="1" applyBorder="1" applyAlignment="1" applyProtection="1">
      <alignment horizontal="center" vertical="center"/>
    </xf>
    <xf numFmtId="0" fontId="8" fillId="0" borderId="0" xfId="9" applyFont="1" applyAlignment="1">
      <alignment horizontal="left" vertical="center"/>
    </xf>
    <xf numFmtId="1" fontId="8" fillId="0" borderId="0" xfId="9" applyNumberFormat="1" applyFont="1" applyAlignment="1">
      <alignment horizontal="center" vertical="center"/>
    </xf>
    <xf numFmtId="0" fontId="8" fillId="0" borderId="0" xfId="9" applyFont="1" applyAlignment="1">
      <alignment horizontal="justify"/>
    </xf>
    <xf numFmtId="2" fontId="8" fillId="0" borderId="0" xfId="9" applyNumberFormat="1" applyFont="1" applyAlignment="1">
      <alignment horizontal="center" vertical="center"/>
    </xf>
    <xf numFmtId="4" fontId="8" fillId="0" borderId="0" xfId="1" applyNumberFormat="1" applyFont="1" applyBorder="1" applyAlignment="1" applyProtection="1">
      <alignment horizontal="center" vertical="center"/>
    </xf>
    <xf numFmtId="4" fontId="10" fillId="0" borderId="25" xfId="1" applyNumberFormat="1" applyFont="1" applyBorder="1" applyAlignment="1" applyProtection="1">
      <alignment horizontal="center" vertical="center"/>
    </xf>
    <xf numFmtId="0" fontId="5" fillId="6" borderId="5" xfId="9" applyFont="1" applyFill="1" applyBorder="1" applyAlignment="1">
      <alignment horizontal="center" vertical="center"/>
    </xf>
    <xf numFmtId="0" fontId="5" fillId="6" borderId="5" xfId="9" applyFont="1" applyFill="1" applyBorder="1" applyAlignment="1">
      <alignment horizontal="center" vertical="center" wrapText="1"/>
    </xf>
    <xf numFmtId="0" fontId="5" fillId="6" borderId="18" xfId="9" applyFont="1" applyFill="1" applyBorder="1" applyAlignment="1">
      <alignment horizontal="center" vertical="center"/>
    </xf>
    <xf numFmtId="170" fontId="5" fillId="6" borderId="18" xfId="1" applyNumberFormat="1" applyFont="1" applyFill="1" applyBorder="1" applyAlignment="1" applyProtection="1">
      <alignment vertical="center"/>
    </xf>
    <xf numFmtId="0" fontId="17" fillId="6" borderId="18" xfId="0" applyFont="1" applyFill="1" applyBorder="1" applyAlignment="1">
      <alignment horizontal="justify" vertical="center" wrapText="1"/>
    </xf>
    <xf numFmtId="0" fontId="5" fillId="6" borderId="18" xfId="9" applyFont="1" applyFill="1" applyBorder="1" applyAlignment="1">
      <alignment horizontal="center" vertical="center" wrapText="1"/>
    </xf>
    <xf numFmtId="2" fontId="5" fillId="2" borderId="18" xfId="0" applyNumberFormat="1" applyFont="1" applyFill="1" applyBorder="1" applyAlignment="1" applyProtection="1">
      <alignment horizontal="center" vertical="center"/>
      <protection locked="0"/>
    </xf>
    <xf numFmtId="0" fontId="5" fillId="6" borderId="18" xfId="9" applyFont="1" applyFill="1" applyBorder="1" applyAlignment="1">
      <alignment vertical="center"/>
    </xf>
    <xf numFmtId="0" fontId="5" fillId="6" borderId="5" xfId="29" applyFont="1" applyFill="1" applyBorder="1" applyAlignment="1" applyProtection="1">
      <alignment horizontal="justify" vertical="center" wrapText="1"/>
    </xf>
    <xf numFmtId="0" fontId="7" fillId="0" borderId="2" xfId="0" applyFont="1" applyBorder="1"/>
    <xf numFmtId="0" fontId="5" fillId="0" borderId="2" xfId="0" applyFont="1" applyBorder="1"/>
    <xf numFmtId="0" fontId="12" fillId="0" borderId="2" xfId="6" applyFont="1" applyBorder="1"/>
    <xf numFmtId="0" fontId="12" fillId="0" borderId="46" xfId="6" applyFont="1" applyBorder="1"/>
    <xf numFmtId="0" fontId="12" fillId="0" borderId="3" xfId="6" applyFont="1" applyBorder="1"/>
    <xf numFmtId="0" fontId="12" fillId="0" borderId="47" xfId="6" applyFont="1" applyBorder="1"/>
    <xf numFmtId="0" fontId="5" fillId="0" borderId="0" xfId="0" applyFont="1" applyAlignment="1">
      <alignment vertical="top"/>
    </xf>
    <xf numFmtId="0" fontId="12" fillId="0" borderId="47" xfId="6" applyFont="1" applyBorder="1" applyAlignment="1">
      <alignment vertical="top"/>
    </xf>
    <xf numFmtId="0" fontId="0" fillId="0" borderId="0" xfId="0" applyAlignment="1">
      <alignment vertical="top"/>
    </xf>
    <xf numFmtId="0" fontId="42" fillId="0" borderId="0" xfId="6" applyFont="1" applyAlignment="1">
      <alignment vertical="center"/>
    </xf>
    <xf numFmtId="0" fontId="9" fillId="3" borderId="58" xfId="6" applyFont="1" applyFill="1" applyBorder="1" applyAlignment="1">
      <alignment vertical="center"/>
    </xf>
    <xf numFmtId="0" fontId="43" fillId="3" borderId="59" xfId="6" applyFont="1" applyFill="1" applyBorder="1" applyAlignment="1">
      <alignment vertical="center"/>
    </xf>
    <xf numFmtId="0" fontId="23" fillId="3" borderId="59" xfId="6" applyFont="1" applyFill="1" applyBorder="1" applyAlignment="1">
      <alignment vertical="center"/>
    </xf>
    <xf numFmtId="0" fontId="8" fillId="3" borderId="59" xfId="6" applyFont="1" applyFill="1" applyBorder="1" applyAlignment="1">
      <alignment vertical="center"/>
    </xf>
    <xf numFmtId="0" fontId="9" fillId="3" borderId="59" xfId="6" applyFont="1" applyFill="1" applyBorder="1" applyAlignment="1">
      <alignment vertical="center"/>
    </xf>
    <xf numFmtId="0" fontId="15" fillId="3" borderId="2" xfId="6" applyFont="1" applyFill="1" applyBorder="1" applyAlignment="1">
      <alignment horizontal="center" vertical="center" wrapText="1"/>
    </xf>
    <xf numFmtId="0" fontId="5" fillId="3" borderId="22" xfId="6" applyFont="1" applyFill="1" applyBorder="1" applyAlignment="1">
      <alignment horizontal="center" vertical="center" wrapText="1"/>
    </xf>
    <xf numFmtId="0" fontId="17" fillId="3" borderId="29" xfId="6" applyFont="1" applyFill="1" applyBorder="1" applyAlignment="1">
      <alignment horizontal="center" vertical="center" wrapText="1"/>
    </xf>
    <xf numFmtId="0" fontId="5" fillId="3" borderId="22" xfId="6" applyFont="1" applyFill="1" applyBorder="1" applyAlignment="1">
      <alignment horizontal="center" vertical="center"/>
    </xf>
    <xf numFmtId="0" fontId="5" fillId="3" borderId="28" xfId="6" applyFont="1" applyFill="1" applyBorder="1" applyAlignment="1">
      <alignment horizontal="center" vertical="center" wrapText="1"/>
    </xf>
    <xf numFmtId="0" fontId="5" fillId="3" borderId="62" xfId="6" applyFont="1" applyFill="1" applyBorder="1" applyAlignment="1">
      <alignment horizontal="center" vertical="center" wrapText="1"/>
    </xf>
    <xf numFmtId="0" fontId="6" fillId="3" borderId="28" xfId="6" applyFont="1" applyFill="1" applyBorder="1" applyAlignment="1">
      <alignment horizontal="center" vertical="center" wrapText="1"/>
    </xf>
    <xf numFmtId="0" fontId="6" fillId="3" borderId="52" xfId="6" applyFont="1" applyFill="1" applyBorder="1" applyAlignment="1">
      <alignment horizontal="center" vertical="center" wrapText="1"/>
    </xf>
    <xf numFmtId="0" fontId="6" fillId="3" borderId="27" xfId="6" applyFont="1" applyFill="1" applyBorder="1" applyAlignment="1">
      <alignment horizontal="center" vertical="center" wrapText="1"/>
    </xf>
    <xf numFmtId="0" fontId="6" fillId="3" borderId="22" xfId="6" applyFont="1" applyFill="1" applyBorder="1" applyAlignment="1">
      <alignment horizontal="center" vertical="center" wrapText="1"/>
    </xf>
    <xf numFmtId="0" fontId="6" fillId="3" borderId="63" xfId="6" applyFont="1" applyFill="1" applyBorder="1" applyAlignment="1">
      <alignment horizontal="center" vertical="center" wrapText="1"/>
    </xf>
    <xf numFmtId="0" fontId="6" fillId="3" borderId="35" xfId="6" applyFont="1" applyFill="1" applyBorder="1" applyAlignment="1">
      <alignment horizontal="center" vertical="center" wrapText="1"/>
    </xf>
    <xf numFmtId="0" fontId="6" fillId="3" borderId="44" xfId="6" applyFont="1" applyFill="1" applyBorder="1" applyAlignment="1">
      <alignment horizontal="center" vertical="center" wrapText="1"/>
    </xf>
    <xf numFmtId="0" fontId="17" fillId="3" borderId="35" xfId="6" applyFont="1" applyFill="1" applyBorder="1" applyAlignment="1">
      <alignment horizontal="center" vertical="center" wrapText="1"/>
    </xf>
    <xf numFmtId="0" fontId="17" fillId="3" borderId="44" xfId="6" applyFont="1" applyFill="1" applyBorder="1" applyAlignment="1">
      <alignment horizontal="center" vertical="center" wrapText="1"/>
    </xf>
    <xf numFmtId="0" fontId="17" fillId="3" borderId="52" xfId="6" applyFont="1" applyFill="1" applyBorder="1" applyAlignment="1">
      <alignment horizontal="center" vertical="center" wrapText="1"/>
    </xf>
    <xf numFmtId="0" fontId="12" fillId="6" borderId="16" xfId="6" applyFont="1" applyFill="1" applyBorder="1" applyAlignment="1">
      <alignment vertical="center"/>
    </xf>
    <xf numFmtId="1" fontId="12" fillId="6" borderId="12" xfId="6" applyNumberFormat="1" applyFont="1" applyFill="1" applyBorder="1" applyAlignment="1">
      <alignment horizontal="center" vertical="center"/>
    </xf>
    <xf numFmtId="1" fontId="12" fillId="0" borderId="11" xfId="6" applyNumberFormat="1" applyFont="1" applyBorder="1" applyAlignment="1">
      <alignment horizontal="center" vertical="center"/>
    </xf>
    <xf numFmtId="4" fontId="12" fillId="6" borderId="12" xfId="6" applyNumberFormat="1" applyFont="1" applyFill="1" applyBorder="1" applyAlignment="1">
      <alignment horizontal="center" vertical="center"/>
    </xf>
    <xf numFmtId="4" fontId="12" fillId="6" borderId="13" xfId="6" applyNumberFormat="1" applyFont="1" applyFill="1" applyBorder="1" applyAlignment="1">
      <alignment horizontal="center" vertical="center"/>
    </xf>
    <xf numFmtId="4" fontId="12" fillId="6" borderId="40" xfId="6" applyNumberFormat="1" applyFont="1" applyFill="1" applyBorder="1" applyAlignment="1">
      <alignment horizontal="center" vertical="center"/>
    </xf>
    <xf numFmtId="166" fontId="15" fillId="6" borderId="18" xfId="1" applyFont="1" applyFill="1" applyBorder="1" applyAlignment="1" applyProtection="1">
      <alignment horizontal="center" vertical="center"/>
    </xf>
    <xf numFmtId="166" fontId="15" fillId="6" borderId="5" xfId="1" applyFont="1" applyFill="1" applyBorder="1" applyAlignment="1" applyProtection="1">
      <alignment horizontal="center" vertical="center"/>
    </xf>
    <xf numFmtId="4" fontId="12" fillId="6" borderId="16" xfId="6" applyNumberFormat="1" applyFont="1" applyFill="1" applyBorder="1" applyAlignment="1">
      <alignment horizontal="center" vertical="center"/>
    </xf>
    <xf numFmtId="166" fontId="15" fillId="6" borderId="12" xfId="1" applyFont="1" applyFill="1" applyBorder="1" applyAlignment="1" applyProtection="1">
      <alignment horizontal="center" vertical="center"/>
    </xf>
    <xf numFmtId="166" fontId="12" fillId="6" borderId="5" xfId="1" applyFont="1" applyFill="1" applyBorder="1" applyAlignment="1" applyProtection="1">
      <alignment horizontal="center" vertical="center"/>
    </xf>
    <xf numFmtId="164" fontId="12" fillId="6" borderId="5" xfId="2" applyFont="1" applyFill="1" applyBorder="1" applyAlignment="1" applyProtection="1">
      <alignment horizontal="right" vertical="center"/>
    </xf>
    <xf numFmtId="4" fontId="12" fillId="6" borderId="64" xfId="6" applyNumberFormat="1" applyFont="1" applyFill="1" applyBorder="1" applyAlignment="1">
      <alignment horizontal="center" vertical="center"/>
    </xf>
    <xf numFmtId="4" fontId="12" fillId="6" borderId="37" xfId="6" applyNumberFormat="1" applyFont="1" applyFill="1" applyBorder="1" applyAlignment="1">
      <alignment horizontal="center" vertical="center"/>
    </xf>
    <xf numFmtId="4" fontId="12" fillId="6" borderId="21" xfId="6" applyNumberFormat="1" applyFont="1" applyFill="1" applyBorder="1" applyAlignment="1">
      <alignment horizontal="center" vertical="center"/>
    </xf>
    <xf numFmtId="0" fontId="12" fillId="0" borderId="16" xfId="6" applyFont="1" applyBorder="1" applyAlignment="1">
      <alignment vertical="center"/>
    </xf>
    <xf numFmtId="1" fontId="12" fillId="0" borderId="12" xfId="6" applyNumberFormat="1" applyFont="1" applyBorder="1" applyAlignment="1">
      <alignment horizontal="center" vertical="center"/>
    </xf>
    <xf numFmtId="4" fontId="12" fillId="0" borderId="5" xfId="6" applyNumberFormat="1" applyFont="1" applyBorder="1" applyAlignment="1">
      <alignment horizontal="center" vertical="center"/>
    </xf>
    <xf numFmtId="4" fontId="12" fillId="0" borderId="14" xfId="6" applyNumberFormat="1" applyFont="1" applyBorder="1" applyAlignment="1">
      <alignment horizontal="center" vertical="center"/>
    </xf>
    <xf numFmtId="4" fontId="12" fillId="0" borderId="56" xfId="6" applyNumberFormat="1" applyFont="1" applyBorder="1" applyAlignment="1">
      <alignment horizontal="center" vertical="center"/>
    </xf>
    <xf numFmtId="166" fontId="15" fillId="0" borderId="18" xfId="1" applyFont="1" applyBorder="1" applyAlignment="1" applyProtection="1">
      <alignment horizontal="center" vertical="center"/>
    </xf>
    <xf numFmtId="166" fontId="15" fillId="0" borderId="5" xfId="1" applyFont="1" applyBorder="1" applyAlignment="1" applyProtection="1">
      <alignment horizontal="center" vertical="center"/>
    </xf>
    <xf numFmtId="4" fontId="12" fillId="0" borderId="21" xfId="6" applyNumberFormat="1" applyFont="1" applyBorder="1" applyAlignment="1">
      <alignment horizontal="center" vertical="center"/>
    </xf>
    <xf numFmtId="166" fontId="15" fillId="0" borderId="12" xfId="1" applyFont="1" applyBorder="1" applyAlignment="1" applyProtection="1">
      <alignment horizontal="center" vertical="center"/>
    </xf>
    <xf numFmtId="166" fontId="12" fillId="0" borderId="5" xfId="1" applyFont="1" applyBorder="1" applyAlignment="1" applyProtection="1">
      <alignment horizontal="center" vertical="center"/>
    </xf>
    <xf numFmtId="166" fontId="15" fillId="3" borderId="5" xfId="1" applyFont="1" applyFill="1" applyBorder="1" applyAlignment="1" applyProtection="1">
      <alignment horizontal="center" vertical="center"/>
    </xf>
    <xf numFmtId="164" fontId="12" fillId="0" borderId="5" xfId="2" applyFont="1" applyBorder="1" applyAlignment="1" applyProtection="1">
      <alignment horizontal="right" vertical="center"/>
    </xf>
    <xf numFmtId="0" fontId="12" fillId="0" borderId="24" xfId="6" applyFont="1" applyBorder="1" applyAlignment="1">
      <alignment vertical="center"/>
    </xf>
    <xf numFmtId="1" fontId="12" fillId="0" borderId="65" xfId="6" applyNumberFormat="1" applyFont="1" applyBorder="1" applyAlignment="1">
      <alignment horizontal="center" vertical="center"/>
    </xf>
    <xf numFmtId="4" fontId="12" fillId="0" borderId="28" xfId="6" applyNumberFormat="1" applyFont="1" applyBorder="1" applyAlignment="1">
      <alignment horizontal="center" vertical="center"/>
    </xf>
    <xf numFmtId="4" fontId="12" fillId="0" borderId="25" xfId="6" applyNumberFormat="1" applyFont="1" applyBorder="1" applyAlignment="1">
      <alignment horizontal="center" vertical="center"/>
    </xf>
    <xf numFmtId="4" fontId="12" fillId="0" borderId="27" xfId="6" applyNumberFormat="1" applyFont="1" applyBorder="1" applyAlignment="1">
      <alignment horizontal="center" vertical="center"/>
    </xf>
    <xf numFmtId="164" fontId="12" fillId="0" borderId="44" xfId="2" applyFont="1" applyBorder="1" applyAlignment="1" applyProtection="1">
      <alignment horizontal="right" vertical="center"/>
    </xf>
    <xf numFmtId="1" fontId="8" fillId="3" borderId="24" xfId="6" applyNumberFormat="1" applyFont="1" applyFill="1" applyBorder="1" applyAlignment="1">
      <alignment horizontal="center" vertical="center"/>
    </xf>
    <xf numFmtId="4" fontId="8" fillId="3" borderId="65" xfId="6" applyNumberFormat="1" applyFont="1" applyFill="1" applyBorder="1" applyAlignment="1">
      <alignment horizontal="center" vertical="center"/>
    </xf>
    <xf numFmtId="4" fontId="8" fillId="3" borderId="23" xfId="6" applyNumberFormat="1" applyFont="1" applyFill="1" applyBorder="1" applyAlignment="1">
      <alignment horizontal="center" vertical="center"/>
    </xf>
    <xf numFmtId="4" fontId="8" fillId="3" borderId="24" xfId="6" applyNumberFormat="1" applyFont="1" applyFill="1" applyBorder="1" applyAlignment="1">
      <alignment horizontal="center" vertical="center"/>
    </xf>
    <xf numFmtId="4" fontId="8" fillId="3" borderId="25" xfId="6" applyNumberFormat="1" applyFont="1" applyFill="1" applyBorder="1" applyAlignment="1">
      <alignment horizontal="center" vertical="center"/>
    </xf>
    <xf numFmtId="166" fontId="8" fillId="3" borderId="66" xfId="1" applyFont="1" applyFill="1" applyBorder="1" applyAlignment="1" applyProtection="1">
      <alignment horizontal="center" vertical="center"/>
    </xf>
    <xf numFmtId="4" fontId="8" fillId="3" borderId="66" xfId="6" applyNumberFormat="1" applyFont="1" applyFill="1" applyBorder="1" applyAlignment="1">
      <alignment horizontal="center" vertical="center"/>
    </xf>
    <xf numFmtId="4" fontId="8" fillId="3" borderId="5" xfId="6" applyNumberFormat="1" applyFont="1" applyFill="1" applyBorder="1" applyAlignment="1">
      <alignment horizontal="center" vertical="center"/>
    </xf>
    <xf numFmtId="166" fontId="8" fillId="3" borderId="5" xfId="1" applyFont="1" applyFill="1" applyBorder="1" applyAlignment="1" applyProtection="1">
      <alignment horizontal="center" vertical="center"/>
    </xf>
    <xf numFmtId="4" fontId="8" fillId="3" borderId="18" xfId="6" applyNumberFormat="1" applyFont="1" applyFill="1" applyBorder="1" applyAlignment="1">
      <alignment horizontal="center" vertical="center"/>
    </xf>
    <xf numFmtId="164" fontId="8" fillId="18" borderId="4" xfId="2" applyFont="1" applyFill="1" applyBorder="1" applyAlignment="1" applyProtection="1">
      <alignment horizontal="center" vertical="center"/>
    </xf>
    <xf numFmtId="0" fontId="10" fillId="0" borderId="0" xfId="6" applyFont="1" applyAlignment="1">
      <alignment vertical="center"/>
    </xf>
    <xf numFmtId="0" fontId="5" fillId="0" borderId="0" xfId="6" applyFont="1"/>
    <xf numFmtId="164" fontId="9" fillId="3" borderId="49" xfId="2" applyFont="1" applyFill="1" applyBorder="1" applyAlignment="1" applyProtection="1">
      <alignment vertical="center"/>
    </xf>
    <xf numFmtId="164" fontId="8" fillId="3" borderId="4" xfId="2" applyFont="1" applyFill="1" applyBorder="1" applyAlignment="1" applyProtection="1">
      <alignment vertical="center"/>
    </xf>
    <xf numFmtId="0" fontId="5" fillId="0" borderId="0" xfId="6" applyFont="1" applyAlignment="1">
      <alignment vertical="top"/>
    </xf>
    <xf numFmtId="0" fontId="5" fillId="0" borderId="0" xfId="13" applyFont="1"/>
    <xf numFmtId="0" fontId="17" fillId="0" borderId="0" xfId="9" applyFont="1"/>
    <xf numFmtId="0" fontId="9" fillId="0" borderId="0" xfId="13" applyFont="1"/>
    <xf numFmtId="0" fontId="30" fillId="0" borderId="0" xfId="13" applyFont="1" applyAlignment="1">
      <alignment vertical="center"/>
    </xf>
    <xf numFmtId="0" fontId="36" fillId="6" borderId="5" xfId="13" applyFont="1" applyFill="1" applyBorder="1" applyAlignment="1">
      <alignment horizontal="center" vertical="center"/>
    </xf>
    <xf numFmtId="0" fontId="10" fillId="0" borderId="0" xfId="13" applyFont="1"/>
    <xf numFmtId="0" fontId="46" fillId="19" borderId="5" xfId="13" applyFont="1" applyFill="1" applyBorder="1" applyAlignment="1">
      <alignment horizontal="center" vertical="center"/>
    </xf>
    <xf numFmtId="4" fontId="46" fillId="19" borderId="5" xfId="13" applyNumberFormat="1" applyFont="1" applyFill="1" applyBorder="1" applyAlignment="1">
      <alignment vertical="center"/>
    </xf>
    <xf numFmtId="0" fontId="5" fillId="0" borderId="5" xfId="13" applyFont="1" applyBorder="1" applyAlignment="1">
      <alignment horizontal="center" vertical="center"/>
    </xf>
    <xf numFmtId="10" fontId="5" fillId="0" borderId="5" xfId="13" applyNumberFormat="1" applyFont="1" applyBorder="1" applyAlignment="1">
      <alignment horizontal="center" vertical="center"/>
    </xf>
    <xf numFmtId="4" fontId="5" fillId="6" borderId="5" xfId="30" applyNumberFormat="1" applyFont="1" applyFill="1" applyBorder="1" applyAlignment="1" applyProtection="1">
      <alignment vertical="center"/>
    </xf>
    <xf numFmtId="10" fontId="37" fillId="0" borderId="5" xfId="13" applyNumberFormat="1" applyFont="1" applyBorder="1" applyAlignment="1">
      <alignment horizontal="center" vertical="center"/>
    </xf>
    <xf numFmtId="10" fontId="36" fillId="0" borderId="5" xfId="13" applyNumberFormat="1" applyFont="1" applyBorder="1" applyAlignment="1">
      <alignment horizontal="center" vertical="center"/>
    </xf>
    <xf numFmtId="4" fontId="10" fillId="6" borderId="5" xfId="30" applyNumberFormat="1" applyFont="1" applyFill="1" applyBorder="1" applyAlignment="1" applyProtection="1">
      <alignment horizontal="right" vertical="center"/>
    </xf>
    <xf numFmtId="0" fontId="36" fillId="3" borderId="5" xfId="13" applyFont="1" applyFill="1" applyBorder="1" applyAlignment="1" applyProtection="1">
      <alignment horizontal="center" vertical="center"/>
      <protection locked="0"/>
    </xf>
    <xf numFmtId="0" fontId="36" fillId="3" borderId="5" xfId="13" applyFont="1" applyFill="1" applyBorder="1" applyAlignment="1" applyProtection="1">
      <alignment vertical="center"/>
      <protection locked="0"/>
    </xf>
    <xf numFmtId="0" fontId="5" fillId="0" borderId="5" xfId="13" applyFont="1" applyBorder="1" applyAlignment="1" applyProtection="1">
      <alignment horizontal="center" vertical="center"/>
      <protection locked="0"/>
    </xf>
    <xf numFmtId="0" fontId="5" fillId="0" borderId="5" xfId="13" applyFont="1" applyBorder="1" applyAlignment="1" applyProtection="1">
      <alignment vertical="center"/>
      <protection locked="0"/>
    </xf>
    <xf numFmtId="4" fontId="5" fillId="0" borderId="5" xfId="13" applyNumberFormat="1" applyFont="1" applyBorder="1" applyAlignment="1" applyProtection="1">
      <alignment vertical="center"/>
      <protection locked="0"/>
    </xf>
    <xf numFmtId="4" fontId="5" fillId="0" borderId="5" xfId="13" applyNumberFormat="1" applyFont="1" applyBorder="1"/>
    <xf numFmtId="4" fontId="36" fillId="0" borderId="5" xfId="13" applyNumberFormat="1" applyFont="1" applyBorder="1" applyAlignment="1" applyProtection="1">
      <alignment vertical="center"/>
      <protection locked="0"/>
    </xf>
    <xf numFmtId="10" fontId="36" fillId="3" borderId="5" xfId="13" applyNumberFormat="1" applyFont="1" applyFill="1" applyBorder="1" applyAlignment="1">
      <alignment horizontal="center" vertical="center"/>
    </xf>
    <xf numFmtId="0" fontId="36" fillId="3" borderId="18" xfId="13" applyFont="1" applyFill="1" applyBorder="1" applyAlignment="1" applyProtection="1">
      <alignment vertical="center"/>
      <protection locked="0"/>
    </xf>
    <xf numFmtId="0" fontId="36" fillId="3" borderId="56" xfId="13" applyFont="1" applyFill="1" applyBorder="1" applyAlignment="1" applyProtection="1">
      <alignment vertical="center"/>
      <protection locked="0"/>
    </xf>
    <xf numFmtId="10" fontId="5" fillId="0" borderId="5" xfId="13" applyNumberFormat="1" applyFont="1" applyBorder="1" applyAlignment="1" applyProtection="1">
      <alignment vertical="center"/>
      <protection locked="0"/>
    </xf>
    <xf numFmtId="4" fontId="5" fillId="6" borderId="5" xfId="13" applyNumberFormat="1" applyFont="1" applyFill="1" applyBorder="1" applyAlignment="1">
      <alignment horizontal="right" vertical="center"/>
    </xf>
    <xf numFmtId="0" fontId="36" fillId="0" borderId="5" xfId="13" applyFont="1" applyBorder="1" applyAlignment="1" applyProtection="1">
      <alignment horizontal="center" vertical="center"/>
      <protection locked="0"/>
    </xf>
    <xf numFmtId="10" fontId="36" fillId="0" borderId="5" xfId="13" applyNumberFormat="1" applyFont="1" applyBorder="1" applyAlignment="1" applyProtection="1">
      <alignment vertical="center"/>
      <protection locked="0"/>
    </xf>
    <xf numFmtId="4" fontId="36" fillId="6" borderId="5" xfId="13" applyNumberFormat="1" applyFont="1" applyFill="1" applyBorder="1" applyAlignment="1" applyProtection="1">
      <alignment horizontal="right" vertical="center"/>
      <protection locked="0"/>
    </xf>
    <xf numFmtId="0" fontId="5" fillId="6" borderId="5" xfId="13" applyFont="1" applyFill="1" applyBorder="1" applyAlignment="1" applyProtection="1">
      <alignment horizontal="center" vertical="center"/>
      <protection locked="0"/>
    </xf>
    <xf numFmtId="0" fontId="36" fillId="0" borderId="5" xfId="13" applyFont="1" applyBorder="1" applyAlignment="1" applyProtection="1">
      <alignment vertical="center"/>
      <protection locked="0"/>
    </xf>
    <xf numFmtId="4" fontId="36" fillId="0" borderId="5" xfId="13" applyNumberFormat="1" applyFont="1" applyBorder="1" applyAlignment="1" applyProtection="1">
      <alignment horizontal="right" vertical="center"/>
      <protection locked="0"/>
    </xf>
    <xf numFmtId="0" fontId="36" fillId="3" borderId="5" xfId="13" applyFont="1" applyFill="1" applyBorder="1" applyAlignment="1">
      <alignment vertical="center"/>
    </xf>
    <xf numFmtId="0" fontId="5" fillId="0" borderId="5" xfId="13" applyFont="1" applyBorder="1" applyAlignment="1">
      <alignment vertical="center"/>
    </xf>
    <xf numFmtId="4" fontId="37" fillId="6" borderId="5" xfId="13" applyNumberFormat="1" applyFont="1" applyFill="1" applyBorder="1" applyAlignment="1">
      <alignment vertical="center"/>
    </xf>
    <xf numFmtId="0" fontId="36" fillId="0" borderId="5" xfId="13" applyFont="1" applyBorder="1" applyAlignment="1">
      <alignment vertical="center"/>
    </xf>
    <xf numFmtId="4" fontId="36" fillId="6" borderId="5" xfId="13" applyNumberFormat="1" applyFont="1" applyFill="1" applyBorder="1" applyAlignment="1">
      <alignment vertical="center"/>
    </xf>
    <xf numFmtId="4" fontId="36" fillId="3" borderId="5" xfId="13" applyNumberFormat="1" applyFont="1" applyFill="1" applyBorder="1" applyAlignment="1">
      <alignment vertical="center"/>
    </xf>
    <xf numFmtId="4" fontId="5" fillId="0" borderId="0" xfId="9" applyNumberFormat="1" applyFont="1" applyAlignment="1">
      <alignment horizontal="center"/>
    </xf>
    <xf numFmtId="0" fontId="7" fillId="0" borderId="1" xfId="9" applyFont="1" applyBorder="1" applyAlignment="1">
      <alignment vertical="center"/>
    </xf>
    <xf numFmtId="0" fontId="5" fillId="0" borderId="2" xfId="9" applyFont="1" applyBorder="1" applyAlignment="1">
      <alignment vertical="center"/>
    </xf>
    <xf numFmtId="4" fontId="5" fillId="0" borderId="2" xfId="9" applyNumberFormat="1" applyFont="1" applyBorder="1" applyAlignment="1">
      <alignment horizontal="center" vertical="center"/>
    </xf>
    <xf numFmtId="4" fontId="5" fillId="0" borderId="2" xfId="9" applyNumberFormat="1" applyFont="1" applyBorder="1" applyAlignment="1">
      <alignment horizontal="center"/>
    </xf>
    <xf numFmtId="4" fontId="5" fillId="0" borderId="46" xfId="9" applyNumberFormat="1" applyFont="1" applyBorder="1" applyAlignment="1">
      <alignment horizontal="center"/>
    </xf>
    <xf numFmtId="0" fontId="7" fillId="0" borderId="3" xfId="9" applyFont="1" applyBorder="1" applyAlignment="1">
      <alignment vertical="center"/>
    </xf>
    <xf numFmtId="4" fontId="5" fillId="0" borderId="0" xfId="9" applyNumberFormat="1" applyFont="1" applyAlignment="1">
      <alignment horizontal="center" vertical="center"/>
    </xf>
    <xf numFmtId="4" fontId="5" fillId="0" borderId="47" xfId="9" applyNumberFormat="1" applyFont="1" applyBorder="1" applyAlignment="1">
      <alignment horizontal="center"/>
    </xf>
    <xf numFmtId="0" fontId="17" fillId="0" borderId="3" xfId="9" applyFont="1" applyBorder="1"/>
    <xf numFmtId="0" fontId="5" fillId="3" borderId="55" xfId="9" applyFont="1" applyFill="1" applyBorder="1" applyAlignment="1">
      <alignment vertical="center" wrapText="1"/>
    </xf>
    <xf numFmtId="0" fontId="17" fillId="0" borderId="17" xfId="9" applyFont="1" applyBorder="1" applyAlignment="1">
      <alignment horizontal="center" vertical="center"/>
    </xf>
    <xf numFmtId="0" fontId="17" fillId="0" borderId="5" xfId="9" applyFont="1" applyBorder="1" applyAlignment="1">
      <alignment horizontal="center" vertical="center" wrapText="1"/>
    </xf>
    <xf numFmtId="0" fontId="17" fillId="0" borderId="63" xfId="9" applyFont="1" applyBorder="1" applyAlignment="1">
      <alignment horizontal="center" vertical="center"/>
    </xf>
    <xf numFmtId="1" fontId="5" fillId="0" borderId="5" xfId="9" applyNumberFormat="1" applyFont="1" applyBorder="1" applyAlignment="1" applyProtection="1">
      <alignment horizontal="center" vertical="center"/>
      <protection locked="0"/>
    </xf>
    <xf numFmtId="4" fontId="5" fillId="3" borderId="5" xfId="22" applyNumberFormat="1" applyFont="1" applyFill="1" applyBorder="1" applyAlignment="1" applyProtection="1">
      <alignment horizontal="center" vertical="center"/>
    </xf>
    <xf numFmtId="4" fontId="5" fillId="0" borderId="5" xfId="22" applyNumberFormat="1" applyFont="1" applyBorder="1" applyAlignment="1" applyProtection="1">
      <alignment horizontal="center" vertical="center"/>
    </xf>
    <xf numFmtId="4" fontId="5" fillId="0" borderId="19" xfId="22" applyNumberFormat="1" applyFont="1" applyBorder="1" applyAlignment="1" applyProtection="1">
      <alignment horizontal="center" vertical="center"/>
    </xf>
    <xf numFmtId="166" fontId="5" fillId="0" borderId="5" xfId="9" applyNumberFormat="1" applyFont="1" applyBorder="1" applyAlignment="1" applyProtection="1">
      <alignment horizontal="center" vertical="center"/>
      <protection locked="0"/>
    </xf>
    <xf numFmtId="0" fontId="5" fillId="0" borderId="44" xfId="9" applyFont="1" applyBorder="1" applyAlignment="1" applyProtection="1">
      <alignment vertical="center" wrapText="1"/>
      <protection locked="0"/>
    </xf>
    <xf numFmtId="10" fontId="5" fillId="0" borderId="44" xfId="9" applyNumberFormat="1" applyFont="1" applyBorder="1" applyAlignment="1" applyProtection="1">
      <alignment horizontal="center" vertical="center"/>
      <protection locked="0"/>
    </xf>
    <xf numFmtId="4" fontId="5" fillId="3" borderId="44" xfId="22" applyNumberFormat="1" applyFont="1" applyFill="1" applyBorder="1" applyAlignment="1" applyProtection="1">
      <alignment horizontal="center" vertical="center"/>
    </xf>
    <xf numFmtId="4" fontId="5" fillId="0" borderId="44" xfId="22" applyNumberFormat="1" applyFont="1" applyBorder="1" applyAlignment="1" applyProtection="1">
      <alignment horizontal="center" vertical="center"/>
    </xf>
    <xf numFmtId="4" fontId="5" fillId="0" borderId="52" xfId="22" applyNumberFormat="1" applyFont="1" applyBorder="1" applyAlignment="1" applyProtection="1">
      <alignment horizontal="center" vertical="center"/>
    </xf>
    <xf numFmtId="4" fontId="10" fillId="3" borderId="5" xfId="22" applyNumberFormat="1" applyFont="1" applyFill="1" applyBorder="1" applyAlignment="1" applyProtection="1">
      <alignment horizontal="center" vertical="center"/>
    </xf>
    <xf numFmtId="4" fontId="10" fillId="3" borderId="19" xfId="22" applyNumberFormat="1" applyFont="1" applyFill="1" applyBorder="1" applyAlignment="1" applyProtection="1">
      <alignment horizontal="center" vertical="center"/>
    </xf>
    <xf numFmtId="10" fontId="5" fillId="0" borderId="12" xfId="9" applyNumberFormat="1" applyFont="1" applyBorder="1" applyAlignment="1" applyProtection="1">
      <alignment horizontal="center" vertical="center"/>
      <protection locked="0"/>
    </xf>
    <xf numFmtId="4" fontId="10" fillId="3" borderId="8" xfId="22" applyNumberFormat="1" applyFont="1" applyFill="1" applyBorder="1" applyAlignment="1" applyProtection="1">
      <alignment horizontal="center" vertical="center"/>
    </xf>
    <xf numFmtId="4" fontId="10" fillId="3" borderId="9" xfId="22" applyNumberFormat="1" applyFont="1" applyFill="1" applyBorder="1" applyAlignment="1" applyProtection="1">
      <alignment horizontal="center" vertical="center"/>
    </xf>
    <xf numFmtId="0" fontId="5" fillId="0" borderId="5" xfId="9" applyFont="1" applyBorder="1" applyAlignment="1">
      <alignment horizontal="center" vertical="center"/>
    </xf>
    <xf numFmtId="0" fontId="5" fillId="0" borderId="17" xfId="9" applyFont="1" applyBorder="1" applyAlignment="1">
      <alignment horizontal="left" vertical="center"/>
    </xf>
    <xf numFmtId="2" fontId="5" fillId="0" borderId="5" xfId="9" applyNumberFormat="1" applyFont="1" applyBorder="1" applyAlignment="1">
      <alignment horizontal="center" vertical="center"/>
    </xf>
    <xf numFmtId="2" fontId="5" fillId="0" borderId="5" xfId="1" applyNumberFormat="1" applyFont="1" applyBorder="1" applyAlignment="1" applyProtection="1">
      <alignment horizontal="center" vertical="center"/>
    </xf>
    <xf numFmtId="2" fontId="5" fillId="0" borderId="5" xfId="22" applyNumberFormat="1" applyFont="1" applyBorder="1" applyAlignment="1" applyProtection="1">
      <alignment horizontal="center" vertical="center"/>
    </xf>
    <xf numFmtId="10" fontId="5" fillId="0" borderId="5" xfId="3" applyNumberFormat="1" applyFont="1" applyBorder="1" applyAlignment="1" applyProtection="1">
      <alignment horizontal="center" vertical="center"/>
    </xf>
    <xf numFmtId="4" fontId="5" fillId="0" borderId="5" xfId="1" applyNumberFormat="1" applyFont="1" applyBorder="1" applyAlignment="1" applyProtection="1">
      <alignment horizontal="center" vertical="center"/>
      <protection locked="0"/>
    </xf>
    <xf numFmtId="165" fontId="5" fillId="0" borderId="0" xfId="22" applyFont="1" applyBorder="1" applyAlignment="1" applyProtection="1">
      <alignment vertical="center"/>
    </xf>
    <xf numFmtId="0" fontId="5" fillId="0" borderId="5" xfId="9" applyFont="1" applyBorder="1" applyAlignment="1">
      <alignment horizontal="left" vertical="center"/>
    </xf>
    <xf numFmtId="2" fontId="5" fillId="0" borderId="44" xfId="1" applyNumberFormat="1" applyFont="1" applyBorder="1" applyAlignment="1" applyProtection="1">
      <alignment horizontal="center" vertical="center"/>
    </xf>
    <xf numFmtId="2" fontId="5" fillId="0" borderId="44" xfId="22" applyNumberFormat="1" applyFont="1" applyBorder="1" applyAlignment="1" applyProtection="1">
      <alignment horizontal="center" vertical="center"/>
    </xf>
    <xf numFmtId="0" fontId="5" fillId="0" borderId="18" xfId="9" applyFont="1" applyBorder="1" applyAlignment="1">
      <alignment horizontal="center" vertical="center" wrapText="1"/>
    </xf>
    <xf numFmtId="0" fontId="5" fillId="0" borderId="37" xfId="9" applyFont="1" applyBorder="1" applyAlignment="1">
      <alignment vertical="center"/>
    </xf>
    <xf numFmtId="0" fontId="5" fillId="0" borderId="56" xfId="9" applyFont="1" applyBorder="1" applyAlignment="1">
      <alignment vertical="center"/>
    </xf>
    <xf numFmtId="10" fontId="5" fillId="0" borderId="5" xfId="9" applyNumberFormat="1" applyFont="1" applyBorder="1" applyAlignment="1">
      <alignment horizontal="center" vertical="center"/>
    </xf>
    <xf numFmtId="4" fontId="5" fillId="0" borderId="56" xfId="9" applyNumberFormat="1" applyFont="1" applyBorder="1" applyAlignment="1">
      <alignment vertical="center"/>
    </xf>
    <xf numFmtId="0" fontId="5" fillId="0" borderId="53" xfId="9" applyFont="1" applyBorder="1" applyAlignment="1">
      <alignment vertical="center"/>
    </xf>
    <xf numFmtId="0" fontId="5" fillId="0" borderId="30" xfId="9" applyFont="1" applyBorder="1" applyAlignment="1">
      <alignment vertical="center"/>
    </xf>
    <xf numFmtId="10" fontId="5" fillId="0" borderId="44" xfId="9" applyNumberFormat="1" applyFont="1" applyBorder="1" applyAlignment="1">
      <alignment horizontal="center" vertical="center"/>
    </xf>
    <xf numFmtId="4" fontId="5" fillId="0" borderId="30" xfId="9" applyNumberFormat="1" applyFont="1" applyBorder="1" applyAlignment="1">
      <alignment vertical="center"/>
    </xf>
    <xf numFmtId="0" fontId="10" fillId="3" borderId="58" xfId="9" applyFont="1" applyFill="1" applyBorder="1" applyAlignment="1">
      <alignment vertical="center"/>
    </xf>
    <xf numFmtId="0" fontId="10" fillId="3" borderId="59" xfId="9" applyFont="1" applyFill="1" applyBorder="1" applyAlignment="1">
      <alignment vertical="center"/>
    </xf>
    <xf numFmtId="10" fontId="10" fillId="3" borderId="8" xfId="9" applyNumberFormat="1" applyFont="1" applyFill="1" applyBorder="1" applyAlignment="1">
      <alignment horizontal="center" vertical="center"/>
    </xf>
    <xf numFmtId="4" fontId="10" fillId="3" borderId="8" xfId="9" applyNumberFormat="1" applyFont="1" applyFill="1" applyBorder="1" applyAlignment="1">
      <alignment vertical="center"/>
    </xf>
    <xf numFmtId="4" fontId="10" fillId="3" borderId="65" xfId="22" applyNumberFormat="1" applyFont="1" applyFill="1" applyBorder="1" applyAlignment="1" applyProtection="1">
      <alignment horizontal="center" vertical="center"/>
    </xf>
    <xf numFmtId="4" fontId="10" fillId="3" borderId="25" xfId="22" applyNumberFormat="1" applyFont="1" applyFill="1" applyBorder="1" applyAlignment="1" applyProtection="1">
      <alignment horizontal="center" vertical="center"/>
    </xf>
    <xf numFmtId="4" fontId="5" fillId="0" borderId="5" xfId="9" applyNumberFormat="1" applyFont="1" applyBorder="1" applyAlignment="1">
      <alignment horizontal="center" vertical="center"/>
    </xf>
    <xf numFmtId="10" fontId="10" fillId="3" borderId="44" xfId="9" applyNumberFormat="1" applyFont="1" applyFill="1" applyBorder="1" applyAlignment="1">
      <alignment horizontal="center" vertical="center"/>
    </xf>
    <xf numFmtId="4" fontId="10" fillId="3" borderId="44" xfId="9" applyNumberFormat="1" applyFont="1" applyFill="1" applyBorder="1" applyAlignment="1">
      <alignment horizontal="center" vertical="center"/>
    </xf>
    <xf numFmtId="4" fontId="10" fillId="3" borderId="51" xfId="22" applyNumberFormat="1" applyFont="1" applyFill="1" applyBorder="1" applyAlignment="1" applyProtection="1">
      <alignment horizontal="center" vertical="center"/>
    </xf>
    <xf numFmtId="4" fontId="10" fillId="3" borderId="69" xfId="22" applyNumberFormat="1" applyFont="1" applyFill="1" applyBorder="1" applyAlignment="1" applyProtection="1">
      <alignment horizontal="center" vertical="center"/>
    </xf>
    <xf numFmtId="4" fontId="8" fillId="3" borderId="5" xfId="22" applyNumberFormat="1" applyFont="1" applyFill="1" applyBorder="1" applyAlignment="1" applyProtection="1">
      <alignment horizontal="center" vertical="center"/>
    </xf>
    <xf numFmtId="4" fontId="8" fillId="3" borderId="19" xfId="22" applyNumberFormat="1" applyFont="1" applyFill="1" applyBorder="1" applyAlignment="1" applyProtection="1">
      <alignment horizontal="center" vertical="center"/>
    </xf>
    <xf numFmtId="166" fontId="5" fillId="0" borderId="0" xfId="9" applyNumberFormat="1" applyFont="1"/>
    <xf numFmtId="2" fontId="8" fillId="3" borderId="28" xfId="17" applyNumberFormat="1" applyFont="1" applyFill="1" applyBorder="1" applyAlignment="1" applyProtection="1">
      <alignment horizontal="center" vertical="center"/>
    </xf>
    <xf numFmtId="164" fontId="10" fillId="13" borderId="29" xfId="2" applyFont="1" applyFill="1" applyBorder="1" applyAlignment="1" applyProtection="1">
      <alignment horizontal="center" vertical="center"/>
    </xf>
    <xf numFmtId="10" fontId="5" fillId="0" borderId="5" xfId="9" applyNumberFormat="1" applyFont="1" applyBorder="1" applyAlignment="1" applyProtection="1">
      <alignment horizontal="center" vertical="center"/>
      <protection locked="0"/>
    </xf>
    <xf numFmtId="0" fontId="30" fillId="0" borderId="18" xfId="0" applyFont="1" applyBorder="1" applyAlignment="1">
      <alignment horizontal="right" vertical="center"/>
    </xf>
    <xf numFmtId="0" fontId="10" fillId="16" borderId="5" xfId="0" applyFont="1" applyFill="1" applyBorder="1" applyAlignment="1">
      <alignment horizontal="center" vertical="center" wrapText="1"/>
    </xf>
    <xf numFmtId="0" fontId="31" fillId="16" borderId="5" xfId="0" applyFont="1" applyFill="1" applyBorder="1" applyAlignment="1">
      <alignment horizontal="center" vertical="center"/>
    </xf>
    <xf numFmtId="0" fontId="15" fillId="16" borderId="5" xfId="0" applyFont="1" applyFill="1" applyBorder="1" applyAlignment="1">
      <alignment horizontal="center" vertical="center"/>
    </xf>
    <xf numFmtId="0" fontId="6" fillId="0" borderId="5" xfId="0" applyFont="1" applyBorder="1" applyAlignment="1">
      <alignment horizontal="center" vertical="center"/>
    </xf>
    <xf numFmtId="10" fontId="31" fillId="0" borderId="5" xfId="0" applyNumberFormat="1" applyFont="1" applyBorder="1" applyAlignment="1">
      <alignment horizontal="center" vertical="center"/>
    </xf>
    <xf numFmtId="0" fontId="31" fillId="0" borderId="5" xfId="0" applyFont="1" applyBorder="1" applyAlignment="1">
      <alignment horizontal="center" vertical="center"/>
    </xf>
    <xf numFmtId="4" fontId="12" fillId="0" borderId="5" xfId="0" applyNumberFormat="1" applyFont="1" applyBorder="1" applyAlignment="1">
      <alignment horizontal="center"/>
    </xf>
    <xf numFmtId="0" fontId="6" fillId="0" borderId="12" xfId="0" applyFont="1" applyBorder="1" applyAlignment="1">
      <alignment horizontal="center" vertical="center"/>
    </xf>
    <xf numFmtId="10" fontId="31" fillId="0" borderId="12" xfId="0" applyNumberFormat="1" applyFont="1" applyBorder="1" applyAlignment="1">
      <alignment horizontal="center" vertical="center"/>
    </xf>
    <xf numFmtId="0" fontId="31" fillId="0" borderId="12" xfId="0" applyFont="1" applyBorder="1" applyAlignment="1">
      <alignment horizontal="center" vertical="center"/>
    </xf>
    <xf numFmtId="10" fontId="47" fillId="6" borderId="5" xfId="16" applyNumberFormat="1" applyFont="1" applyFill="1" applyBorder="1" applyAlignment="1" applyProtection="1">
      <alignment horizontal="center" vertical="center"/>
    </xf>
    <xf numFmtId="0" fontId="18" fillId="20" borderId="5" xfId="25" applyNumberFormat="1" applyFont="1" applyFill="1" applyBorder="1" applyAlignment="1" applyProtection="1">
      <alignment horizontal="center" vertical="center"/>
      <protection locked="0"/>
    </xf>
    <xf numFmtId="0" fontId="18" fillId="20" borderId="18" xfId="25" applyNumberFormat="1" applyFont="1" applyFill="1" applyBorder="1" applyAlignment="1" applyProtection="1">
      <alignment horizontal="center" vertical="center"/>
      <protection locked="0"/>
    </xf>
    <xf numFmtId="2" fontId="18" fillId="20" borderId="17" xfId="25" applyNumberFormat="1" applyFont="1" applyFill="1" applyBorder="1" applyAlignment="1" applyProtection="1">
      <alignment horizontal="center" vertical="center"/>
      <protection locked="0"/>
    </xf>
    <xf numFmtId="0" fontId="18" fillId="20" borderId="20" xfId="25" applyNumberFormat="1" applyFont="1" applyFill="1" applyBorder="1" applyAlignment="1" applyProtection="1">
      <alignment horizontal="center" vertical="center"/>
      <protection locked="0"/>
    </xf>
    <xf numFmtId="43" fontId="15" fillId="6" borderId="5" xfId="1" applyNumberFormat="1" applyFont="1" applyFill="1" applyBorder="1" applyAlignment="1" applyProtection="1">
      <alignment horizontal="center" vertical="center"/>
    </xf>
    <xf numFmtId="10" fontId="12" fillId="21" borderId="5" xfId="3" applyNumberFormat="1" applyFont="1" applyFill="1" applyBorder="1" applyAlignment="1" applyProtection="1">
      <alignment horizontal="center" vertical="center"/>
    </xf>
    <xf numFmtId="4" fontId="12" fillId="21" borderId="5" xfId="1" applyNumberFormat="1" applyFont="1" applyFill="1" applyBorder="1" applyAlignment="1" applyProtection="1">
      <alignment horizontal="center" vertical="center"/>
    </xf>
    <xf numFmtId="2" fontId="12" fillId="2" borderId="5" xfId="19" applyNumberFormat="1" applyFont="1" applyFill="1" applyBorder="1" applyAlignment="1" applyProtection="1">
      <alignment horizontal="center" vertical="center"/>
      <protection locked="0"/>
    </xf>
    <xf numFmtId="0" fontId="30" fillId="0" borderId="5" xfId="13" applyFont="1" applyBorder="1" applyAlignment="1">
      <alignment horizontal="center" vertical="center" wrapText="1"/>
    </xf>
    <xf numFmtId="164" fontId="5" fillId="0" borderId="44" xfId="4" applyFont="1" applyBorder="1" applyAlignment="1" applyProtection="1">
      <alignment horizontal="center" vertical="center"/>
    </xf>
    <xf numFmtId="164" fontId="5" fillId="0" borderId="52" xfId="4" applyFont="1" applyBorder="1" applyAlignment="1" applyProtection="1">
      <alignment horizontal="center" vertical="center"/>
    </xf>
    <xf numFmtId="0" fontId="8" fillId="0" borderId="0" xfId="0" applyFont="1" applyAlignment="1">
      <alignment horizontal="center" vertical="center"/>
    </xf>
    <xf numFmtId="0" fontId="5" fillId="6" borderId="5" xfId="29" applyFont="1" applyFill="1" applyBorder="1" applyAlignment="1" applyProtection="1">
      <alignment horizontal="justify" vertical="top" wrapText="1"/>
    </xf>
    <xf numFmtId="0" fontId="17" fillId="6" borderId="5" xfId="29" applyFont="1" applyFill="1" applyBorder="1" applyAlignment="1" applyProtection="1">
      <alignment horizontal="justify" vertical="top" wrapText="1"/>
    </xf>
    <xf numFmtId="0" fontId="17" fillId="6" borderId="5" xfId="0" applyFont="1" applyFill="1" applyBorder="1" applyAlignment="1">
      <alignment horizontal="justify" vertical="top" wrapText="1"/>
    </xf>
    <xf numFmtId="0" fontId="5" fillId="6" borderId="18" xfId="9" applyFont="1" applyFill="1" applyBorder="1" applyAlignment="1">
      <alignment vertical="center" wrapText="1"/>
    </xf>
    <xf numFmtId="0" fontId="10" fillId="0" borderId="17" xfId="9" applyFont="1" applyBorder="1" applyAlignment="1">
      <alignment horizontal="center" vertical="center" wrapText="1"/>
    </xf>
    <xf numFmtId="0" fontId="0" fillId="0" borderId="5" xfId="6" applyFont="1" applyBorder="1" applyAlignment="1">
      <alignment vertical="center" wrapText="1"/>
    </xf>
    <xf numFmtId="4" fontId="10" fillId="3" borderId="71" xfId="9" applyNumberFormat="1" applyFont="1" applyFill="1" applyBorder="1" applyAlignment="1">
      <alignment horizontal="center" vertical="center" wrapText="1"/>
    </xf>
    <xf numFmtId="4" fontId="5" fillId="0" borderId="13" xfId="1" applyNumberFormat="1" applyFont="1" applyBorder="1" applyAlignment="1" applyProtection="1">
      <alignment horizontal="center" vertical="center"/>
    </xf>
    <xf numFmtId="4" fontId="5" fillId="0" borderId="18" xfId="1" applyNumberFormat="1" applyFont="1" applyBorder="1" applyAlignment="1" applyProtection="1">
      <alignment horizontal="center" vertical="center"/>
    </xf>
    <xf numFmtId="4" fontId="36" fillId="3" borderId="62" xfId="1" applyNumberFormat="1" applyFont="1" applyFill="1" applyBorder="1" applyAlignment="1" applyProtection="1">
      <alignment horizontal="center" vertical="center"/>
    </xf>
    <xf numFmtId="4" fontId="36" fillId="3" borderId="63" xfId="1" applyNumberFormat="1" applyFont="1" applyFill="1" applyBorder="1" applyAlignment="1" applyProtection="1">
      <alignment horizontal="center" vertical="center"/>
    </xf>
    <xf numFmtId="0" fontId="12" fillId="0" borderId="16" xfId="6" applyFont="1" applyBorder="1" applyAlignment="1">
      <alignment vertical="center" wrapText="1"/>
    </xf>
    <xf numFmtId="0" fontId="18" fillId="0" borderId="20" xfId="25" applyNumberFormat="1" applyFont="1" applyBorder="1" applyAlignment="1" applyProtection="1">
      <alignment horizontal="center" vertical="center"/>
      <protection locked="0"/>
    </xf>
    <xf numFmtId="166" fontId="19" fillId="22" borderId="20" xfId="6" applyNumberFormat="1" applyFont="1" applyFill="1" applyBorder="1" applyAlignment="1">
      <alignment horizontal="center" vertical="center"/>
    </xf>
    <xf numFmtId="0" fontId="18" fillId="22" borderId="20" xfId="25" applyNumberFormat="1" applyFont="1" applyFill="1" applyBorder="1" applyAlignment="1" applyProtection="1">
      <alignment horizontal="center" vertical="center"/>
      <protection locked="0"/>
    </xf>
    <xf numFmtId="0" fontId="18" fillId="23" borderId="20" xfId="25" applyNumberFormat="1" applyFont="1" applyFill="1" applyBorder="1" applyAlignment="1" applyProtection="1">
      <alignment horizontal="center" vertical="center"/>
      <protection locked="0"/>
    </xf>
    <xf numFmtId="166" fontId="19" fillId="0" borderId="5" xfId="6" applyNumberFormat="1" applyFont="1" applyBorder="1" applyAlignment="1">
      <alignment horizontal="center" vertical="center"/>
    </xf>
    <xf numFmtId="166" fontId="19" fillId="22" borderId="5" xfId="6" applyNumberFormat="1" applyFont="1" applyFill="1" applyBorder="1" applyAlignment="1">
      <alignment horizontal="center" vertical="center"/>
    </xf>
    <xf numFmtId="166" fontId="19" fillId="24" borderId="5" xfId="6" applyNumberFormat="1" applyFont="1" applyFill="1" applyBorder="1" applyAlignment="1">
      <alignment horizontal="center" vertical="center"/>
    </xf>
    <xf numFmtId="0" fontId="8" fillId="0" borderId="3" xfId="0" applyFont="1" applyBorder="1" applyAlignment="1">
      <alignment horizontal="center" vertical="center"/>
    </xf>
    <xf numFmtId="9" fontId="34" fillId="0" borderId="47" xfId="0" applyNumberFormat="1" applyFont="1" applyBorder="1" applyAlignment="1">
      <alignment horizontal="center" vertical="center"/>
    </xf>
    <xf numFmtId="0" fontId="10" fillId="25" borderId="17" xfId="0" applyFont="1" applyFill="1" applyBorder="1" applyAlignment="1">
      <alignment horizontal="center" vertical="center" wrapText="1"/>
    </xf>
    <xf numFmtId="0" fontId="10" fillId="25" borderId="5" xfId="0" applyFont="1" applyFill="1" applyBorder="1" applyAlignment="1">
      <alignment horizontal="center" vertical="center" wrapText="1"/>
    </xf>
    <xf numFmtId="4" fontId="10" fillId="25" borderId="5" xfId="0" applyNumberFormat="1" applyFont="1" applyFill="1" applyBorder="1" applyAlignment="1">
      <alignment horizontal="center" vertical="center" wrapText="1"/>
    </xf>
    <xf numFmtId="4" fontId="10" fillId="25" borderId="19" xfId="0" applyNumberFormat="1" applyFont="1" applyFill="1" applyBorder="1" applyAlignment="1">
      <alignment horizontal="center" vertical="center" wrapText="1"/>
    </xf>
    <xf numFmtId="0" fontId="10" fillId="0" borderId="17" xfId="1" applyNumberFormat="1" applyFont="1" applyBorder="1" applyAlignment="1" applyProtection="1">
      <alignment horizontal="center" vertical="center"/>
    </xf>
    <xf numFmtId="0" fontId="37" fillId="0" borderId="5" xfId="0" applyFont="1" applyBorder="1" applyAlignment="1">
      <alignment horizontal="justify" wrapText="1"/>
    </xf>
    <xf numFmtId="4" fontId="5" fillId="2" borderId="5" xfId="1"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4" fontId="36" fillId="25" borderId="29" xfId="1" applyNumberFormat="1" applyFont="1" applyFill="1" applyBorder="1" applyAlignment="1" applyProtection="1">
      <alignment horizontal="center" vertical="center"/>
    </xf>
    <xf numFmtId="0" fontId="10" fillId="16" borderId="12" xfId="0" applyFont="1" applyFill="1" applyBorder="1" applyAlignment="1">
      <alignment horizontal="center" vertical="center" wrapText="1"/>
    </xf>
    <xf numFmtId="0" fontId="10" fillId="16" borderId="13" xfId="0" applyFont="1" applyFill="1" applyBorder="1" applyAlignment="1">
      <alignment horizontal="center" vertical="center" wrapText="1"/>
    </xf>
    <xf numFmtId="2" fontId="5" fillId="0" borderId="5" xfId="0" applyNumberFormat="1" applyFont="1" applyBorder="1" applyAlignment="1">
      <alignment horizontal="center" vertical="center" wrapText="1"/>
    </xf>
    <xf numFmtId="0" fontId="12" fillId="0" borderId="5" xfId="6" applyFont="1" applyBorder="1" applyAlignment="1">
      <alignment vertical="center"/>
    </xf>
    <xf numFmtId="10" fontId="49" fillId="0" borderId="5" xfId="3" applyNumberFormat="1" applyFont="1" applyBorder="1" applyAlignment="1" applyProtection="1">
      <alignment horizontal="center" vertical="center"/>
    </xf>
    <xf numFmtId="10" fontId="49" fillId="0" borderId="5" xfId="6" applyNumberFormat="1" applyFont="1" applyBorder="1" applyAlignment="1">
      <alignment horizontal="center" vertical="center"/>
    </xf>
    <xf numFmtId="49" fontId="45" fillId="26" borderId="5" xfId="13" applyNumberFormat="1" applyFont="1" applyFill="1" applyBorder="1" applyAlignment="1" applyProtection="1">
      <alignment horizontal="center" vertical="center" wrapText="1"/>
      <protection locked="0"/>
    </xf>
    <xf numFmtId="49" fontId="30" fillId="27" borderId="5" xfId="13" applyNumberFormat="1" applyFont="1" applyFill="1" applyBorder="1" applyAlignment="1">
      <alignment horizontal="center" vertical="center" wrapText="1"/>
    </xf>
    <xf numFmtId="0" fontId="30" fillId="27" borderId="5" xfId="13" applyFont="1" applyFill="1" applyBorder="1" applyAlignment="1">
      <alignment horizontal="center" vertical="center" wrapText="1"/>
    </xf>
    <xf numFmtId="2" fontId="49" fillId="2" borderId="5" xfId="6" applyNumberFormat="1" applyFont="1" applyFill="1" applyBorder="1" applyAlignment="1" applyProtection="1">
      <alignment horizontal="center" vertical="center"/>
      <protection locked="0"/>
    </xf>
    <xf numFmtId="0" fontId="17" fillId="6" borderId="5" xfId="29" applyFont="1" applyFill="1" applyBorder="1" applyAlignment="1" applyProtection="1">
      <alignment horizontal="justify" vertical="center" wrapText="1"/>
    </xf>
    <xf numFmtId="0" fontId="17" fillId="0" borderId="2" xfId="15" applyFont="1" applyBorder="1" applyAlignment="1">
      <alignment horizontal="center" vertical="center"/>
    </xf>
    <xf numFmtId="0" fontId="17" fillId="0" borderId="0" xfId="15" applyFont="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vertical="center"/>
    </xf>
    <xf numFmtId="0" fontId="50" fillId="6" borderId="5" xfId="0" applyFont="1" applyFill="1" applyBorder="1" applyAlignment="1">
      <alignment horizontal="center" vertical="center"/>
    </xf>
    <xf numFmtId="0" fontId="17" fillId="6" borderId="12" xfId="0" applyFont="1" applyFill="1" applyBorder="1" applyAlignment="1">
      <alignment horizontal="justify" vertical="center" wrapText="1"/>
    </xf>
    <xf numFmtId="170" fontId="51" fillId="6" borderId="12" xfId="28" applyNumberFormat="1" applyFont="1" applyFill="1" applyBorder="1" applyAlignment="1" applyProtection="1">
      <alignment horizontal="center" vertical="center"/>
    </xf>
    <xf numFmtId="170" fontId="51" fillId="6" borderId="5" xfId="28" applyNumberFormat="1" applyFont="1" applyFill="1" applyBorder="1" applyAlignment="1" applyProtection="1">
      <alignment horizontal="center" vertical="center"/>
    </xf>
    <xf numFmtId="0" fontId="37" fillId="0" borderId="12" xfId="0" applyFont="1" applyBorder="1" applyAlignment="1">
      <alignment horizontal="center" vertical="center" wrapText="1"/>
    </xf>
    <xf numFmtId="0" fontId="12" fillId="0" borderId="0" xfId="6" applyFont="1" applyAlignment="1">
      <alignment horizontal="left" vertical="center" wrapText="1"/>
    </xf>
    <xf numFmtId="0" fontId="15" fillId="28" borderId="17" xfId="9" applyFont="1" applyFill="1" applyBorder="1" applyAlignment="1">
      <alignment horizontal="center" vertical="center" wrapText="1"/>
    </xf>
    <xf numFmtId="1" fontId="8" fillId="0" borderId="11" xfId="9" applyNumberFormat="1" applyFont="1" applyBorder="1" applyAlignment="1">
      <alignment horizontal="center" vertical="center"/>
    </xf>
    <xf numFmtId="0" fontId="8" fillId="0" borderId="3" xfId="9" applyFont="1" applyBorder="1" applyAlignment="1">
      <alignment horizontal="left" vertical="center"/>
    </xf>
    <xf numFmtId="1" fontId="8" fillId="0" borderId="17" xfId="9" applyNumberFormat="1" applyFont="1" applyBorder="1" applyAlignment="1">
      <alignment horizontal="center" vertical="center"/>
    </xf>
    <xf numFmtId="1" fontId="5" fillId="0" borderId="44" xfId="15" applyNumberFormat="1" applyFont="1" applyBorder="1" applyAlignment="1">
      <alignment horizontal="center" vertical="center"/>
    </xf>
    <xf numFmtId="1" fontId="0" fillId="0" borderId="5" xfId="0" applyNumberFormat="1" applyBorder="1" applyAlignment="1">
      <alignment horizontal="center" vertical="center"/>
    </xf>
    <xf numFmtId="0" fontId="0" fillId="0" borderId="0" xfId="0" applyAlignment="1">
      <alignment horizontal="center" vertical="center"/>
    </xf>
    <xf numFmtId="0" fontId="12" fillId="0" borderId="0" xfId="6" applyFont="1" applyAlignment="1">
      <alignment wrapText="1"/>
    </xf>
    <xf numFmtId="0" fontId="12" fillId="0" borderId="5" xfId="6" applyFont="1" applyBorder="1" applyAlignment="1">
      <alignment horizontal="center" vertical="center" wrapText="1"/>
    </xf>
    <xf numFmtId="0" fontId="13" fillId="0" borderId="0" xfId="6" applyFont="1" applyAlignment="1">
      <alignment horizontal="center" vertical="center" wrapText="1"/>
    </xf>
    <xf numFmtId="1" fontId="5" fillId="6" borderId="17" xfId="6" applyNumberFormat="1" applyFont="1" applyFill="1" applyBorder="1" applyAlignment="1">
      <alignment horizontal="center" vertical="center" wrapText="1"/>
    </xf>
    <xf numFmtId="0" fontId="21" fillId="0" borderId="0" xfId="6" applyFont="1" applyAlignment="1">
      <alignment horizontal="left" vertical="center" wrapText="1"/>
    </xf>
    <xf numFmtId="0" fontId="5" fillId="0" borderId="5" xfId="6" applyFont="1" applyBorder="1" applyAlignment="1" applyProtection="1">
      <alignment horizontal="center" vertical="center" wrapText="1"/>
      <protection locked="0"/>
    </xf>
    <xf numFmtId="0" fontId="5" fillId="0" borderId="0" xfId="15" applyFont="1" applyAlignment="1">
      <alignment wrapText="1"/>
    </xf>
    <xf numFmtId="1" fontId="5" fillId="6" borderId="5" xfId="6" applyNumberFormat="1" applyFont="1" applyFill="1" applyBorder="1" applyAlignment="1">
      <alignment horizontal="center" vertical="center" wrapText="1"/>
    </xf>
    <xf numFmtId="2" fontId="5" fillId="0" borderId="5" xfId="6" applyNumberFormat="1" applyFont="1" applyBorder="1" applyAlignment="1" applyProtection="1">
      <alignment horizontal="center" vertical="center" wrapText="1"/>
      <protection locked="0"/>
    </xf>
    <xf numFmtId="0" fontId="10" fillId="0" borderId="5" xfId="0" applyFont="1" applyBorder="1" applyAlignment="1">
      <alignment horizontal="center" vertical="center"/>
    </xf>
    <xf numFmtId="0" fontId="17" fillId="0" borderId="5" xfId="29" applyFont="1" applyBorder="1" applyAlignment="1" applyProtection="1">
      <alignment vertical="center" wrapText="1"/>
    </xf>
    <xf numFmtId="0" fontId="17" fillId="0" borderId="5" xfId="29" applyFont="1" applyBorder="1" applyAlignment="1" applyProtection="1">
      <alignment horizontal="justify" vertical="center" wrapText="1"/>
    </xf>
    <xf numFmtId="0" fontId="17" fillId="0" borderId="5" xfId="0" applyFont="1" applyBorder="1" applyAlignment="1">
      <alignment horizontal="justify" vertical="center" wrapText="1"/>
    </xf>
    <xf numFmtId="0" fontId="17" fillId="0" borderId="5" xfId="0" applyFont="1" applyBorder="1" applyAlignment="1">
      <alignment horizontal="center" vertical="center" wrapText="1"/>
    </xf>
    <xf numFmtId="0" fontId="13" fillId="0" borderId="0" xfId="6" applyFont="1" applyAlignment="1">
      <alignment horizontal="center" vertical="top"/>
    </xf>
    <xf numFmtId="0" fontId="20" fillId="0" borderId="48" xfId="6" applyFont="1" applyBorder="1" applyAlignment="1">
      <alignment horizontal="left"/>
    </xf>
    <xf numFmtId="0" fontId="5" fillId="0" borderId="48" xfId="6" applyFont="1" applyBorder="1" applyAlignment="1">
      <alignment horizontal="left" vertical="center"/>
    </xf>
    <xf numFmtId="0" fontId="5" fillId="0" borderId="49" xfId="6" applyFont="1" applyBorder="1" applyAlignment="1">
      <alignment horizontal="left" vertical="top"/>
    </xf>
    <xf numFmtId="0" fontId="12" fillId="0" borderId="3" xfId="6" applyFont="1" applyBorder="1" applyAlignment="1">
      <alignment horizontal="left" vertical="center"/>
    </xf>
    <xf numFmtId="0" fontId="8" fillId="3" borderId="4" xfId="6" applyFont="1" applyFill="1" applyBorder="1" applyAlignment="1">
      <alignment horizontal="center" vertical="center" wrapText="1"/>
    </xf>
    <xf numFmtId="0" fontId="8" fillId="3" borderId="4" xfId="6" applyFont="1" applyFill="1" applyBorder="1" applyAlignment="1">
      <alignment horizontal="left" vertical="center"/>
    </xf>
    <xf numFmtId="0" fontId="15" fillId="0" borderId="39" xfId="6" applyFont="1" applyBorder="1" applyAlignment="1">
      <alignment horizontal="center" vertical="center"/>
    </xf>
    <xf numFmtId="0" fontId="15" fillId="0" borderId="69" xfId="6" applyFont="1" applyBorder="1" applyAlignment="1">
      <alignment horizontal="center" vertical="center"/>
    </xf>
    <xf numFmtId="0" fontId="15" fillId="0" borderId="14" xfId="6" applyFont="1" applyBorder="1" applyAlignment="1">
      <alignment horizontal="center" vertical="center"/>
    </xf>
    <xf numFmtId="0" fontId="15" fillId="0" borderId="52" xfId="6" applyFont="1" applyBorder="1" applyAlignment="1">
      <alignment horizontal="center" vertical="center"/>
    </xf>
    <xf numFmtId="0" fontId="17" fillId="3" borderId="42" xfId="6" applyFont="1" applyFill="1" applyBorder="1" applyAlignment="1">
      <alignment horizontal="center" vertical="center" wrapText="1"/>
    </xf>
    <xf numFmtId="0" fontId="17" fillId="3" borderId="40" xfId="6" applyFont="1" applyFill="1" applyBorder="1" applyAlignment="1">
      <alignment horizontal="center" vertical="center" wrapText="1"/>
    </xf>
    <xf numFmtId="0" fontId="17" fillId="3" borderId="34" xfId="6" applyFont="1" applyFill="1" applyBorder="1" applyAlignment="1">
      <alignment horizontal="center" vertical="center" wrapText="1"/>
    </xf>
    <xf numFmtId="0" fontId="17" fillId="3" borderId="1" xfId="6" applyFont="1" applyFill="1" applyBorder="1" applyAlignment="1">
      <alignment horizontal="center" vertical="center" wrapText="1"/>
    </xf>
    <xf numFmtId="0" fontId="23" fillId="13" borderId="20" xfId="6" applyFont="1" applyFill="1" applyBorder="1" applyAlignment="1">
      <alignment horizontal="center" vertical="center" wrapText="1"/>
    </xf>
    <xf numFmtId="0" fontId="15" fillId="0" borderId="20" xfId="6" applyFont="1" applyBorder="1" applyAlignment="1">
      <alignment horizontal="center" vertical="center"/>
    </xf>
    <xf numFmtId="0" fontId="5" fillId="6" borderId="57" xfId="6" applyFont="1" applyFill="1" applyBorder="1" applyAlignment="1">
      <alignment horizontal="center" vertical="center"/>
    </xf>
    <xf numFmtId="0" fontId="8" fillId="3" borderId="60" xfId="6" applyFont="1" applyFill="1" applyBorder="1" applyAlignment="1">
      <alignment horizontal="center" vertical="center" wrapText="1"/>
    </xf>
    <xf numFmtId="0" fontId="10" fillId="3" borderId="49" xfId="6" applyFont="1" applyFill="1" applyBorder="1" applyAlignment="1">
      <alignment horizontal="center" vertical="center" textRotation="90"/>
    </xf>
    <xf numFmtId="0" fontId="15" fillId="3" borderId="48" xfId="6" applyFont="1" applyFill="1" applyBorder="1" applyAlignment="1">
      <alignment horizontal="center" vertical="center" wrapText="1"/>
    </xf>
    <xf numFmtId="0" fontId="8" fillId="3" borderId="54" xfId="6" applyFont="1" applyFill="1" applyBorder="1" applyAlignment="1">
      <alignment horizontal="center" vertical="center"/>
    </xf>
    <xf numFmtId="0" fontId="8" fillId="3" borderId="48" xfId="6" applyFont="1" applyFill="1" applyBorder="1" applyAlignment="1">
      <alignment horizontal="center" vertical="center" wrapText="1"/>
    </xf>
    <xf numFmtId="0" fontId="15" fillId="3" borderId="40" xfId="6" applyFont="1" applyFill="1" applyBorder="1" applyAlignment="1">
      <alignment horizontal="center" vertical="center" wrapText="1"/>
    </xf>
    <xf numFmtId="0" fontId="15" fillId="3" borderId="4" xfId="6" applyFont="1" applyFill="1" applyBorder="1" applyAlignment="1">
      <alignment horizontal="center" vertical="center" wrapText="1"/>
    </xf>
    <xf numFmtId="0" fontId="15" fillId="3" borderId="61" xfId="6" applyFont="1" applyFill="1" applyBorder="1" applyAlignment="1">
      <alignment horizontal="center" vertical="center" wrapText="1"/>
    </xf>
    <xf numFmtId="0" fontId="10" fillId="3" borderId="61" xfId="6" applyFont="1" applyFill="1" applyBorder="1" applyAlignment="1">
      <alignment horizontal="center" vertical="center" wrapText="1"/>
    </xf>
    <xf numFmtId="0" fontId="5" fillId="3" borderId="37" xfId="6" applyFont="1" applyFill="1" applyBorder="1" applyAlignment="1">
      <alignment horizontal="center" vertical="center" wrapText="1"/>
    </xf>
    <xf numFmtId="0" fontId="6" fillId="3" borderId="50" xfId="6" applyFont="1" applyFill="1" applyBorder="1" applyAlignment="1">
      <alignment horizontal="center" vertical="center" wrapText="1"/>
    </xf>
    <xf numFmtId="0" fontId="17" fillId="3" borderId="33" xfId="6" applyFont="1" applyFill="1" applyBorder="1" applyAlignment="1">
      <alignment horizontal="center" vertical="center" wrapText="1"/>
    </xf>
    <xf numFmtId="0" fontId="10" fillId="9" borderId="34" xfId="25" applyNumberFormat="1" applyFont="1" applyFill="1" applyBorder="1" applyAlignment="1" applyProtection="1">
      <alignment horizontal="center" vertical="center" wrapText="1"/>
    </xf>
    <xf numFmtId="0" fontId="10" fillId="9" borderId="5" xfId="25" applyNumberFormat="1" applyFont="1" applyFill="1" applyBorder="1" applyAlignment="1" applyProtection="1">
      <alignment horizontal="center" vertical="center" wrapText="1"/>
    </xf>
    <xf numFmtId="0" fontId="10" fillId="9" borderId="37" xfId="25" applyNumberFormat="1" applyFont="1" applyFill="1" applyBorder="1" applyAlignment="1" applyProtection="1">
      <alignment horizontal="right" vertical="center" wrapText="1"/>
    </xf>
    <xf numFmtId="0" fontId="10" fillId="9" borderId="22" xfId="25" applyNumberFormat="1" applyFont="1" applyFill="1" applyBorder="1" applyAlignment="1" applyProtection="1">
      <alignment horizontal="right" vertical="center" wrapText="1"/>
    </xf>
    <xf numFmtId="0" fontId="12" fillId="0" borderId="5" xfId="6" applyFont="1" applyBorder="1" applyAlignment="1">
      <alignment horizontal="center"/>
    </xf>
    <xf numFmtId="0" fontId="5" fillId="6" borderId="5" xfId="29" applyFont="1" applyFill="1" applyBorder="1" applyAlignment="1" applyProtection="1">
      <alignment horizontal="left" vertical="center" wrapText="1"/>
    </xf>
    <xf numFmtId="0" fontId="10" fillId="0" borderId="20" xfId="15" applyFont="1" applyBorder="1" applyAlignment="1">
      <alignment horizontal="center" vertical="center"/>
    </xf>
    <xf numFmtId="0" fontId="10" fillId="9" borderId="31" xfId="25" applyNumberFormat="1" applyFont="1" applyFill="1" applyBorder="1" applyAlignment="1" applyProtection="1">
      <alignment horizontal="center" vertical="center" wrapText="1"/>
    </xf>
    <xf numFmtId="0" fontId="10" fillId="9" borderId="38" xfId="25" applyNumberFormat="1" applyFont="1" applyFill="1" applyBorder="1" applyAlignment="1" applyProtection="1">
      <alignment horizontal="center" vertical="center" wrapText="1"/>
    </xf>
    <xf numFmtId="0" fontId="10" fillId="9" borderId="39" xfId="25" applyNumberFormat="1" applyFont="1" applyFill="1" applyBorder="1" applyAlignment="1" applyProtection="1">
      <alignment horizontal="center" vertical="center" wrapText="1"/>
    </xf>
    <xf numFmtId="0" fontId="11" fillId="8" borderId="34" xfId="15" applyFont="1" applyFill="1" applyBorder="1" applyAlignment="1">
      <alignment horizontal="center" vertical="center" wrapText="1"/>
    </xf>
    <xf numFmtId="0" fontId="5" fillId="6" borderId="5" xfId="0" applyFont="1" applyFill="1" applyBorder="1" applyAlignment="1">
      <alignment horizontal="left" vertical="center" wrapText="1"/>
    </xf>
    <xf numFmtId="0" fontId="10" fillId="9" borderId="11" xfId="25" applyNumberFormat="1" applyFont="1" applyFill="1" applyBorder="1" applyAlignment="1" applyProtection="1">
      <alignment horizontal="center" vertical="center" wrapText="1"/>
    </xf>
    <xf numFmtId="0" fontId="10" fillId="9" borderId="22" xfId="25" applyNumberFormat="1" applyFont="1" applyFill="1" applyBorder="1" applyAlignment="1" applyProtection="1">
      <alignment horizontal="center" vertical="center" wrapText="1"/>
    </xf>
    <xf numFmtId="164" fontId="10" fillId="9" borderId="24" xfId="4" applyFont="1" applyFill="1" applyBorder="1" applyAlignment="1" applyProtection="1">
      <alignment horizontal="center" vertical="center"/>
    </xf>
    <xf numFmtId="0" fontId="5" fillId="0" borderId="30" xfId="6" applyFont="1" applyBorder="1" applyAlignment="1">
      <alignment horizontal="left" vertical="center" wrapText="1"/>
    </xf>
    <xf numFmtId="0" fontId="10" fillId="9" borderId="32" xfId="25" applyNumberFormat="1" applyFont="1" applyFill="1" applyBorder="1" applyAlignment="1" applyProtection="1">
      <alignment horizontal="center" vertical="center" wrapText="1"/>
    </xf>
    <xf numFmtId="0" fontId="10" fillId="9" borderId="33" xfId="25" applyNumberFormat="1" applyFont="1" applyFill="1" applyBorder="1" applyAlignment="1" applyProtection="1">
      <alignment horizontal="center" vertical="center" wrapText="1"/>
    </xf>
    <xf numFmtId="0" fontId="15" fillId="8" borderId="71" xfId="25" applyNumberFormat="1" applyFont="1" applyFill="1" applyBorder="1" applyAlignment="1" applyProtection="1">
      <alignment horizontal="center" vertical="center" wrapText="1"/>
    </xf>
    <xf numFmtId="0" fontId="15" fillId="8" borderId="2" xfId="25" applyNumberFormat="1" applyFont="1" applyFill="1" applyBorder="1" applyAlignment="1" applyProtection="1">
      <alignment horizontal="center" vertical="center" wrapText="1"/>
    </xf>
    <xf numFmtId="0" fontId="15" fillId="8" borderId="46" xfId="25" applyNumberFormat="1" applyFont="1" applyFill="1" applyBorder="1" applyAlignment="1" applyProtection="1">
      <alignment horizontal="center" vertical="center" wrapText="1"/>
    </xf>
    <xf numFmtId="0" fontId="15" fillId="8" borderId="41" xfId="25" applyNumberFormat="1" applyFont="1" applyFill="1" applyBorder="1" applyAlignment="1" applyProtection="1">
      <alignment horizontal="center" vertical="center" wrapText="1"/>
    </xf>
    <xf numFmtId="0" fontId="15" fillId="8" borderId="0" xfId="25" applyNumberFormat="1" applyFont="1" applyFill="1" applyBorder="1" applyAlignment="1" applyProtection="1">
      <alignment horizontal="center" vertical="center" wrapText="1"/>
    </xf>
    <xf numFmtId="0" fontId="15" fillId="8" borderId="47" xfId="25" applyNumberFormat="1" applyFont="1" applyFill="1" applyBorder="1" applyAlignment="1" applyProtection="1">
      <alignment horizontal="center" vertical="center" wrapText="1"/>
    </xf>
    <xf numFmtId="0" fontId="15" fillId="8" borderId="23" xfId="25" applyNumberFormat="1" applyFont="1" applyFill="1" applyBorder="1" applyAlignment="1" applyProtection="1">
      <alignment horizontal="center" vertical="center" wrapText="1"/>
    </xf>
    <xf numFmtId="0" fontId="15" fillId="8" borderId="55" xfId="25" applyNumberFormat="1" applyFont="1" applyFill="1" applyBorder="1" applyAlignment="1" applyProtection="1">
      <alignment horizontal="center" vertical="center" wrapText="1"/>
    </xf>
    <xf numFmtId="0" fontId="15" fillId="8" borderId="73" xfId="25" applyNumberFormat="1" applyFont="1" applyFill="1" applyBorder="1" applyAlignment="1" applyProtection="1">
      <alignment horizontal="center" vertical="center" wrapText="1"/>
    </xf>
    <xf numFmtId="0" fontId="13" fillId="0" borderId="0" xfId="6" applyFont="1" applyAlignment="1">
      <alignment horizontal="center" vertical="top"/>
    </xf>
    <xf numFmtId="0" fontId="14" fillId="2" borderId="5" xfId="6" applyFont="1" applyFill="1" applyBorder="1" applyAlignment="1">
      <alignment horizontal="center" vertical="center" wrapText="1"/>
    </xf>
    <xf numFmtId="0" fontId="10" fillId="7" borderId="6" xfId="25" applyNumberFormat="1" applyFont="1" applyFill="1" applyBorder="1" applyAlignment="1" applyProtection="1">
      <alignment horizontal="center" vertical="center" wrapText="1"/>
    </xf>
    <xf numFmtId="0" fontId="5" fillId="7" borderId="7" xfId="25" applyNumberFormat="1" applyFont="1" applyFill="1" applyBorder="1" applyAlignment="1" applyProtection="1">
      <alignment horizontal="center" vertical="center" wrapText="1"/>
    </xf>
    <xf numFmtId="0" fontId="5" fillId="7" borderId="6" xfId="25" applyNumberFormat="1" applyFont="1" applyFill="1" applyBorder="1" applyAlignment="1" applyProtection="1">
      <alignment horizontal="center" vertical="center" wrapText="1"/>
    </xf>
    <xf numFmtId="0" fontId="5" fillId="7" borderId="8" xfId="25" applyNumberFormat="1" applyFont="1" applyFill="1" applyBorder="1" applyAlignment="1" applyProtection="1">
      <alignment horizontal="center" vertical="center" wrapText="1"/>
    </xf>
    <xf numFmtId="0" fontId="5" fillId="7" borderId="9" xfId="25" applyNumberFormat="1" applyFont="1" applyFill="1" applyBorder="1" applyAlignment="1" applyProtection="1">
      <alignment horizontal="center" vertical="center" wrapText="1"/>
    </xf>
    <xf numFmtId="0" fontId="5" fillId="7" borderId="4" xfId="25" applyNumberFormat="1" applyFont="1" applyFill="1" applyBorder="1" applyAlignment="1" applyProtection="1">
      <alignment horizontal="center" vertical="center" wrapText="1"/>
    </xf>
    <xf numFmtId="0" fontId="17" fillId="7" borderId="4" xfId="25" applyNumberFormat="1" applyFont="1" applyFill="1" applyBorder="1" applyAlignment="1" applyProtection="1">
      <alignment horizontal="center" vertical="center" wrapText="1"/>
    </xf>
    <xf numFmtId="0" fontId="5" fillId="7" borderId="10" xfId="25" applyNumberFormat="1" applyFont="1" applyFill="1" applyBorder="1" applyAlignment="1" applyProtection="1">
      <alignment horizontal="center" vertical="center" wrapText="1"/>
    </xf>
    <xf numFmtId="0" fontId="8" fillId="0" borderId="0" xfId="0" applyFont="1" applyAlignment="1">
      <alignment horizontal="center" vertical="center"/>
    </xf>
    <xf numFmtId="0" fontId="12" fillId="0" borderId="28" xfId="6" applyFont="1" applyBorder="1" applyAlignment="1">
      <alignment horizontal="left" vertical="center"/>
    </xf>
    <xf numFmtId="0" fontId="12" fillId="0" borderId="44" xfId="6" applyFont="1" applyBorder="1" applyAlignment="1">
      <alignment horizontal="left" vertical="center"/>
    </xf>
    <xf numFmtId="0" fontId="15" fillId="0" borderId="32" xfId="6" applyFont="1" applyBorder="1" applyAlignment="1">
      <alignment horizontal="left" vertical="center"/>
    </xf>
    <xf numFmtId="0" fontId="12" fillId="0" borderId="43" xfId="6" applyFont="1" applyBorder="1" applyAlignment="1">
      <alignment horizontal="center"/>
    </xf>
    <xf numFmtId="0" fontId="15" fillId="0" borderId="12" xfId="6" applyFont="1" applyBorder="1" applyAlignment="1">
      <alignment horizontal="left" vertical="center"/>
    </xf>
    <xf numFmtId="0" fontId="15" fillId="3" borderId="5" xfId="6" applyFont="1" applyFill="1" applyBorder="1" applyAlignment="1">
      <alignment horizontal="center" vertical="center" wrapText="1"/>
    </xf>
    <xf numFmtId="0" fontId="15" fillId="3" borderId="28" xfId="6" applyFont="1" applyFill="1" applyBorder="1" applyAlignment="1">
      <alignment horizontal="center" vertical="center" wrapText="1"/>
    </xf>
    <xf numFmtId="0" fontId="12" fillId="0" borderId="5" xfId="6" applyFont="1" applyBorder="1" applyAlignment="1">
      <alignment horizontal="center" vertical="center"/>
    </xf>
    <xf numFmtId="0" fontId="12" fillId="0" borderId="5" xfId="6" applyFont="1" applyBorder="1" applyAlignment="1">
      <alignment horizontal="left" vertical="center"/>
    </xf>
    <xf numFmtId="0" fontId="15" fillId="3" borderId="5" xfId="6" applyFont="1" applyFill="1" applyBorder="1" applyAlignment="1">
      <alignment horizontal="center" vertical="center"/>
    </xf>
    <xf numFmtId="0" fontId="15" fillId="2" borderId="5" xfId="6" applyFont="1" applyFill="1" applyBorder="1" applyAlignment="1" applyProtection="1">
      <alignment horizontal="center" vertical="center"/>
      <protection locked="0"/>
    </xf>
    <xf numFmtId="0" fontId="12" fillId="2" borderId="5" xfId="6" applyFont="1" applyFill="1" applyBorder="1" applyAlignment="1" applyProtection="1">
      <alignment horizontal="left" vertical="center"/>
      <protection locked="0"/>
    </xf>
    <xf numFmtId="0" fontId="12" fillId="0" borderId="18" xfId="6" applyFont="1" applyBorder="1" applyAlignment="1">
      <alignment horizontal="left" vertical="center"/>
    </xf>
    <xf numFmtId="0" fontId="12" fillId="0" borderId="5" xfId="0" applyFont="1" applyBorder="1" applyAlignment="1">
      <alignment horizontal="left" vertical="center" wrapText="1"/>
    </xf>
    <xf numFmtId="0" fontId="12" fillId="0" borderId="5" xfId="0" applyFont="1" applyBorder="1" applyAlignment="1">
      <alignment horizontal="left" vertical="center"/>
    </xf>
    <xf numFmtId="0" fontId="0" fillId="0" borderId="5" xfId="6" applyFont="1" applyBorder="1" applyAlignment="1">
      <alignment horizontal="left" vertical="center"/>
    </xf>
    <xf numFmtId="0" fontId="15" fillId="0" borderId="44" xfId="6" applyFont="1" applyBorder="1" applyAlignment="1">
      <alignment horizontal="center" vertical="center"/>
    </xf>
    <xf numFmtId="0" fontId="15" fillId="0" borderId="51" xfId="6" applyFont="1" applyBorder="1" applyAlignment="1">
      <alignment horizontal="center" vertical="center"/>
    </xf>
    <xf numFmtId="0" fontId="15" fillId="0" borderId="12" xfId="6" applyFont="1" applyBorder="1" applyAlignment="1">
      <alignment horizontal="center" vertical="center"/>
    </xf>
    <xf numFmtId="0" fontId="5" fillId="3" borderId="5" xfId="6" applyFont="1" applyFill="1" applyBorder="1" applyAlignment="1">
      <alignment horizontal="center" vertical="center" wrapText="1"/>
    </xf>
    <xf numFmtId="0" fontId="12" fillId="0" borderId="41" xfId="6" applyFont="1" applyBorder="1" applyAlignment="1">
      <alignment horizontal="left" vertical="center" wrapText="1"/>
    </xf>
    <xf numFmtId="0" fontId="12" fillId="0" borderId="0" xfId="6" applyFont="1" applyAlignment="1">
      <alignment horizontal="left" vertical="center" wrapText="1"/>
    </xf>
    <xf numFmtId="0" fontId="5" fillId="3" borderId="44" xfId="6" applyFont="1" applyFill="1" applyBorder="1" applyAlignment="1">
      <alignment horizontal="center" vertical="center" wrapText="1"/>
    </xf>
    <xf numFmtId="0" fontId="5" fillId="3" borderId="12" xfId="6" applyFont="1" applyFill="1" applyBorder="1" applyAlignment="1">
      <alignment horizontal="center" vertical="center" wrapText="1"/>
    </xf>
    <xf numFmtId="0" fontId="17" fillId="0" borderId="17" xfId="0" applyFont="1" applyBorder="1" applyAlignment="1">
      <alignment horizontal="left" vertical="center"/>
    </xf>
    <xf numFmtId="0" fontId="28" fillId="3" borderId="35" xfId="0" applyFont="1" applyFill="1" applyBorder="1" applyAlignment="1">
      <alignment horizontal="left" vertical="center"/>
    </xf>
    <xf numFmtId="0" fontId="33" fillId="14" borderId="49" xfId="0" applyFont="1" applyFill="1" applyBorder="1" applyAlignment="1">
      <alignment horizontal="justify" wrapText="1"/>
    </xf>
    <xf numFmtId="0" fontId="30" fillId="0" borderId="17" xfId="0" applyFont="1" applyBorder="1" applyAlignment="1">
      <alignment horizontal="left" vertical="center"/>
    </xf>
    <xf numFmtId="0" fontId="28" fillId="3" borderId="20" xfId="0" applyFont="1" applyFill="1" applyBorder="1" applyAlignment="1">
      <alignment horizontal="center" vertical="center"/>
    </xf>
    <xf numFmtId="0" fontId="31" fillId="15" borderId="34" xfId="5" applyFont="1" applyFill="1" applyBorder="1" applyAlignment="1">
      <alignment horizontal="center" vertical="center" wrapText="1"/>
    </xf>
    <xf numFmtId="0" fontId="6" fillId="0" borderId="17" xfId="5" applyFont="1" applyBorder="1" applyAlignment="1">
      <alignment horizontal="center" vertical="center" wrapText="1"/>
    </xf>
    <xf numFmtId="0" fontId="6" fillId="0" borderId="19" xfId="5" applyFont="1" applyBorder="1" applyAlignment="1">
      <alignment horizontal="center" vertical="center" wrapText="1"/>
    </xf>
    <xf numFmtId="0" fontId="28" fillId="3" borderId="19" xfId="0" applyFont="1" applyFill="1" applyBorder="1" applyAlignment="1">
      <alignment horizontal="left" vertical="center"/>
    </xf>
    <xf numFmtId="0" fontId="28" fillId="0" borderId="17" xfId="0" applyFont="1" applyBorder="1" applyAlignment="1">
      <alignment horizontal="left" vertical="center"/>
    </xf>
    <xf numFmtId="0" fontId="17" fillId="0" borderId="17" xfId="0" applyFont="1" applyBorder="1" applyAlignment="1">
      <alignment horizontal="left" vertical="center" wrapText="1"/>
    </xf>
    <xf numFmtId="0" fontId="28" fillId="3" borderId="17" xfId="0" applyFont="1" applyFill="1" applyBorder="1" applyAlignment="1">
      <alignment horizontal="left" vertical="center"/>
    </xf>
    <xf numFmtId="0" fontId="28" fillId="3" borderId="20" xfId="0" applyFont="1" applyFill="1" applyBorder="1" applyAlignment="1">
      <alignment horizontal="left" vertical="center"/>
    </xf>
    <xf numFmtId="0" fontId="26" fillId="3" borderId="48" xfId="0" applyFont="1" applyFill="1" applyBorder="1" applyAlignment="1">
      <alignment horizontal="center" vertical="center"/>
    </xf>
    <xf numFmtId="0" fontId="10" fillId="13" borderId="15" xfId="0" applyFont="1" applyFill="1" applyBorder="1" applyAlignment="1">
      <alignment horizontal="center" wrapText="1"/>
    </xf>
    <xf numFmtId="0" fontId="10" fillId="3" borderId="20" xfId="0" applyFont="1" applyFill="1" applyBorder="1" applyAlignment="1">
      <alignment horizontal="center" vertical="center"/>
    </xf>
    <xf numFmtId="0" fontId="5" fillId="0" borderId="5" xfId="15" applyFont="1" applyBorder="1" applyAlignment="1">
      <alignment horizontal="center" vertical="center" wrapText="1"/>
    </xf>
    <xf numFmtId="0" fontId="15" fillId="0" borderId="5" xfId="15" applyFont="1" applyBorder="1" applyAlignment="1">
      <alignment horizontal="center" vertical="center"/>
    </xf>
    <xf numFmtId="49" fontId="15" fillId="3" borderId="22" xfId="15" applyNumberFormat="1" applyFont="1" applyFill="1" applyBorder="1" applyAlignment="1">
      <alignment horizontal="left" vertical="center" wrapText="1"/>
    </xf>
    <xf numFmtId="0" fontId="8" fillId="3" borderId="0" xfId="9" applyFont="1" applyFill="1" applyAlignment="1">
      <alignment horizontal="center" vertical="center"/>
    </xf>
    <xf numFmtId="0" fontId="10" fillId="13" borderId="15" xfId="0" applyFont="1" applyFill="1" applyBorder="1" applyAlignment="1">
      <alignment horizontal="center" vertical="center" wrapText="1"/>
    </xf>
    <xf numFmtId="0" fontId="15" fillId="0" borderId="34" xfId="15" applyFont="1" applyBorder="1" applyAlignment="1">
      <alignment horizontal="center" vertical="center"/>
    </xf>
    <xf numFmtId="0" fontId="15" fillId="0" borderId="31" xfId="15" applyFont="1" applyBorder="1" applyAlignment="1">
      <alignment horizontal="center" vertical="center"/>
    </xf>
    <xf numFmtId="49" fontId="15" fillId="3" borderId="35" xfId="15" applyNumberFormat="1" applyFont="1" applyFill="1" applyBorder="1" applyAlignment="1">
      <alignment horizontal="left" vertical="center" wrapText="1"/>
    </xf>
    <xf numFmtId="0" fontId="8" fillId="0" borderId="48" xfId="0" applyFont="1" applyBorder="1" applyAlignment="1">
      <alignment horizontal="center" vertical="center"/>
    </xf>
    <xf numFmtId="0" fontId="10" fillId="13" borderId="20" xfId="0" applyFont="1" applyFill="1" applyBorder="1" applyAlignment="1">
      <alignment horizontal="center" vertical="center" wrapText="1"/>
    </xf>
    <xf numFmtId="49" fontId="15" fillId="25" borderId="67" xfId="0" applyNumberFormat="1" applyFont="1" applyFill="1" applyBorder="1" applyAlignment="1">
      <alignment horizontal="center" vertical="center" wrapText="1"/>
    </xf>
    <xf numFmtId="49" fontId="15" fillId="25" borderId="72" xfId="0" applyNumberFormat="1" applyFont="1" applyFill="1" applyBorder="1" applyAlignment="1">
      <alignment horizontal="center" vertical="center" wrapText="1"/>
    </xf>
    <xf numFmtId="49" fontId="15" fillId="25" borderId="27" xfId="0" applyNumberFormat="1"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5" xfId="15" applyFont="1" applyFill="1" applyBorder="1" applyAlignment="1">
      <alignment horizontal="center" vertical="center" wrapText="1"/>
    </xf>
    <xf numFmtId="0" fontId="8" fillId="3" borderId="22" xfId="15" applyFont="1" applyFill="1" applyBorder="1" applyAlignment="1">
      <alignment horizontal="center" vertical="center"/>
    </xf>
    <xf numFmtId="0" fontId="23" fillId="3" borderId="4" xfId="9" applyFont="1" applyFill="1" applyBorder="1" applyAlignment="1">
      <alignment horizontal="center" vertical="center"/>
    </xf>
    <xf numFmtId="0" fontId="39" fillId="3" borderId="17" xfId="15" applyFont="1" applyFill="1" applyBorder="1" applyAlignment="1">
      <alignment horizontal="center" vertical="center" wrapText="1"/>
    </xf>
    <xf numFmtId="0" fontId="10" fillId="3" borderId="5" xfId="15" applyFont="1" applyFill="1" applyBorder="1" applyAlignment="1">
      <alignment horizontal="center" vertical="center" wrapText="1"/>
    </xf>
    <xf numFmtId="0" fontId="10" fillId="3" borderId="19" xfId="15" applyFont="1" applyFill="1" applyBorder="1" applyAlignment="1">
      <alignment horizontal="center" vertical="center" wrapText="1"/>
    </xf>
    <xf numFmtId="0" fontId="23" fillId="3" borderId="48" xfId="9" applyFont="1" applyFill="1" applyBorder="1" applyAlignment="1">
      <alignment horizontal="center" vertical="center"/>
    </xf>
    <xf numFmtId="0" fontId="15" fillId="13" borderId="15" xfId="0" applyFont="1" applyFill="1" applyBorder="1" applyAlignment="1">
      <alignment horizontal="center" vertical="center" wrapText="1"/>
    </xf>
    <xf numFmtId="0" fontId="31" fillId="3" borderId="17" xfId="15" applyFont="1" applyFill="1" applyBorder="1" applyAlignment="1">
      <alignment horizontal="center" vertical="center" wrapText="1"/>
    </xf>
    <xf numFmtId="0" fontId="8" fillId="3" borderId="54" xfId="9" applyFont="1" applyFill="1" applyBorder="1" applyAlignment="1">
      <alignment horizontal="left" vertical="center"/>
    </xf>
    <xf numFmtId="0" fontId="15" fillId="28" borderId="35" xfId="9" applyFont="1" applyFill="1" applyBorder="1" applyAlignment="1">
      <alignment horizontal="center" vertical="center" wrapText="1"/>
    </xf>
    <xf numFmtId="0" fontId="15" fillId="28" borderId="70" xfId="9" applyFont="1" applyFill="1" applyBorder="1" applyAlignment="1">
      <alignment horizontal="center" vertical="center" wrapText="1"/>
    </xf>
    <xf numFmtId="0" fontId="15" fillId="28" borderId="11" xfId="9" applyFont="1" applyFill="1" applyBorder="1" applyAlignment="1">
      <alignment horizontal="center" vertical="center" wrapText="1"/>
    </xf>
    <xf numFmtId="4" fontId="10" fillId="0" borderId="17" xfId="9" applyNumberFormat="1" applyFont="1" applyBorder="1" applyAlignment="1">
      <alignment horizontal="center" vertical="center"/>
    </xf>
    <xf numFmtId="0" fontId="15" fillId="28" borderId="17" xfId="9" applyFont="1" applyFill="1" applyBorder="1" applyAlignment="1">
      <alignment horizontal="center" vertical="center" wrapText="1"/>
    </xf>
    <xf numFmtId="0" fontId="5" fillId="0" borderId="17" xfId="9" applyFont="1" applyBorder="1" applyAlignment="1">
      <alignment horizontal="center" vertical="center" wrapText="1"/>
    </xf>
    <xf numFmtId="4" fontId="10" fillId="0" borderId="22" xfId="0" applyNumberFormat="1" applyFont="1" applyBorder="1" applyAlignment="1">
      <alignment horizontal="center" vertical="center"/>
    </xf>
    <xf numFmtId="4" fontId="10" fillId="0" borderId="24" xfId="0" applyNumberFormat="1" applyFont="1" applyBorder="1" applyAlignment="1">
      <alignment horizontal="center" vertical="center"/>
    </xf>
    <xf numFmtId="0" fontId="10" fillId="13" borderId="5" xfId="15" applyFont="1" applyFill="1" applyBorder="1" applyAlignment="1">
      <alignment horizontal="center" vertical="center" wrapText="1"/>
    </xf>
    <xf numFmtId="0" fontId="10" fillId="29" borderId="0" xfId="0" applyFont="1" applyFill="1" applyAlignment="1">
      <alignment horizontal="center" vertical="center" wrapText="1"/>
    </xf>
    <xf numFmtId="0" fontId="40" fillId="9" borderId="5" xfId="25" applyNumberFormat="1" applyFont="1" applyFill="1" applyBorder="1" applyAlignment="1" applyProtection="1">
      <alignment horizontal="center" vertical="center" wrapText="1"/>
    </xf>
    <xf numFmtId="0" fontId="5" fillId="0" borderId="0" xfId="9" applyFont="1" applyAlignment="1">
      <alignment horizontal="left" vertical="center"/>
    </xf>
    <xf numFmtId="0" fontId="36" fillId="3" borderId="5" xfId="13" applyFont="1" applyFill="1" applyBorder="1" applyAlignment="1" applyProtection="1">
      <alignment horizontal="center" vertical="center"/>
      <protection locked="0"/>
    </xf>
    <xf numFmtId="0" fontId="36" fillId="0" borderId="5" xfId="13" applyFont="1" applyBorder="1" applyAlignment="1">
      <alignment horizontal="left" vertical="center"/>
    </xf>
    <xf numFmtId="0" fontId="5" fillId="0" borderId="5" xfId="13" applyFont="1" applyBorder="1" applyAlignment="1" applyProtection="1">
      <alignment horizontal="left" vertical="center" wrapText="1"/>
      <protection locked="0"/>
    </xf>
    <xf numFmtId="0" fontId="36" fillId="3" borderId="5" xfId="13" applyFont="1" applyFill="1" applyBorder="1" applyAlignment="1">
      <alignment horizontal="center" vertical="center"/>
    </xf>
    <xf numFmtId="0" fontId="36" fillId="6" borderId="5" xfId="13" applyFont="1" applyFill="1" applyBorder="1" applyAlignment="1">
      <alignment horizontal="center" vertical="center"/>
    </xf>
    <xf numFmtId="0" fontId="36" fillId="3" borderId="5" xfId="13" applyFont="1" applyFill="1" applyBorder="1" applyAlignment="1" applyProtection="1">
      <alignment horizontal="left" vertical="center" wrapText="1"/>
      <protection locked="0"/>
    </xf>
    <xf numFmtId="0" fontId="10" fillId="0" borderId="5" xfId="13" applyFont="1" applyBorder="1" applyAlignment="1" applyProtection="1">
      <alignment horizontal="left" vertical="center" wrapText="1"/>
      <protection locked="0"/>
    </xf>
    <xf numFmtId="0" fontId="5" fillId="0" borderId="5" xfId="13" applyFont="1" applyBorder="1" applyAlignment="1" applyProtection="1">
      <alignment horizontal="left" vertical="center"/>
      <protection locked="0"/>
    </xf>
    <xf numFmtId="0" fontId="36" fillId="0" borderId="5" xfId="13" applyFont="1" applyBorder="1" applyAlignment="1" applyProtection="1">
      <alignment horizontal="left" vertical="center"/>
      <protection locked="0"/>
    </xf>
    <xf numFmtId="0" fontId="46" fillId="19" borderId="5" xfId="13" applyFont="1" applyFill="1" applyBorder="1" applyAlignment="1">
      <alignment horizontal="left" vertical="center"/>
    </xf>
    <xf numFmtId="0" fontId="5" fillId="0" borderId="5" xfId="13" applyFont="1" applyBorder="1" applyAlignment="1">
      <alignment horizontal="left" vertical="center"/>
    </xf>
    <xf numFmtId="0" fontId="36" fillId="0" borderId="5" xfId="13" applyFont="1" applyBorder="1" applyAlignment="1">
      <alignment horizontal="left" vertical="center" wrapText="1"/>
    </xf>
    <xf numFmtId="0" fontId="44" fillId="3" borderId="5" xfId="13" applyFont="1" applyFill="1" applyBorder="1" applyAlignment="1">
      <alignment horizontal="center" vertical="center" wrapText="1"/>
    </xf>
    <xf numFmtId="0" fontId="30" fillId="6" borderId="5" xfId="13" applyFont="1" applyFill="1" applyBorder="1" applyAlignment="1">
      <alignment horizontal="center" vertical="center"/>
    </xf>
    <xf numFmtId="10" fontId="36" fillId="6" borderId="5" xfId="13" applyNumberFormat="1" applyFont="1" applyFill="1" applyBorder="1" applyAlignment="1">
      <alignment horizontal="center" vertical="center"/>
    </xf>
    <xf numFmtId="0" fontId="36" fillId="6" borderId="5" xfId="13" applyFont="1" applyFill="1" applyBorder="1" applyAlignment="1">
      <alignment horizontal="left" vertical="center" wrapText="1"/>
    </xf>
    <xf numFmtId="0" fontId="45" fillId="6" borderId="5" xfId="13" applyFont="1" applyFill="1" applyBorder="1" applyAlignment="1" applyProtection="1">
      <alignment horizontal="center" vertical="center"/>
      <protection locked="0"/>
    </xf>
    <xf numFmtId="4" fontId="10" fillId="13" borderId="28" xfId="17" applyNumberFormat="1" applyFont="1" applyFill="1" applyBorder="1" applyAlignment="1" applyProtection="1">
      <alignment horizontal="center" vertical="center" wrapText="1"/>
    </xf>
    <xf numFmtId="0" fontId="5" fillId="0" borderId="17" xfId="9" applyFont="1" applyBorder="1" applyAlignment="1">
      <alignment horizontal="left" vertical="center"/>
    </xf>
    <xf numFmtId="0" fontId="10" fillId="3" borderId="35" xfId="9" applyFont="1" applyFill="1" applyBorder="1" applyAlignment="1">
      <alignment horizontal="center" vertical="center"/>
    </xf>
    <xf numFmtId="0" fontId="10" fillId="3" borderId="17" xfId="9" applyFont="1" applyFill="1" applyBorder="1" applyAlignment="1">
      <alignment vertical="center"/>
    </xf>
    <xf numFmtId="0" fontId="10" fillId="3" borderId="22" xfId="0" applyFont="1" applyFill="1" applyBorder="1" applyAlignment="1">
      <alignment vertical="center"/>
    </xf>
    <xf numFmtId="0" fontId="10" fillId="3" borderId="54" xfId="9" applyFont="1" applyFill="1" applyBorder="1" applyAlignment="1">
      <alignment horizontal="left" vertical="center"/>
    </xf>
    <xf numFmtId="0" fontId="10" fillId="3" borderId="61" xfId="9" applyFont="1" applyFill="1" applyBorder="1" applyAlignment="1">
      <alignment horizontal="center" vertical="center"/>
    </xf>
    <xf numFmtId="0" fontId="10" fillId="3" borderId="6" xfId="9" applyFont="1" applyFill="1" applyBorder="1" applyAlignment="1">
      <alignment horizontal="left" vertical="center"/>
    </xf>
    <xf numFmtId="0" fontId="10" fillId="3" borderId="34" xfId="9" applyFont="1" applyFill="1" applyBorder="1" applyAlignment="1">
      <alignment horizontal="center" vertical="center"/>
    </xf>
    <xf numFmtId="0" fontId="5" fillId="0" borderId="17" xfId="9" applyFont="1" applyBorder="1" applyAlignment="1">
      <alignment horizontal="center" vertical="center"/>
    </xf>
    <xf numFmtId="4" fontId="5" fillId="0" borderId="68" xfId="9" applyNumberFormat="1" applyFont="1" applyBorder="1" applyAlignment="1">
      <alignment horizontal="center" vertical="center" wrapText="1"/>
    </xf>
    <xf numFmtId="0" fontId="5" fillId="0" borderId="17" xfId="9" applyFont="1" applyBorder="1" applyAlignment="1">
      <alignment vertical="center"/>
    </xf>
    <xf numFmtId="0" fontId="5" fillId="0" borderId="35" xfId="9" applyFont="1" applyBorder="1" applyAlignment="1">
      <alignment horizontal="left" vertical="center"/>
    </xf>
    <xf numFmtId="0" fontId="5" fillId="0" borderId="17" xfId="9" applyFont="1" applyBorder="1" applyAlignment="1">
      <alignment horizontal="left" vertical="center" wrapText="1"/>
    </xf>
    <xf numFmtId="9" fontId="10" fillId="3" borderId="58" xfId="17" applyFont="1" applyFill="1" applyBorder="1" applyAlignment="1" applyProtection="1">
      <alignment horizontal="left" vertical="center"/>
    </xf>
    <xf numFmtId="0" fontId="10" fillId="3" borderId="15" xfId="9" applyFont="1" applyFill="1" applyBorder="1" applyAlignment="1">
      <alignment horizontal="center" vertical="center"/>
    </xf>
    <xf numFmtId="0" fontId="5" fillId="0" borderId="5" xfId="9" applyFont="1" applyBorder="1" applyAlignment="1">
      <alignment horizontal="center" vertical="center"/>
    </xf>
    <xf numFmtId="4" fontId="5" fillId="0" borderId="19" xfId="9" applyNumberFormat="1" applyFont="1" applyBorder="1" applyAlignment="1">
      <alignment horizontal="center" vertical="center"/>
    </xf>
    <xf numFmtId="0" fontId="17" fillId="0" borderId="5" xfId="9" applyFont="1" applyBorder="1" applyAlignment="1">
      <alignment horizontal="center" vertical="center"/>
    </xf>
    <xf numFmtId="4" fontId="17" fillId="0" borderId="19" xfId="9" applyNumberFormat="1" applyFont="1" applyBorder="1" applyAlignment="1">
      <alignment horizontal="center" vertical="center" wrapText="1"/>
    </xf>
    <xf numFmtId="0" fontId="5" fillId="0" borderId="35" xfId="9" applyFont="1" applyBorder="1" applyAlignment="1">
      <alignment horizontal="center" vertical="center"/>
    </xf>
    <xf numFmtId="0" fontId="5" fillId="0" borderId="5" xfId="9" applyFont="1" applyBorder="1" applyAlignment="1" applyProtection="1">
      <alignment horizontal="left" vertical="center"/>
      <protection locked="0"/>
    </xf>
    <xf numFmtId="0" fontId="5" fillId="0" borderId="5" xfId="9" applyFont="1" applyBorder="1" applyAlignment="1" applyProtection="1">
      <alignment horizontal="left" vertical="center" wrapText="1"/>
      <protection locked="0"/>
    </xf>
    <xf numFmtId="0" fontId="10" fillId="3" borderId="5" xfId="9" applyFont="1" applyFill="1" applyBorder="1" applyAlignment="1">
      <alignment horizontal="left" vertical="center"/>
    </xf>
    <xf numFmtId="0" fontId="5" fillId="0" borderId="51" xfId="9" applyFont="1" applyBorder="1" applyAlignment="1">
      <alignment horizontal="left" vertical="center"/>
    </xf>
    <xf numFmtId="0" fontId="8" fillId="3" borderId="4" xfId="9" applyFont="1" applyFill="1" applyBorder="1" applyAlignment="1">
      <alignment horizontal="center" vertical="center" wrapText="1"/>
    </xf>
    <xf numFmtId="0" fontId="8" fillId="3" borderId="48" xfId="9" applyFont="1" applyFill="1" applyBorder="1" applyAlignment="1">
      <alignment horizontal="center" vertical="center"/>
    </xf>
    <xf numFmtId="0" fontId="7" fillId="0" borderId="49" xfId="9" applyFont="1" applyBorder="1" applyAlignment="1">
      <alignment horizontal="left" vertical="center"/>
    </xf>
    <xf numFmtId="0" fontId="10" fillId="0" borderId="34" xfId="9" applyFont="1" applyBorder="1" applyAlignment="1">
      <alignment horizontal="left" vertical="center"/>
    </xf>
    <xf numFmtId="4" fontId="30" fillId="3" borderId="4" xfId="9" applyNumberFormat="1" applyFont="1" applyFill="1" applyBorder="1" applyAlignment="1">
      <alignment horizontal="center" vertical="center" wrapText="1"/>
    </xf>
    <xf numFmtId="0" fontId="10" fillId="3" borderId="67" xfId="9" applyFont="1" applyFill="1" applyBorder="1" applyAlignment="1">
      <alignment horizontal="left" vertical="center" wrapText="1"/>
    </xf>
    <xf numFmtId="2" fontId="5" fillId="0" borderId="17" xfId="9" applyNumberFormat="1" applyFont="1" applyBorder="1" applyAlignment="1">
      <alignment horizontal="left" vertical="center"/>
    </xf>
    <xf numFmtId="0" fontId="5" fillId="0" borderId="37" xfId="9" applyFont="1" applyBorder="1" applyAlignment="1">
      <alignment horizontal="left" vertical="center"/>
    </xf>
    <xf numFmtId="0" fontId="5" fillId="0" borderId="21" xfId="9" applyFont="1" applyBorder="1" applyAlignment="1">
      <alignment horizontal="left" vertical="center"/>
    </xf>
    <xf numFmtId="0" fontId="31" fillId="16" borderId="5" xfId="0" applyFont="1" applyFill="1" applyBorder="1" applyAlignment="1">
      <alignment horizontal="center" vertical="center"/>
    </xf>
    <xf numFmtId="0" fontId="30" fillId="0" borderId="21" xfId="0" applyFont="1" applyBorder="1" applyAlignment="1">
      <alignment horizontal="left" vertical="center"/>
    </xf>
    <xf numFmtId="0" fontId="8" fillId="16" borderId="5" xfId="0" applyFont="1" applyFill="1" applyBorder="1" applyAlignment="1">
      <alignment horizontal="center" vertical="center" wrapText="1"/>
    </xf>
  </cellXfs>
  <cellStyles count="35">
    <cellStyle name="Excel Built-in Explanatory Text" xfId="29" xr:uid="{00000000-0005-0000-0000-00001F000000}"/>
    <cellStyle name="Excel Built-in Explanatory Text 2" xfId="30" xr:uid="{00000000-0005-0000-0000-000020000000}"/>
    <cellStyle name="Moeda" xfId="2" builtinId="4"/>
    <cellStyle name="Moeda 2" xfId="32" xr:uid="{756CAD64-FEE7-4629-BAE3-CF560E1F9BE3}"/>
    <cellStyle name="Moeda 8" xfId="4" xr:uid="{00000000-0005-0000-0000-000006000000}"/>
    <cellStyle name="Normal" xfId="0" builtinId="0"/>
    <cellStyle name="Normal 12" xfId="5" xr:uid="{00000000-0005-0000-0000-000007000000}"/>
    <cellStyle name="Normal 2" xfId="6" xr:uid="{00000000-0005-0000-0000-000008000000}"/>
    <cellStyle name="Normal 2 2" xfId="7" xr:uid="{00000000-0005-0000-0000-000009000000}"/>
    <cellStyle name="Normal 2 2 2" xfId="8" xr:uid="{00000000-0005-0000-0000-00000A000000}"/>
    <cellStyle name="Normal 3" xfId="9" xr:uid="{00000000-0005-0000-0000-00000B000000}"/>
    <cellStyle name="Normal 3 3" xfId="10" xr:uid="{00000000-0005-0000-0000-00000C000000}"/>
    <cellStyle name="Normal 4" xfId="11" xr:uid="{00000000-0005-0000-0000-00000D000000}"/>
    <cellStyle name="Normal 5" xfId="31" xr:uid="{3897D031-F305-44E5-AA31-6720BBA25599}"/>
    <cellStyle name="Normal 7 2" xfId="12" xr:uid="{00000000-0005-0000-0000-00000E000000}"/>
    <cellStyle name="Normal 8" xfId="13" xr:uid="{00000000-0005-0000-0000-00000F000000}"/>
    <cellStyle name="Normal 9" xfId="14" xr:uid="{00000000-0005-0000-0000-000010000000}"/>
    <cellStyle name="Normal_Plan1" xfId="15" xr:uid="{00000000-0005-0000-0000-000011000000}"/>
    <cellStyle name="Porcentagem" xfId="3" builtinId="5"/>
    <cellStyle name="Porcentagem 12" xfId="16" xr:uid="{00000000-0005-0000-0000-000012000000}"/>
    <cellStyle name="Porcentagem 2" xfId="17" xr:uid="{00000000-0005-0000-0000-000013000000}"/>
    <cellStyle name="Porcentagem 3" xfId="34" xr:uid="{9F5A2B24-F707-4968-9BDA-6071D11D38B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C000000}"/>
    <cellStyle name="Vírgula 3" xfId="33" xr:uid="{C61EE891-F675-4DB2-AB44-8282C471AC5C}"/>
    <cellStyle name="Vírgula 4" xfId="27" xr:uid="{00000000-0005-0000-0000-00001D000000}"/>
    <cellStyle name="Vírgula 5" xfId="28" xr:uid="{00000000-0005-0000-0000-00001E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CCFF"/>
      <rgbColor rgb="FFDCE6F2"/>
      <rgbColor rgb="FFC6EFCE"/>
      <rgbColor rgb="FFFFFF99"/>
      <rgbColor rgb="FF9DC3E6"/>
      <rgbColor rgb="FFFFC7CE"/>
      <rgbColor rgb="FFBFBFBF"/>
      <rgbColor rgb="FFF8CBAD"/>
      <rgbColor rgb="FF3366FF"/>
      <rgbColor rgb="FF4ADAFC"/>
      <rgbColor rgb="FF99CC00"/>
      <rgbColor rgb="FFF2DCDB"/>
      <rgbColor rgb="FFFF9900"/>
      <rgbColor rgb="FFFF6600"/>
      <rgbColor rgb="FF606060"/>
      <rgbColor rgb="FF969696"/>
      <rgbColor rgb="FF10243E"/>
      <rgbColor rgb="FF339966"/>
      <rgbColor rgb="FF003300"/>
      <rgbColor rgb="FF333300"/>
      <rgbColor rgb="FF993300"/>
      <rgbColor rgb="FF993366"/>
      <rgbColor rgb="FF595959"/>
      <rgbColor rgb="FF333333"/>
      <rgbColor rgb="00003366"/>
      <rgbColor rgb="00339966"/>
      <rgbColor rgb="00003300"/>
      <rgbColor rgb="00333300"/>
      <rgbColor rgb="00993300"/>
      <rgbColor rgb="00993366"/>
      <rgbColor rgb="00333399"/>
      <rgbColor rgb="00333333"/>
    </indexedColors>
    <mruColors>
      <color rgb="FFFF9999"/>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9585</xdr:colOff>
      <xdr:row>0</xdr:row>
      <xdr:rowOff>123945</xdr:rowOff>
    </xdr:from>
    <xdr:to>
      <xdr:col>0</xdr:col>
      <xdr:colOff>394455</xdr:colOff>
      <xdr:row>2</xdr:row>
      <xdr:rowOff>47625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85" y="123945"/>
          <a:ext cx="384870" cy="390405"/>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395280</xdr:colOff>
      <xdr:row>2</xdr:row>
      <xdr:rowOff>23760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95400" y="57240"/>
          <a:ext cx="299880" cy="3474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4" name="Picture 1">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5" name="Picture 1">
          <a:extLst>
            <a:ext uri="{FF2B5EF4-FFF2-40B4-BE49-F238E27FC236}">
              <a16:creationId xmlns:a16="http://schemas.microsoft.com/office/drawing/2014/main" id="{00000000-0008-0000-0F00-00000F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6" name="Picture 1">
          <a:extLst>
            <a:ext uri="{FF2B5EF4-FFF2-40B4-BE49-F238E27FC236}">
              <a16:creationId xmlns:a16="http://schemas.microsoft.com/office/drawing/2014/main" id="{00000000-0008-0000-1000-000010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8" name="Picture 1">
          <a:extLst>
            <a:ext uri="{FF2B5EF4-FFF2-40B4-BE49-F238E27FC236}">
              <a16:creationId xmlns:a16="http://schemas.microsoft.com/office/drawing/2014/main" id="{00000000-0008-0000-1200-000012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19" name="Picture 1">
          <a:extLst>
            <a:ext uri="{FF2B5EF4-FFF2-40B4-BE49-F238E27FC236}">
              <a16:creationId xmlns:a16="http://schemas.microsoft.com/office/drawing/2014/main" id="{00000000-0008-0000-1300-000013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398160</xdr:colOff>
      <xdr:row>2</xdr:row>
      <xdr:rowOff>23760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5400" y="57240"/>
          <a:ext cx="302760" cy="34740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576000</xdr:colOff>
      <xdr:row>2</xdr:row>
      <xdr:rowOff>128520</xdr:rowOff>
    </xdr:to>
    <xdr:pic>
      <xdr:nvPicPr>
        <xdr:cNvPr id="20" name="Picture 1">
          <a:extLst>
            <a:ext uri="{FF2B5EF4-FFF2-40B4-BE49-F238E27FC236}">
              <a16:creationId xmlns:a16="http://schemas.microsoft.com/office/drawing/2014/main" id="{00000000-0008-0000-1400-000014000000}"/>
            </a:ext>
          </a:extLst>
        </xdr:cNvPr>
        <xdr:cNvPicPr/>
      </xdr:nvPicPr>
      <xdr:blipFill>
        <a:blip xmlns:r="http://schemas.openxmlformats.org/officeDocument/2006/relationships" r:embed="rId1"/>
        <a:stretch/>
      </xdr:blipFill>
      <xdr:spPr>
        <a:xfrm>
          <a:off x="171360" y="38160"/>
          <a:ext cx="404640" cy="47124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452160</xdr:colOff>
      <xdr:row>2</xdr:row>
      <xdr:rowOff>128520</xdr:rowOff>
    </xdr:to>
    <xdr:pic>
      <xdr:nvPicPr>
        <xdr:cNvPr id="21" name="Picture 1">
          <a:extLst>
            <a:ext uri="{FF2B5EF4-FFF2-40B4-BE49-F238E27FC236}">
              <a16:creationId xmlns:a16="http://schemas.microsoft.com/office/drawing/2014/main" id="{00000000-0008-0000-1500-000015000000}"/>
            </a:ext>
          </a:extLst>
        </xdr:cNvPr>
        <xdr:cNvPicPr/>
      </xdr:nvPicPr>
      <xdr:blipFill>
        <a:blip xmlns:r="http://schemas.openxmlformats.org/officeDocument/2006/relationships" r:embed="rId1"/>
        <a:stretch/>
      </xdr:blipFill>
      <xdr:spPr>
        <a:xfrm>
          <a:off x="142920" y="38160"/>
          <a:ext cx="309240" cy="4712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566640</xdr:colOff>
      <xdr:row>2</xdr:row>
      <xdr:rowOff>199800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3960" cy="5245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452160</xdr:colOff>
      <xdr:row>2</xdr:row>
      <xdr:rowOff>90360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4640" cy="4712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399240</xdr:colOff>
      <xdr:row>2</xdr:row>
      <xdr:rowOff>27720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8160" y="85680"/>
          <a:ext cx="361080" cy="3708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561975</xdr:colOff>
      <xdr:row>2</xdr:row>
      <xdr:rowOff>142875</xdr:rowOff>
    </xdr:to>
    <xdr:pic>
      <xdr:nvPicPr>
        <xdr:cNvPr id="2" name="Picture 1">
          <a:extLst>
            <a:ext uri="{FF2B5EF4-FFF2-40B4-BE49-F238E27FC236}">
              <a16:creationId xmlns:a16="http://schemas.microsoft.com/office/drawing/2014/main" id="{49E33746-FC23-4205-9375-0CD4FC33B820}"/>
            </a:ext>
          </a:extLst>
        </xdr:cNvPr>
        <xdr:cNvPicPr/>
      </xdr:nvPicPr>
      <xdr:blipFill>
        <a:blip xmlns:r="http://schemas.openxmlformats.org/officeDocument/2006/relationships" r:embed="rId1"/>
        <a:stretch/>
      </xdr:blipFill>
      <xdr:spPr>
        <a:xfrm>
          <a:off x="85725" y="85725"/>
          <a:ext cx="476250" cy="43815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67320</xdr:colOff>
      <xdr:row>0</xdr:row>
      <xdr:rowOff>111960</xdr:rowOff>
    </xdr:from>
    <xdr:to>
      <xdr:col>1</xdr:col>
      <xdr:colOff>19800</xdr:colOff>
      <xdr:row>2</xdr:row>
      <xdr:rowOff>39600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67320" y="111960"/>
          <a:ext cx="304920" cy="3373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181080</xdr:colOff>
      <xdr:row>0</xdr:row>
      <xdr:rowOff>99720</xdr:rowOff>
    </xdr:from>
    <xdr:to>
      <xdr:col>0</xdr:col>
      <xdr:colOff>681840</xdr:colOff>
      <xdr:row>2</xdr:row>
      <xdr:rowOff>125280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81080" y="99720"/>
          <a:ext cx="500760" cy="47340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661680</xdr:colOff>
      <xdr:row>2</xdr:row>
      <xdr:rowOff>99720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57040" y="66600"/>
          <a:ext cx="404640" cy="414000"/>
        </a:xfrm>
        <a:prstGeom prst="rect">
          <a:avLst/>
        </a:prstGeom>
        <a:ln w="0">
          <a:noFill/>
        </a:ln>
      </xdr:spPr>
    </xdr:pic>
    <xdr:clientData/>
  </xdr:twoCellAnchor>
</xdr:wsDr>
</file>

<file path=xl/theme/theme1.xml><?xml version="1.0" encoding="utf-8"?>
<a:theme xmlns:a="http://schemas.openxmlformats.org/drawingml/2006/main"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FF9999"/>
  </sheetPr>
  <dimension ref="A1:AMJ166"/>
  <sheetViews>
    <sheetView showGridLines="0" zoomScaleNormal="100" workbookViewId="0">
      <selection activeCell="A4" sqref="A4:XFD144"/>
    </sheetView>
  </sheetViews>
  <sheetFormatPr defaultColWidth="9.109375" defaultRowHeight="14.4" x14ac:dyDescent="0.3"/>
  <cols>
    <col min="1" max="1" width="6.33203125" style="26" customWidth="1"/>
    <col min="2" max="2" width="48" style="26" customWidth="1"/>
    <col min="3" max="3" width="7.88671875" style="26" customWidth="1"/>
    <col min="4" max="4" width="29" style="26" customWidth="1"/>
    <col min="5" max="5" width="12.33203125" style="656" customWidth="1"/>
    <col min="6" max="6" width="19.5546875" style="656" customWidth="1"/>
    <col min="7" max="7" width="16.33203125" style="26" customWidth="1"/>
    <col min="8" max="8" width="17" style="26" customWidth="1"/>
    <col min="9" max="10" width="16.33203125" style="26" customWidth="1"/>
    <col min="11" max="12" width="13.88671875" style="27" customWidth="1"/>
    <col min="13" max="13" width="14.33203125" style="27" customWidth="1"/>
    <col min="14" max="14" width="16.6640625" style="26" customWidth="1"/>
    <col min="15" max="15" width="12.88671875" style="26" customWidth="1"/>
    <col min="16" max="16" width="18.44140625" style="26" customWidth="1"/>
    <col min="17" max="17" width="13.6640625" style="26" customWidth="1"/>
    <col min="18" max="18" width="15.88671875" style="28" customWidth="1"/>
    <col min="19" max="19" width="12.6640625" style="28" bestFit="1" customWidth="1"/>
    <col min="20" max="20" width="13.33203125" style="28" customWidth="1"/>
    <col min="21" max="21" width="13.88671875" style="28" customWidth="1"/>
    <col min="22" max="22" width="15.88671875" style="28" customWidth="1"/>
    <col min="23" max="23" width="12.33203125" style="28" customWidth="1"/>
    <col min="24" max="24" width="9.109375" style="26"/>
    <col min="25" max="25" width="12.109375" style="26" customWidth="1"/>
    <col min="26" max="256" width="9.109375" style="26"/>
    <col min="257" max="257" width="6.33203125" style="26" customWidth="1"/>
    <col min="258" max="258" width="41.44140625" style="26" customWidth="1"/>
    <col min="259" max="259" width="7.88671875" style="26" customWidth="1"/>
    <col min="260" max="260" width="16.33203125" style="26" customWidth="1"/>
    <col min="261" max="261" width="12.88671875" style="26" customWidth="1"/>
    <col min="262" max="263" width="16.33203125" style="26" customWidth="1"/>
    <col min="264" max="264" width="13.33203125" style="26" customWidth="1"/>
    <col min="265" max="266" width="16.33203125" style="26" customWidth="1"/>
    <col min="267" max="268" width="13.88671875" style="26" customWidth="1"/>
    <col min="269" max="269" width="13" style="26" customWidth="1"/>
    <col min="270" max="270" width="13.5546875" style="26" customWidth="1"/>
    <col min="271" max="271" width="12.88671875" style="26" customWidth="1"/>
    <col min="272" max="272" width="14.109375" style="26" customWidth="1"/>
    <col min="273" max="273" width="12" style="26" customWidth="1"/>
    <col min="274" max="274" width="13" style="26" customWidth="1"/>
    <col min="275" max="275" width="11.88671875" style="26" customWidth="1"/>
    <col min="276" max="276" width="13.33203125" style="26" customWidth="1"/>
    <col min="277" max="277" width="12.33203125" style="26" customWidth="1"/>
    <col min="278" max="278" width="12.44140625" style="26" customWidth="1"/>
    <col min="279" max="279" width="10.5546875" style="26" customWidth="1"/>
    <col min="280" max="512" width="9.109375" style="26"/>
    <col min="513" max="513" width="6.33203125" style="26" customWidth="1"/>
    <col min="514" max="514" width="41.44140625" style="26" customWidth="1"/>
    <col min="515" max="515" width="7.88671875" style="26" customWidth="1"/>
    <col min="516" max="516" width="16.33203125" style="26" customWidth="1"/>
    <col min="517" max="517" width="12.88671875" style="26" customWidth="1"/>
    <col min="518" max="519" width="16.33203125" style="26" customWidth="1"/>
    <col min="520" max="520" width="13.33203125" style="26" customWidth="1"/>
    <col min="521" max="522" width="16.33203125" style="26" customWidth="1"/>
    <col min="523" max="524" width="13.88671875" style="26" customWidth="1"/>
    <col min="525" max="525" width="13" style="26" customWidth="1"/>
    <col min="526" max="526" width="13.5546875" style="26" customWidth="1"/>
    <col min="527" max="527" width="12.88671875" style="26" customWidth="1"/>
    <col min="528" max="528" width="14.109375" style="26" customWidth="1"/>
    <col min="529" max="529" width="12" style="26" customWidth="1"/>
    <col min="530" max="530" width="13" style="26" customWidth="1"/>
    <col min="531" max="531" width="11.88671875" style="26" customWidth="1"/>
    <col min="532" max="532" width="13.33203125" style="26" customWidth="1"/>
    <col min="533" max="533" width="12.33203125" style="26" customWidth="1"/>
    <col min="534" max="534" width="12.44140625" style="26" customWidth="1"/>
    <col min="535" max="535" width="10.5546875" style="26" customWidth="1"/>
    <col min="536" max="768" width="9.109375" style="26"/>
    <col min="769" max="769" width="6.33203125" style="26" customWidth="1"/>
    <col min="770" max="770" width="41.44140625" style="26" customWidth="1"/>
    <col min="771" max="771" width="7.88671875" style="26" customWidth="1"/>
    <col min="772" max="772" width="16.33203125" style="26" customWidth="1"/>
    <col min="773" max="773" width="12.88671875" style="26" customWidth="1"/>
    <col min="774" max="775" width="16.33203125" style="26" customWidth="1"/>
    <col min="776" max="776" width="13.33203125" style="26" customWidth="1"/>
    <col min="777" max="778" width="16.33203125" style="26" customWidth="1"/>
    <col min="779" max="780" width="13.88671875" style="26" customWidth="1"/>
    <col min="781" max="781" width="13" style="26" customWidth="1"/>
    <col min="782" max="782" width="13.5546875" style="26" customWidth="1"/>
    <col min="783" max="783" width="12.88671875" style="26" customWidth="1"/>
    <col min="784" max="784" width="14.109375" style="26" customWidth="1"/>
    <col min="785" max="785" width="12" style="26" customWidth="1"/>
    <col min="786" max="786" width="13" style="26" customWidth="1"/>
    <col min="787" max="787" width="11.88671875" style="26" customWidth="1"/>
    <col min="788" max="788" width="13.33203125" style="26" customWidth="1"/>
    <col min="789" max="789" width="12.33203125" style="26" customWidth="1"/>
    <col min="790" max="790" width="12.44140625" style="26" customWidth="1"/>
    <col min="791" max="791" width="10.5546875" style="26" customWidth="1"/>
    <col min="792" max="1024" width="9.109375" style="26"/>
  </cols>
  <sheetData>
    <row r="1" spans="1:23" ht="17.25" customHeight="1" x14ac:dyDescent="0.3">
      <c r="A1" s="29"/>
      <c r="B1" s="30" t="str">
        <f>INSTRUÇÕES!B1</f>
        <v>Tribunal Regional Federal da 6ª Região</v>
      </c>
      <c r="T1" s="31"/>
      <c r="U1" s="31"/>
      <c r="V1" s="31"/>
    </row>
    <row r="2" spans="1:23" s="36" customFormat="1" ht="19.5" customHeight="1" x14ac:dyDescent="0.3">
      <c r="A2" s="32"/>
      <c r="B2" s="33" t="str">
        <f>INSTRUÇÕES!B2</f>
        <v>Seção Judiciária de Minas Gerais</v>
      </c>
      <c r="C2" s="727" t="s">
        <v>50</v>
      </c>
      <c r="D2" s="727"/>
      <c r="E2" s="727"/>
      <c r="F2" s="727"/>
      <c r="G2" s="727"/>
      <c r="H2" s="727"/>
      <c r="I2" s="727"/>
      <c r="J2" s="727"/>
      <c r="K2" s="727"/>
      <c r="L2" s="727"/>
      <c r="M2" s="727"/>
      <c r="N2" s="727"/>
      <c r="O2" s="727"/>
      <c r="P2" s="727"/>
      <c r="Q2" s="727"/>
      <c r="R2" s="727"/>
      <c r="S2" s="727"/>
      <c r="T2" s="34"/>
      <c r="U2" s="34"/>
      <c r="V2" s="34"/>
      <c r="W2" s="35"/>
    </row>
    <row r="3" spans="1:23" s="36" customFormat="1" ht="21.75" customHeight="1" x14ac:dyDescent="0.3">
      <c r="A3" s="32"/>
      <c r="B3" s="37" t="str">
        <f>INSTRUÇÕES!B3</f>
        <v>Subseção Judiciária de Uberlândia</v>
      </c>
      <c r="C3" s="727" t="s">
        <v>51</v>
      </c>
      <c r="D3" s="727"/>
      <c r="E3" s="727"/>
      <c r="F3" s="727"/>
      <c r="G3" s="727"/>
      <c r="H3" s="727"/>
      <c r="I3" s="727"/>
      <c r="J3" s="727"/>
      <c r="K3" s="727"/>
      <c r="L3" s="727"/>
      <c r="M3" s="727"/>
      <c r="N3" s="727"/>
      <c r="O3" s="727"/>
      <c r="P3" s="727"/>
      <c r="Q3" s="727"/>
      <c r="R3" s="727"/>
      <c r="S3" s="727"/>
      <c r="W3" s="35"/>
    </row>
    <row r="4" spans="1:23" s="36" customFormat="1" ht="21.75" hidden="1" customHeight="1" x14ac:dyDescent="0.3">
      <c r="B4" s="37"/>
      <c r="C4" s="670"/>
      <c r="D4" s="670"/>
      <c r="E4" s="670"/>
      <c r="F4" s="670"/>
      <c r="G4" s="670"/>
      <c r="H4" s="670"/>
      <c r="I4" s="670"/>
      <c r="J4" s="670"/>
      <c r="K4" s="670"/>
      <c r="L4" s="670"/>
      <c r="M4" s="670"/>
      <c r="N4" s="670"/>
      <c r="O4" s="670"/>
      <c r="P4" s="670"/>
      <c r="Q4" s="670"/>
      <c r="R4" s="670"/>
      <c r="S4" s="670"/>
      <c r="W4" s="35"/>
    </row>
    <row r="5" spans="1:23" s="40" customFormat="1" ht="23.25" hidden="1" customHeight="1" x14ac:dyDescent="0.3">
      <c r="A5" s="728" t="s">
        <v>52</v>
      </c>
      <c r="B5" s="728"/>
      <c r="C5" s="728"/>
      <c r="D5" s="1" t="s">
        <v>53</v>
      </c>
      <c r="E5" s="657">
        <f>VLOOKUP(D5,B148:C151,2,FALSE())</f>
        <v>30</v>
      </c>
      <c r="F5" s="38" t="str">
        <f>VLOOKUP(D5,B149:D151,3,FALSE())</f>
        <v>Obs: Desconto atualmente aplicado (30 dias corridos).</v>
      </c>
      <c r="G5" s="38"/>
      <c r="H5" s="38"/>
      <c r="I5" s="38"/>
      <c r="J5" s="39"/>
      <c r="K5" s="39"/>
      <c r="L5" s="39"/>
      <c r="M5" s="39"/>
      <c r="N5" s="39"/>
      <c r="R5" s="41"/>
      <c r="S5" s="41"/>
      <c r="T5" s="41"/>
      <c r="U5" s="41"/>
      <c r="V5" s="41"/>
      <c r="W5" s="41"/>
    </row>
    <row r="6" spans="1:23" s="40" customFormat="1" ht="24" hidden="1" thickBot="1" x14ac:dyDescent="0.35">
      <c r="A6" s="39"/>
      <c r="B6" s="39"/>
      <c r="C6" s="39"/>
      <c r="D6" s="39"/>
      <c r="E6" s="658"/>
      <c r="F6" s="658"/>
      <c r="G6" s="39"/>
      <c r="H6" s="39"/>
      <c r="I6" s="39"/>
      <c r="J6" s="39"/>
      <c r="K6" s="39"/>
      <c r="L6" s="39"/>
      <c r="M6" s="39"/>
      <c r="N6" s="39"/>
      <c r="R6" s="41"/>
      <c r="S6" s="41"/>
      <c r="T6" s="41"/>
      <c r="U6" s="41"/>
      <c r="V6" s="41"/>
      <c r="W6" s="41"/>
    </row>
    <row r="7" spans="1:23" s="40" customFormat="1" ht="15.75" hidden="1" customHeight="1" thickBot="1" x14ac:dyDescent="0.35">
      <c r="A7" s="729" t="s">
        <v>54</v>
      </c>
      <c r="B7" s="729"/>
      <c r="C7" s="729"/>
      <c r="D7" s="730" t="s">
        <v>55</v>
      </c>
      <c r="E7" s="731" t="s">
        <v>56</v>
      </c>
      <c r="F7" s="732" t="s">
        <v>57</v>
      </c>
      <c r="G7" s="732" t="s">
        <v>58</v>
      </c>
      <c r="H7" s="730" t="s">
        <v>59</v>
      </c>
      <c r="I7" s="731" t="s">
        <v>60</v>
      </c>
      <c r="J7" s="732" t="s">
        <v>530</v>
      </c>
      <c r="K7" s="733" t="s">
        <v>61</v>
      </c>
      <c r="L7" s="734" t="s">
        <v>62</v>
      </c>
      <c r="M7" s="734" t="s">
        <v>63</v>
      </c>
      <c r="N7" s="735" t="s">
        <v>64</v>
      </c>
      <c r="O7" s="736" t="s">
        <v>65</v>
      </c>
      <c r="P7" s="732" t="s">
        <v>66</v>
      </c>
      <c r="Q7" s="732" t="s">
        <v>67</v>
      </c>
      <c r="R7" s="731" t="s">
        <v>771</v>
      </c>
      <c r="S7" s="718" t="s">
        <v>68</v>
      </c>
      <c r="T7" s="719"/>
      <c r="U7" s="720"/>
    </row>
    <row r="8" spans="1:23" s="40" customFormat="1" ht="16.2" hidden="1" thickBot="1" x14ac:dyDescent="0.35">
      <c r="A8" s="729"/>
      <c r="B8" s="729"/>
      <c r="C8" s="729"/>
      <c r="D8" s="730"/>
      <c r="E8" s="731"/>
      <c r="F8" s="732"/>
      <c r="G8" s="732"/>
      <c r="H8" s="730"/>
      <c r="I8" s="731"/>
      <c r="J8" s="732"/>
      <c r="K8" s="733"/>
      <c r="L8" s="734"/>
      <c r="M8" s="734"/>
      <c r="N8" s="735"/>
      <c r="O8" s="736"/>
      <c r="P8" s="732"/>
      <c r="Q8" s="732"/>
      <c r="R8" s="731"/>
      <c r="S8" s="721"/>
      <c r="T8" s="722"/>
      <c r="U8" s="723"/>
    </row>
    <row r="9" spans="1:23" s="40" customFormat="1" ht="86.4" hidden="1" customHeight="1" thickBot="1" x14ac:dyDescent="0.35">
      <c r="A9" s="729"/>
      <c r="B9" s="729"/>
      <c r="C9" s="729"/>
      <c r="D9" s="730"/>
      <c r="E9" s="731"/>
      <c r="F9" s="732"/>
      <c r="G9" s="732"/>
      <c r="H9" s="730"/>
      <c r="I9" s="731"/>
      <c r="J9" s="732"/>
      <c r="K9" s="733"/>
      <c r="L9" s="734"/>
      <c r="M9" s="734"/>
      <c r="N9" s="735"/>
      <c r="O9" s="736"/>
      <c r="P9" s="732"/>
      <c r="Q9" s="732"/>
      <c r="R9" s="731"/>
      <c r="S9" s="724"/>
      <c r="T9" s="725"/>
      <c r="U9" s="726"/>
    </row>
    <row r="10" spans="1:23" s="40" customFormat="1" ht="55.2" hidden="1" x14ac:dyDescent="0.3">
      <c r="A10" s="43" t="s">
        <v>69</v>
      </c>
      <c r="B10" s="44" t="s">
        <v>70</v>
      </c>
      <c r="C10" s="44" t="s">
        <v>71</v>
      </c>
      <c r="D10" s="45" t="s">
        <v>72</v>
      </c>
      <c r="E10" s="43" t="s">
        <v>73</v>
      </c>
      <c r="F10" s="44" t="s">
        <v>74</v>
      </c>
      <c r="G10" s="44" t="s">
        <v>75</v>
      </c>
      <c r="H10" s="45" t="s">
        <v>76</v>
      </c>
      <c r="I10" s="43" t="s">
        <v>77</v>
      </c>
      <c r="J10" s="44" t="s">
        <v>78</v>
      </c>
      <c r="K10" s="46" t="s">
        <v>78</v>
      </c>
      <c r="L10" s="47" t="s">
        <v>79</v>
      </c>
      <c r="M10" s="47" t="s">
        <v>80</v>
      </c>
      <c r="N10" s="47" t="s">
        <v>81</v>
      </c>
      <c r="O10" s="48" t="s">
        <v>82</v>
      </c>
      <c r="P10" s="44" t="s">
        <v>83</v>
      </c>
      <c r="Q10" s="44" t="s">
        <v>84</v>
      </c>
      <c r="R10" s="43" t="s">
        <v>85</v>
      </c>
      <c r="S10" s="44" t="s">
        <v>86</v>
      </c>
      <c r="T10" s="44" t="s">
        <v>87</v>
      </c>
      <c r="U10" s="44" t="s">
        <v>88</v>
      </c>
    </row>
    <row r="11" spans="1:23" s="57" customFormat="1" ht="15.6" hidden="1" x14ac:dyDescent="0.3">
      <c r="A11" s="49">
        <f>Dados!B7</f>
        <v>10</v>
      </c>
      <c r="B11" s="50" t="str">
        <f>Dados!C7</f>
        <v>Assistente Administrativo</v>
      </c>
      <c r="C11" s="51">
        <f>Dados!D7</f>
        <v>150</v>
      </c>
      <c r="D11" s="586"/>
      <c r="E11" s="659" t="s">
        <v>89</v>
      </c>
      <c r="F11" s="663">
        <f>D11*Dados!$G$40</f>
        <v>0</v>
      </c>
      <c r="G11" s="586"/>
      <c r="H11" s="587"/>
      <c r="I11" s="588"/>
      <c r="J11" s="586"/>
      <c r="K11" s="52">
        <f t="shared" ref="K11:K20" si="0">I11+J11</f>
        <v>0</v>
      </c>
      <c r="L11" s="589"/>
      <c r="M11" s="589"/>
      <c r="N11" s="611"/>
      <c r="O11" s="53">
        <f>Resumo!S12</f>
        <v>0</v>
      </c>
      <c r="P11" s="615">
        <f>Resumo!V12</f>
        <v>0</v>
      </c>
      <c r="Q11" s="54">
        <f>Resumo!W12</f>
        <v>44455</v>
      </c>
      <c r="R11" s="49">
        <v>1</v>
      </c>
      <c r="S11" s="54">
        <f>ROUND((Dados!M7*Encargos!$H$59*A11),2)</f>
        <v>5483.01</v>
      </c>
      <c r="T11" s="55" t="s">
        <v>90</v>
      </c>
      <c r="U11" s="56">
        <f>SUMIF($R$11:$R$20,1,$Q$11:$Q$20)</f>
        <v>71399.039999999994</v>
      </c>
      <c r="W11" s="58"/>
    </row>
    <row r="12" spans="1:23" s="57" customFormat="1" ht="15.6" hidden="1" x14ac:dyDescent="0.3">
      <c r="A12" s="49">
        <v>1</v>
      </c>
      <c r="B12" s="50" t="str">
        <f>Dados!C8</f>
        <v>Assistente Administrativo</v>
      </c>
      <c r="C12" s="51">
        <v>200</v>
      </c>
      <c r="D12" s="586"/>
      <c r="E12" s="659" t="s">
        <v>89</v>
      </c>
      <c r="F12" s="663">
        <f>D12*Dados!$G$40</f>
        <v>0</v>
      </c>
      <c r="G12" s="586"/>
      <c r="H12" s="587"/>
      <c r="I12" s="588"/>
      <c r="J12" s="586"/>
      <c r="K12" s="52">
        <f t="shared" si="0"/>
        <v>0</v>
      </c>
      <c r="L12" s="589"/>
      <c r="M12" s="589"/>
      <c r="N12" s="611"/>
      <c r="O12" s="53">
        <f>Resumo!S13</f>
        <v>0</v>
      </c>
      <c r="P12" s="615">
        <f>Resumo!V13</f>
        <v>0</v>
      </c>
      <c r="Q12" s="54">
        <f>Resumo!W13</f>
        <v>16860.96</v>
      </c>
      <c r="R12" s="49">
        <v>1</v>
      </c>
      <c r="S12" s="54">
        <f>ROUND((Dados!M8*Encargos!$H$59*A12),2)</f>
        <v>731.07</v>
      </c>
      <c r="T12" s="55" t="s">
        <v>90</v>
      </c>
      <c r="U12" s="56"/>
      <c r="W12" s="58"/>
    </row>
    <row r="13" spans="1:23" s="57" customFormat="1" ht="15.6" hidden="1" x14ac:dyDescent="0.3">
      <c r="A13" s="49">
        <f>Dados!B9</f>
        <v>2</v>
      </c>
      <c r="B13" s="50" t="str">
        <f>Dados!C9</f>
        <v>Recepcionista</v>
      </c>
      <c r="C13" s="51">
        <f>Dados!D9</f>
        <v>150</v>
      </c>
      <c r="D13" s="586"/>
      <c r="E13" s="659" t="s">
        <v>89</v>
      </c>
      <c r="F13" s="663">
        <f>D13*Dados!$G$40</f>
        <v>0</v>
      </c>
      <c r="G13" s="586"/>
      <c r="H13" s="587"/>
      <c r="I13" s="588"/>
      <c r="J13" s="586"/>
      <c r="K13" s="52">
        <f t="shared" si="0"/>
        <v>0</v>
      </c>
      <c r="L13" s="589"/>
      <c r="M13" s="589"/>
      <c r="N13" s="612"/>
      <c r="O13" s="53">
        <f>Resumo!S14</f>
        <v>0</v>
      </c>
      <c r="P13" s="615">
        <f>Resumo!V14</f>
        <v>0</v>
      </c>
      <c r="Q13" s="54">
        <f>Resumo!W14</f>
        <v>10083.08</v>
      </c>
      <c r="R13" s="49">
        <v>1</v>
      </c>
      <c r="S13" s="54">
        <f>ROUND((Dados!M9*Encargos!$H$59*A13),2)</f>
        <v>1279.3399999999999</v>
      </c>
      <c r="T13" s="55" t="s">
        <v>90</v>
      </c>
      <c r="U13" s="56"/>
    </row>
    <row r="14" spans="1:23" s="40" customFormat="1" ht="15.6" hidden="1" x14ac:dyDescent="0.3">
      <c r="A14" s="49">
        <f>Dados!B10</f>
        <v>1</v>
      </c>
      <c r="B14" s="50" t="str">
        <f>Dados!C10</f>
        <v>Servente de Limpeza insalubridade (20%)</v>
      </c>
      <c r="C14" s="51">
        <f>Dados!D10</f>
        <v>200</v>
      </c>
      <c r="D14" s="586"/>
      <c r="E14" s="659" t="s">
        <v>89</v>
      </c>
      <c r="F14" s="663">
        <f>D14*Dados!$G$40</f>
        <v>0</v>
      </c>
      <c r="G14" s="586"/>
      <c r="H14" s="587"/>
      <c r="I14" s="588"/>
      <c r="J14" s="586"/>
      <c r="K14" s="52">
        <f t="shared" si="0"/>
        <v>0</v>
      </c>
      <c r="L14" s="589"/>
      <c r="M14" s="589"/>
      <c r="N14" s="613"/>
      <c r="O14" s="53">
        <f>Resumo!S15</f>
        <v>0</v>
      </c>
      <c r="P14" s="60">
        <f>Resumo!V15</f>
        <v>0</v>
      </c>
      <c r="Q14" s="54">
        <f>Resumo!W15</f>
        <v>6108.74</v>
      </c>
      <c r="R14" s="49">
        <v>2</v>
      </c>
      <c r="S14" s="54">
        <f>ROUND((Dados!M10*Encargos!$H$59*A14),2)</f>
        <v>597.45000000000005</v>
      </c>
      <c r="T14" s="55" t="s">
        <v>90</v>
      </c>
      <c r="U14" s="56"/>
      <c r="W14" s="61"/>
    </row>
    <row r="15" spans="1:23" s="40" customFormat="1" ht="15.6" hidden="1" x14ac:dyDescent="0.3">
      <c r="A15" s="49">
        <f>Dados!B11</f>
        <v>1</v>
      </c>
      <c r="B15" s="50" t="str">
        <f>Dados!C11</f>
        <v>Limpador de Vidro</v>
      </c>
      <c r="C15" s="51">
        <f>Dados!D11</f>
        <v>200</v>
      </c>
      <c r="D15" s="586"/>
      <c r="E15" s="659" t="s">
        <v>89</v>
      </c>
      <c r="F15" s="663">
        <f>D15*Dados!$G$40</f>
        <v>0</v>
      </c>
      <c r="G15" s="586"/>
      <c r="H15" s="587"/>
      <c r="I15" s="588"/>
      <c r="J15" s="586"/>
      <c r="K15" s="52">
        <f t="shared" si="0"/>
        <v>0</v>
      </c>
      <c r="L15" s="589"/>
      <c r="M15" s="589"/>
      <c r="N15" s="59"/>
      <c r="O15" s="53">
        <f>Resumo!S16</f>
        <v>0</v>
      </c>
      <c r="P15" s="60">
        <f>Resumo!V16</f>
        <v>0</v>
      </c>
      <c r="Q15" s="54">
        <f>Resumo!W16</f>
        <v>4456.57</v>
      </c>
      <c r="R15" s="49">
        <v>2</v>
      </c>
      <c r="S15" s="54">
        <f>ROUND((Dados!M11*Encargos!$H$59*A15),2)</f>
        <v>544.08000000000004</v>
      </c>
      <c r="T15" s="55" t="s">
        <v>91</v>
      </c>
      <c r="U15" s="56">
        <f>SUMIF($R$11:$R$20,2,$Q$11:$Q$20)</f>
        <v>79654.02</v>
      </c>
    </row>
    <row r="16" spans="1:23" s="40" customFormat="1" ht="15.6" hidden="1" x14ac:dyDescent="0.3">
      <c r="A16" s="49">
        <f>Dados!B12</f>
        <v>8</v>
      </c>
      <c r="B16" s="50" t="str">
        <f>Dados!C12</f>
        <v>Servente de Limpeza</v>
      </c>
      <c r="C16" s="51">
        <f>Dados!D12</f>
        <v>200</v>
      </c>
      <c r="D16" s="586"/>
      <c r="E16" s="659" t="s">
        <v>89</v>
      </c>
      <c r="F16" s="663">
        <f>D16*Dados!$G$40</f>
        <v>0</v>
      </c>
      <c r="G16" s="586"/>
      <c r="H16" s="587"/>
      <c r="I16" s="588"/>
      <c r="J16" s="586"/>
      <c r="K16" s="52">
        <f t="shared" si="0"/>
        <v>0</v>
      </c>
      <c r="L16" s="589"/>
      <c r="M16" s="589"/>
      <c r="N16" s="610"/>
      <c r="O16" s="53">
        <f>Resumo!S17</f>
        <v>0</v>
      </c>
      <c r="P16" s="614">
        <f>Resumo!V17</f>
        <v>0</v>
      </c>
      <c r="Q16" s="54">
        <f>Resumo!W17</f>
        <v>43452.88</v>
      </c>
      <c r="R16" s="49">
        <v>2</v>
      </c>
      <c r="S16" s="54">
        <f>ROUND((Dados!M12*Encargos!$H$59*A16),2)</f>
        <v>3974.68</v>
      </c>
      <c r="T16" s="55" t="s">
        <v>91</v>
      </c>
      <c r="U16" s="56"/>
    </row>
    <row r="17" spans="1:1024" s="40" customFormat="1" ht="15.6" hidden="1" x14ac:dyDescent="0.3">
      <c r="A17" s="49">
        <f>Dados!B13</f>
        <v>2</v>
      </c>
      <c r="B17" s="50" t="str">
        <f>Dados!C13</f>
        <v>Servente de Limpeza insalubridade (40%)</v>
      </c>
      <c r="C17" s="51">
        <f>Dados!D13</f>
        <v>200</v>
      </c>
      <c r="D17" s="586"/>
      <c r="E17" s="659" t="s">
        <v>89</v>
      </c>
      <c r="F17" s="663">
        <f>D17*Dados!$G$40</f>
        <v>0</v>
      </c>
      <c r="G17" s="586"/>
      <c r="H17" s="587"/>
      <c r="I17" s="588"/>
      <c r="J17" s="586"/>
      <c r="K17" s="52">
        <f t="shared" si="0"/>
        <v>0</v>
      </c>
      <c r="L17" s="589"/>
      <c r="M17" s="589"/>
      <c r="N17" s="59"/>
      <c r="O17" s="53">
        <f>Resumo!S18</f>
        <v>0</v>
      </c>
      <c r="P17" s="60">
        <f>Resumo!V18</f>
        <v>0</v>
      </c>
      <c r="Q17" s="54">
        <f>Resumo!W18</f>
        <v>13571.76</v>
      </c>
      <c r="R17" s="49">
        <v>2</v>
      </c>
      <c r="S17" s="54">
        <f>ROUND((Dados!M13*Encargos!$H$59*A17),2)</f>
        <v>1396.12</v>
      </c>
      <c r="T17" s="55" t="s">
        <v>91</v>
      </c>
      <c r="U17" s="56"/>
      <c r="W17" s="61"/>
    </row>
    <row r="18" spans="1:1024" s="62" customFormat="1" ht="15.6" hidden="1" x14ac:dyDescent="0.3">
      <c r="A18" s="49">
        <f>Dados!B14</f>
        <v>1</v>
      </c>
      <c r="B18" s="50" t="str">
        <f>Dados!C14</f>
        <v>Zelador acúmulo de função Lavador de Carro e Jardineiro</v>
      </c>
      <c r="C18" s="51">
        <f>Dados!D14</f>
        <v>200</v>
      </c>
      <c r="D18" s="586"/>
      <c r="E18" s="659" t="s">
        <v>89</v>
      </c>
      <c r="F18" s="663">
        <f>D18*Dados!$G$40</f>
        <v>0</v>
      </c>
      <c r="G18" s="586"/>
      <c r="H18" s="587"/>
      <c r="I18" s="588"/>
      <c r="J18" s="586"/>
      <c r="K18" s="52">
        <f t="shared" si="0"/>
        <v>0</v>
      </c>
      <c r="L18" s="589"/>
      <c r="M18" s="589"/>
      <c r="N18" s="59"/>
      <c r="O18" s="53">
        <f>Resumo!S19</f>
        <v>0</v>
      </c>
      <c r="P18" s="60">
        <f>Resumo!V19</f>
        <v>0</v>
      </c>
      <c r="Q18" s="54">
        <f>Resumo!W19</f>
        <v>6354.55</v>
      </c>
      <c r="R18" s="49">
        <v>2</v>
      </c>
      <c r="S18" s="54">
        <f>ROUND((Dados!M14*Encargos!$H$59*A18),2)</f>
        <v>768.84</v>
      </c>
      <c r="T18" s="55" t="s">
        <v>91</v>
      </c>
      <c r="U18" s="56"/>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row>
    <row r="19" spans="1:1024" ht="15.6" hidden="1" x14ac:dyDescent="0.3">
      <c r="A19" s="49">
        <f>Dados!B15</f>
        <v>1</v>
      </c>
      <c r="B19" s="50" t="str">
        <f>Dados!C15</f>
        <v>Encarregado Geral</v>
      </c>
      <c r="C19" s="51">
        <f>Dados!D15</f>
        <v>200</v>
      </c>
      <c r="D19" s="586"/>
      <c r="E19" s="659" t="s">
        <v>89</v>
      </c>
      <c r="F19" s="663">
        <f>D19*Dados!$G$40</f>
        <v>0</v>
      </c>
      <c r="G19" s="586"/>
      <c r="H19" s="587"/>
      <c r="I19" s="588"/>
      <c r="J19" s="586"/>
      <c r="K19" s="52">
        <f t="shared" si="0"/>
        <v>0</v>
      </c>
      <c r="L19" s="589"/>
      <c r="M19" s="589"/>
      <c r="N19" s="59"/>
      <c r="O19" s="53">
        <f>Resumo!S20</f>
        <v>0</v>
      </c>
      <c r="P19" s="616">
        <f>Resumo!V20</f>
        <v>0</v>
      </c>
      <c r="Q19" s="54">
        <f>Resumo!W20</f>
        <v>5709.52</v>
      </c>
      <c r="R19" s="49">
        <v>2</v>
      </c>
      <c r="S19" s="54">
        <f>ROUND((Dados!M15*Encargos!$H$59*A19),2)</f>
        <v>742.12</v>
      </c>
      <c r="T19" s="55" t="s">
        <v>91</v>
      </c>
      <c r="U19" s="56"/>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c r="AMJ19"/>
    </row>
    <row r="20" spans="1:1024" ht="16.2" hidden="1" thickBot="1" x14ac:dyDescent="0.35">
      <c r="A20" s="49">
        <f>Dados!B16</f>
        <v>1</v>
      </c>
      <c r="B20" s="50" t="str">
        <f>Dados!C16</f>
        <v>Copeira</v>
      </c>
      <c r="C20" s="51">
        <f>Dados!D16</f>
        <v>200</v>
      </c>
      <c r="D20" s="586"/>
      <c r="E20" s="659" t="s">
        <v>89</v>
      </c>
      <c r="F20" s="663">
        <f>D20*Dados!$G$40</f>
        <v>0</v>
      </c>
      <c r="G20" s="586"/>
      <c r="H20" s="587"/>
      <c r="I20" s="588"/>
      <c r="J20" s="586"/>
      <c r="K20" s="52">
        <f t="shared" si="0"/>
        <v>0</v>
      </c>
      <c r="L20" s="589"/>
      <c r="M20" s="589"/>
      <c r="N20" s="611"/>
      <c r="O20" s="53">
        <f>Resumo!S21</f>
        <v>0</v>
      </c>
      <c r="P20" s="615">
        <f>Resumo!V21</f>
        <v>0</v>
      </c>
      <c r="Q20" s="54">
        <f>Resumo!W21</f>
        <v>4521.01</v>
      </c>
      <c r="R20" s="49">
        <v>5</v>
      </c>
      <c r="S20" s="54">
        <f>ROUND((Dados!M16*Encargos!$H$59*A20),2)</f>
        <v>496.83</v>
      </c>
      <c r="T20" s="55" t="s">
        <v>92</v>
      </c>
      <c r="U20" s="56">
        <f>SUMIF($R$11:$R$20,5,$Q$11:$Q$20)</f>
        <v>4521.01</v>
      </c>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c r="IX20" s="57"/>
      <c r="IY20" s="57"/>
      <c r="IZ20" s="57"/>
      <c r="JA20" s="57"/>
      <c r="JB20" s="57"/>
      <c r="JC20" s="57"/>
      <c r="JD20" s="57"/>
      <c r="JE20" s="57"/>
      <c r="JF20" s="57"/>
      <c r="JG20" s="57"/>
      <c r="JH20" s="57"/>
      <c r="JI20" s="57"/>
      <c r="JJ20" s="57"/>
      <c r="JK20" s="57"/>
      <c r="JL20" s="57"/>
      <c r="JM20" s="57"/>
      <c r="JN20" s="57"/>
      <c r="JO20" s="57"/>
      <c r="JP20" s="57"/>
      <c r="JQ20" s="57"/>
      <c r="JR20" s="57"/>
      <c r="JS20" s="57"/>
      <c r="JT20" s="57"/>
      <c r="JU20" s="57"/>
      <c r="JV20" s="57"/>
      <c r="JW20" s="57"/>
      <c r="JX20" s="57"/>
      <c r="JY20" s="57"/>
      <c r="JZ20" s="57"/>
      <c r="KA20" s="57"/>
      <c r="KB20" s="57"/>
      <c r="KC20" s="57"/>
      <c r="KD20" s="57"/>
      <c r="KE20" s="57"/>
      <c r="KF20" s="57"/>
      <c r="KG20" s="57"/>
      <c r="KH20" s="57"/>
      <c r="KI20" s="57"/>
      <c r="KJ20" s="57"/>
      <c r="KK20" s="57"/>
      <c r="KL20" s="57"/>
      <c r="KM20" s="57"/>
      <c r="KN20" s="57"/>
      <c r="KO20" s="57"/>
      <c r="KP20" s="57"/>
      <c r="KQ20" s="57"/>
      <c r="KR20" s="57"/>
      <c r="KS20" s="57"/>
      <c r="KT20" s="57"/>
      <c r="KU20" s="57"/>
      <c r="KV20" s="57"/>
      <c r="KW20" s="57"/>
      <c r="KX20" s="57"/>
      <c r="KY20" s="57"/>
      <c r="KZ20" s="57"/>
      <c r="LA20" s="57"/>
      <c r="LB20" s="57"/>
      <c r="LC20" s="57"/>
      <c r="LD20" s="57"/>
      <c r="LE20" s="57"/>
      <c r="LF20" s="57"/>
      <c r="LG20" s="57"/>
      <c r="LH20" s="57"/>
      <c r="LI20" s="57"/>
      <c r="LJ20" s="57"/>
      <c r="LK20" s="57"/>
      <c r="LL20" s="57"/>
      <c r="LM20" s="57"/>
      <c r="LN20" s="57"/>
      <c r="LO20" s="57"/>
      <c r="LP20" s="57"/>
      <c r="LQ20" s="57"/>
      <c r="LR20" s="57"/>
      <c r="LS20" s="57"/>
      <c r="LT20" s="57"/>
      <c r="LU20" s="57"/>
      <c r="LV20" s="57"/>
      <c r="LW20" s="57"/>
      <c r="LX20" s="57"/>
      <c r="LY20" s="57"/>
      <c r="LZ20" s="57"/>
      <c r="MA20" s="57"/>
      <c r="MB20" s="57"/>
      <c r="MC20" s="57"/>
      <c r="MD20" s="57"/>
      <c r="ME20" s="57"/>
      <c r="MF20" s="57"/>
      <c r="MG20" s="57"/>
      <c r="MH20" s="57"/>
      <c r="MI20" s="57"/>
      <c r="MJ20" s="57"/>
      <c r="MK20" s="57"/>
      <c r="ML20" s="57"/>
      <c r="MM20" s="57"/>
      <c r="MN20" s="57"/>
      <c r="MO20" s="57"/>
      <c r="MP20" s="57"/>
      <c r="MQ20" s="57"/>
      <c r="MR20" s="57"/>
      <c r="MS20" s="57"/>
      <c r="MT20" s="57"/>
      <c r="MU20" s="57"/>
      <c r="MV20" s="57"/>
      <c r="MW20" s="57"/>
      <c r="MX20" s="57"/>
      <c r="MY20" s="57"/>
      <c r="MZ20" s="57"/>
      <c r="NA20" s="57"/>
      <c r="NB20" s="57"/>
      <c r="NC20" s="57"/>
      <c r="ND20" s="57"/>
      <c r="NE20" s="57"/>
      <c r="NF20" s="57"/>
      <c r="NG20" s="57"/>
      <c r="NH20" s="57"/>
      <c r="NI20" s="57"/>
      <c r="NJ20" s="57"/>
      <c r="NK20" s="57"/>
      <c r="NL20" s="57"/>
      <c r="NM20" s="57"/>
      <c r="NN20" s="57"/>
      <c r="NO20" s="57"/>
      <c r="NP20" s="57"/>
      <c r="NQ20" s="57"/>
      <c r="NR20" s="57"/>
      <c r="NS20" s="57"/>
      <c r="NT20" s="57"/>
      <c r="NU20" s="57"/>
      <c r="NV20" s="57"/>
      <c r="NW20" s="57"/>
      <c r="NX20" s="57"/>
      <c r="NY20" s="57"/>
      <c r="NZ20" s="57"/>
      <c r="OA20" s="57"/>
      <c r="OB20" s="57"/>
      <c r="OC20" s="57"/>
      <c r="OD20" s="57"/>
      <c r="OE20" s="57"/>
      <c r="OF20" s="57"/>
      <c r="OG20" s="57"/>
      <c r="OH20" s="57"/>
      <c r="OI20" s="57"/>
      <c r="OJ20" s="57"/>
      <c r="OK20" s="57"/>
      <c r="OL20" s="57"/>
      <c r="OM20" s="57"/>
      <c r="ON20" s="57"/>
      <c r="OO20" s="57"/>
      <c r="OP20" s="57"/>
      <c r="OQ20" s="57"/>
      <c r="OR20" s="57"/>
      <c r="OS20" s="57"/>
      <c r="OT20" s="57"/>
      <c r="OU20" s="57"/>
      <c r="OV20" s="57"/>
      <c r="OW20" s="57"/>
      <c r="OX20" s="57"/>
      <c r="OY20" s="57"/>
      <c r="OZ20" s="57"/>
      <c r="PA20" s="57"/>
      <c r="PB20" s="57"/>
      <c r="PC20" s="57"/>
      <c r="PD20" s="57"/>
      <c r="PE20" s="57"/>
      <c r="PF20" s="57"/>
      <c r="PG20" s="57"/>
      <c r="PH20" s="57"/>
      <c r="PI20" s="57"/>
      <c r="PJ20" s="57"/>
      <c r="PK20" s="57"/>
      <c r="PL20" s="57"/>
      <c r="PM20" s="57"/>
      <c r="PN20" s="57"/>
      <c r="PO20" s="57"/>
      <c r="PP20" s="57"/>
      <c r="PQ20" s="57"/>
      <c r="PR20" s="57"/>
      <c r="PS20" s="57"/>
      <c r="PT20" s="57"/>
      <c r="PU20" s="57"/>
      <c r="PV20" s="57"/>
      <c r="PW20" s="57"/>
      <c r="PX20" s="57"/>
      <c r="PY20" s="57"/>
      <c r="PZ20" s="57"/>
      <c r="QA20" s="57"/>
      <c r="QB20" s="57"/>
      <c r="QC20" s="57"/>
      <c r="QD20" s="57"/>
      <c r="QE20" s="57"/>
      <c r="QF20" s="57"/>
      <c r="QG20" s="57"/>
      <c r="QH20" s="57"/>
      <c r="QI20" s="57"/>
      <c r="QJ20" s="57"/>
      <c r="QK20" s="57"/>
      <c r="QL20" s="57"/>
      <c r="QM20" s="57"/>
      <c r="QN20" s="57"/>
      <c r="QO20" s="57"/>
      <c r="QP20" s="57"/>
      <c r="QQ20" s="57"/>
      <c r="QR20" s="57"/>
      <c r="QS20" s="57"/>
      <c r="QT20" s="57"/>
      <c r="QU20" s="57"/>
      <c r="QV20" s="57"/>
      <c r="QW20" s="57"/>
      <c r="QX20" s="57"/>
      <c r="QY20" s="57"/>
      <c r="QZ20" s="57"/>
      <c r="RA20" s="57"/>
      <c r="RB20" s="57"/>
      <c r="RC20" s="57"/>
      <c r="RD20" s="57"/>
      <c r="RE20" s="57"/>
      <c r="RF20" s="57"/>
      <c r="RG20" s="57"/>
      <c r="RH20" s="57"/>
      <c r="RI20" s="57"/>
      <c r="RJ20" s="57"/>
      <c r="RK20" s="57"/>
      <c r="RL20" s="57"/>
      <c r="RM20" s="57"/>
      <c r="RN20" s="57"/>
      <c r="RO20" s="57"/>
      <c r="RP20" s="57"/>
      <c r="RQ20" s="57"/>
      <c r="RR20" s="57"/>
      <c r="RS20" s="57"/>
      <c r="RT20" s="57"/>
      <c r="RU20" s="57"/>
      <c r="RV20" s="57"/>
      <c r="RW20" s="57"/>
      <c r="RX20" s="57"/>
      <c r="RY20" s="57"/>
      <c r="RZ20" s="57"/>
      <c r="SA20" s="57"/>
      <c r="SB20" s="57"/>
      <c r="SC20" s="57"/>
      <c r="SD20" s="57"/>
      <c r="SE20" s="57"/>
      <c r="SF20" s="57"/>
      <c r="SG20" s="57"/>
      <c r="SH20" s="57"/>
      <c r="SI20" s="57"/>
      <c r="SJ20" s="57"/>
      <c r="SK20" s="57"/>
      <c r="SL20" s="57"/>
      <c r="SM20" s="57"/>
      <c r="SN20" s="57"/>
      <c r="SO20" s="57"/>
      <c r="SP20" s="57"/>
      <c r="SQ20" s="57"/>
      <c r="SR20" s="57"/>
      <c r="SS20" s="57"/>
      <c r="ST20" s="57"/>
      <c r="SU20" s="57"/>
      <c r="SV20" s="57"/>
      <c r="SW20" s="57"/>
      <c r="SX20" s="57"/>
      <c r="SY20" s="57"/>
      <c r="SZ20" s="57"/>
      <c r="TA20" s="57"/>
      <c r="TB20" s="57"/>
      <c r="TC20" s="57"/>
      <c r="TD20" s="57"/>
      <c r="TE20" s="57"/>
      <c r="TF20" s="57"/>
      <c r="TG20" s="57"/>
      <c r="TH20" s="57"/>
      <c r="TI20" s="57"/>
      <c r="TJ20" s="57"/>
      <c r="TK20" s="57"/>
      <c r="TL20" s="57"/>
      <c r="TM20" s="57"/>
      <c r="TN20" s="57"/>
      <c r="TO20" s="57"/>
      <c r="TP20" s="57"/>
      <c r="TQ20" s="57"/>
      <c r="TR20" s="57"/>
      <c r="TS20" s="57"/>
      <c r="TT20" s="57"/>
      <c r="TU20" s="57"/>
      <c r="TV20" s="57"/>
      <c r="TW20" s="57"/>
      <c r="TX20" s="57"/>
      <c r="TY20" s="57"/>
      <c r="TZ20" s="57"/>
      <c r="UA20" s="57"/>
      <c r="UB20" s="57"/>
      <c r="UC20" s="57"/>
      <c r="UD20" s="57"/>
      <c r="UE20" s="57"/>
      <c r="UF20" s="57"/>
      <c r="UG20" s="57"/>
      <c r="UH20" s="57"/>
      <c r="UI20" s="57"/>
      <c r="UJ20" s="57"/>
      <c r="UK20" s="57"/>
      <c r="UL20" s="57"/>
      <c r="UM20" s="57"/>
      <c r="UN20" s="57"/>
      <c r="UO20" s="57"/>
      <c r="UP20" s="57"/>
      <c r="UQ20" s="57"/>
      <c r="UR20" s="57"/>
      <c r="US20" s="57"/>
      <c r="UT20" s="57"/>
      <c r="UU20" s="57"/>
      <c r="UV20" s="57"/>
      <c r="UW20" s="57"/>
      <c r="UX20" s="57"/>
      <c r="UY20" s="57"/>
      <c r="UZ20" s="57"/>
      <c r="VA20" s="57"/>
      <c r="VB20" s="57"/>
      <c r="VC20" s="57"/>
      <c r="VD20" s="57"/>
      <c r="VE20" s="57"/>
      <c r="VF20" s="57"/>
      <c r="VG20" s="57"/>
      <c r="VH20" s="57"/>
      <c r="VI20" s="57"/>
      <c r="VJ20" s="57"/>
      <c r="VK20" s="57"/>
      <c r="VL20" s="57"/>
      <c r="VM20" s="57"/>
      <c r="VN20" s="57"/>
      <c r="VO20" s="57"/>
      <c r="VP20" s="57"/>
      <c r="VQ20" s="57"/>
      <c r="VR20" s="57"/>
      <c r="VS20" s="57"/>
      <c r="VT20" s="57"/>
      <c r="VU20" s="57"/>
      <c r="VV20" s="57"/>
      <c r="VW20" s="57"/>
      <c r="VX20" s="57"/>
      <c r="VY20" s="57"/>
      <c r="VZ20" s="57"/>
      <c r="WA20" s="57"/>
      <c r="WB20" s="57"/>
      <c r="WC20" s="57"/>
      <c r="WD20" s="57"/>
      <c r="WE20" s="57"/>
      <c r="WF20" s="57"/>
      <c r="WG20" s="57"/>
      <c r="WH20" s="57"/>
      <c r="WI20" s="57"/>
      <c r="WJ20" s="57"/>
      <c r="WK20" s="57"/>
      <c r="WL20" s="57"/>
      <c r="WM20" s="57"/>
      <c r="WN20" s="57"/>
      <c r="WO20" s="57"/>
      <c r="WP20" s="57"/>
      <c r="WQ20" s="57"/>
      <c r="WR20" s="57"/>
      <c r="WS20" s="57"/>
      <c r="WT20" s="57"/>
      <c r="WU20" s="57"/>
      <c r="WV20" s="57"/>
      <c r="WW20" s="57"/>
      <c r="WX20" s="57"/>
      <c r="WY20" s="57"/>
      <c r="WZ20" s="57"/>
      <c r="XA20" s="57"/>
      <c r="XB20" s="57"/>
      <c r="XC20" s="57"/>
      <c r="XD20" s="57"/>
      <c r="XE20" s="57"/>
      <c r="XF20" s="57"/>
      <c r="XG20" s="57"/>
      <c r="XH20" s="57"/>
      <c r="XI20" s="57"/>
      <c r="XJ20" s="57"/>
      <c r="XK20" s="57"/>
      <c r="XL20" s="57"/>
      <c r="XM20" s="57"/>
      <c r="XN20" s="57"/>
      <c r="XO20" s="57"/>
      <c r="XP20" s="57"/>
      <c r="XQ20" s="57"/>
      <c r="XR20" s="57"/>
      <c r="XS20" s="57"/>
      <c r="XT20" s="57"/>
      <c r="XU20" s="57"/>
      <c r="XV20" s="57"/>
      <c r="XW20" s="57"/>
      <c r="XX20" s="57"/>
      <c r="XY20" s="57"/>
      <c r="XZ20" s="57"/>
      <c r="YA20" s="57"/>
      <c r="YB20" s="57"/>
      <c r="YC20" s="57"/>
      <c r="YD20" s="57"/>
      <c r="YE20" s="57"/>
      <c r="YF20" s="57"/>
      <c r="YG20" s="57"/>
      <c r="YH20" s="57"/>
      <c r="YI20" s="57"/>
      <c r="YJ20" s="57"/>
      <c r="YK20" s="57"/>
      <c r="YL20" s="57"/>
      <c r="YM20" s="57"/>
      <c r="YN20" s="57"/>
      <c r="YO20" s="57"/>
      <c r="YP20" s="57"/>
      <c r="YQ20" s="57"/>
      <c r="YR20" s="57"/>
      <c r="YS20" s="57"/>
      <c r="YT20" s="57"/>
      <c r="YU20" s="57"/>
      <c r="YV20" s="57"/>
      <c r="YW20" s="57"/>
      <c r="YX20" s="57"/>
      <c r="YY20" s="57"/>
      <c r="YZ20" s="57"/>
      <c r="ZA20" s="57"/>
      <c r="ZB20" s="57"/>
      <c r="ZC20" s="57"/>
      <c r="ZD20" s="57"/>
      <c r="ZE20" s="57"/>
      <c r="ZF20" s="57"/>
      <c r="ZG20" s="57"/>
      <c r="ZH20" s="57"/>
      <c r="ZI20" s="57"/>
      <c r="ZJ20" s="57"/>
      <c r="ZK20" s="57"/>
      <c r="ZL20" s="57"/>
      <c r="ZM20" s="57"/>
      <c r="ZN20" s="57"/>
      <c r="ZO20" s="57"/>
      <c r="ZP20" s="57"/>
      <c r="ZQ20" s="57"/>
      <c r="ZR20" s="57"/>
      <c r="ZS20" s="57"/>
      <c r="ZT20" s="57"/>
      <c r="ZU20" s="57"/>
      <c r="ZV20" s="57"/>
      <c r="ZW20" s="57"/>
      <c r="ZX20" s="57"/>
      <c r="ZY20" s="57"/>
      <c r="ZZ20" s="57"/>
      <c r="AAA20" s="57"/>
      <c r="AAB20" s="57"/>
      <c r="AAC20" s="57"/>
      <c r="AAD20" s="57"/>
      <c r="AAE20" s="57"/>
      <c r="AAF20" s="57"/>
      <c r="AAG20" s="57"/>
      <c r="AAH20" s="57"/>
      <c r="AAI20" s="57"/>
      <c r="AAJ20" s="57"/>
      <c r="AAK20" s="57"/>
      <c r="AAL20" s="57"/>
      <c r="AAM20" s="57"/>
      <c r="AAN20" s="57"/>
      <c r="AAO20" s="57"/>
      <c r="AAP20" s="57"/>
      <c r="AAQ20" s="57"/>
      <c r="AAR20" s="57"/>
      <c r="AAS20" s="57"/>
      <c r="AAT20" s="57"/>
      <c r="AAU20" s="57"/>
      <c r="AAV20" s="57"/>
      <c r="AAW20" s="57"/>
      <c r="AAX20" s="57"/>
      <c r="AAY20" s="57"/>
      <c r="AAZ20" s="57"/>
      <c r="ABA20" s="57"/>
      <c r="ABB20" s="57"/>
      <c r="ABC20" s="57"/>
      <c r="ABD20" s="57"/>
      <c r="ABE20" s="57"/>
      <c r="ABF20" s="57"/>
      <c r="ABG20" s="57"/>
      <c r="ABH20" s="57"/>
      <c r="ABI20" s="57"/>
      <c r="ABJ20" s="57"/>
      <c r="ABK20" s="57"/>
      <c r="ABL20" s="57"/>
      <c r="ABM20" s="57"/>
      <c r="ABN20" s="57"/>
      <c r="ABO20" s="57"/>
      <c r="ABP20" s="57"/>
      <c r="ABQ20" s="57"/>
      <c r="ABR20" s="57"/>
      <c r="ABS20" s="57"/>
      <c r="ABT20" s="57"/>
      <c r="ABU20" s="57"/>
      <c r="ABV20" s="57"/>
      <c r="ABW20" s="57"/>
      <c r="ABX20" s="57"/>
      <c r="ABY20" s="57"/>
      <c r="ABZ20" s="57"/>
      <c r="ACA20" s="57"/>
      <c r="ACB20" s="57"/>
      <c r="ACC20" s="57"/>
      <c r="ACD20" s="57"/>
      <c r="ACE20" s="57"/>
      <c r="ACF20" s="57"/>
      <c r="ACG20" s="57"/>
      <c r="ACH20" s="57"/>
      <c r="ACI20" s="57"/>
      <c r="ACJ20" s="57"/>
      <c r="ACK20" s="57"/>
      <c r="ACL20" s="57"/>
      <c r="ACM20" s="57"/>
      <c r="ACN20" s="57"/>
      <c r="ACO20" s="57"/>
      <c r="ACP20" s="57"/>
      <c r="ACQ20" s="57"/>
      <c r="ACR20" s="57"/>
      <c r="ACS20" s="57"/>
      <c r="ACT20" s="57"/>
      <c r="ACU20" s="57"/>
      <c r="ACV20" s="57"/>
      <c r="ACW20" s="57"/>
      <c r="ACX20" s="57"/>
      <c r="ACY20" s="57"/>
      <c r="ACZ20" s="57"/>
      <c r="ADA20" s="57"/>
      <c r="ADB20" s="57"/>
      <c r="ADC20" s="57"/>
      <c r="ADD20" s="57"/>
      <c r="ADE20" s="57"/>
      <c r="ADF20" s="57"/>
      <c r="ADG20" s="57"/>
      <c r="ADH20" s="57"/>
      <c r="ADI20" s="57"/>
      <c r="ADJ20" s="57"/>
      <c r="ADK20" s="57"/>
      <c r="ADL20" s="57"/>
      <c r="ADM20" s="57"/>
      <c r="ADN20" s="57"/>
      <c r="ADO20" s="57"/>
      <c r="ADP20" s="57"/>
      <c r="ADQ20" s="57"/>
      <c r="ADR20" s="57"/>
      <c r="ADS20" s="57"/>
      <c r="ADT20" s="57"/>
      <c r="ADU20" s="57"/>
      <c r="ADV20" s="57"/>
      <c r="ADW20" s="57"/>
      <c r="ADX20" s="57"/>
      <c r="ADY20" s="57"/>
      <c r="ADZ20" s="57"/>
      <c r="AEA20" s="57"/>
      <c r="AEB20" s="57"/>
      <c r="AEC20" s="57"/>
      <c r="AED20" s="57"/>
      <c r="AEE20" s="57"/>
      <c r="AEF20" s="57"/>
      <c r="AEG20" s="57"/>
      <c r="AEH20" s="57"/>
      <c r="AEI20" s="57"/>
      <c r="AEJ20" s="57"/>
      <c r="AEK20" s="57"/>
      <c r="AEL20" s="57"/>
      <c r="AEM20" s="57"/>
      <c r="AEN20" s="57"/>
      <c r="AEO20" s="57"/>
      <c r="AEP20" s="57"/>
      <c r="AEQ20" s="57"/>
      <c r="AER20" s="57"/>
      <c r="AES20" s="57"/>
      <c r="AET20" s="57"/>
      <c r="AEU20" s="57"/>
      <c r="AEV20" s="57"/>
      <c r="AEW20" s="57"/>
      <c r="AEX20" s="57"/>
      <c r="AEY20" s="57"/>
      <c r="AEZ20" s="57"/>
      <c r="AFA20" s="57"/>
      <c r="AFB20" s="57"/>
      <c r="AFC20" s="57"/>
      <c r="AFD20" s="57"/>
      <c r="AFE20" s="57"/>
      <c r="AFF20" s="57"/>
      <c r="AFG20" s="57"/>
      <c r="AFH20" s="57"/>
      <c r="AFI20" s="57"/>
      <c r="AFJ20" s="57"/>
      <c r="AFK20" s="57"/>
      <c r="AFL20" s="57"/>
      <c r="AFM20" s="57"/>
      <c r="AFN20" s="57"/>
      <c r="AFO20" s="57"/>
      <c r="AFP20" s="57"/>
      <c r="AFQ20" s="57"/>
      <c r="AFR20" s="57"/>
      <c r="AFS20" s="57"/>
      <c r="AFT20" s="57"/>
      <c r="AFU20" s="57"/>
      <c r="AFV20" s="57"/>
      <c r="AFW20" s="57"/>
      <c r="AFX20" s="57"/>
      <c r="AFY20" s="57"/>
      <c r="AFZ20" s="57"/>
      <c r="AGA20" s="57"/>
      <c r="AGB20" s="57"/>
      <c r="AGC20" s="57"/>
      <c r="AGD20" s="57"/>
      <c r="AGE20" s="57"/>
      <c r="AGF20" s="57"/>
      <c r="AGG20" s="57"/>
      <c r="AGH20" s="57"/>
      <c r="AGI20" s="57"/>
      <c r="AGJ20" s="57"/>
      <c r="AGK20" s="57"/>
      <c r="AGL20" s="57"/>
      <c r="AGM20" s="57"/>
      <c r="AGN20" s="57"/>
      <c r="AGO20" s="57"/>
      <c r="AGP20" s="57"/>
      <c r="AGQ20" s="57"/>
      <c r="AGR20" s="57"/>
      <c r="AGS20" s="57"/>
      <c r="AGT20" s="57"/>
      <c r="AGU20" s="57"/>
      <c r="AGV20" s="57"/>
      <c r="AGW20" s="57"/>
      <c r="AGX20" s="57"/>
      <c r="AGY20" s="57"/>
      <c r="AGZ20" s="57"/>
      <c r="AHA20" s="57"/>
      <c r="AHB20" s="57"/>
      <c r="AHC20" s="57"/>
      <c r="AHD20" s="57"/>
      <c r="AHE20" s="57"/>
      <c r="AHF20" s="57"/>
      <c r="AHG20" s="57"/>
      <c r="AHH20" s="57"/>
      <c r="AHI20" s="57"/>
      <c r="AHJ20" s="57"/>
      <c r="AHK20" s="57"/>
      <c r="AHL20" s="57"/>
      <c r="AHM20" s="57"/>
      <c r="AHN20" s="57"/>
      <c r="AHO20" s="57"/>
      <c r="AHP20" s="57"/>
      <c r="AHQ20" s="57"/>
      <c r="AHR20" s="57"/>
      <c r="AHS20" s="57"/>
      <c r="AHT20" s="57"/>
      <c r="AHU20" s="57"/>
      <c r="AHV20" s="57"/>
      <c r="AHW20" s="57"/>
      <c r="AHX20" s="57"/>
      <c r="AHY20" s="57"/>
      <c r="AHZ20" s="57"/>
      <c r="AIA20" s="57"/>
      <c r="AIB20" s="57"/>
      <c r="AIC20" s="57"/>
      <c r="AID20" s="57"/>
      <c r="AIE20" s="57"/>
      <c r="AIF20" s="57"/>
      <c r="AIG20" s="57"/>
      <c r="AIH20" s="57"/>
      <c r="AII20" s="57"/>
      <c r="AIJ20" s="57"/>
      <c r="AIK20" s="57"/>
      <c r="AIL20" s="57"/>
      <c r="AIM20" s="57"/>
      <c r="AIN20" s="57"/>
      <c r="AIO20" s="57"/>
      <c r="AIP20" s="57"/>
      <c r="AIQ20" s="57"/>
      <c r="AIR20" s="57"/>
      <c r="AIS20" s="57"/>
      <c r="AIT20" s="57"/>
      <c r="AIU20" s="57"/>
      <c r="AIV20" s="57"/>
      <c r="AIW20" s="57"/>
      <c r="AIX20" s="57"/>
      <c r="AIY20" s="57"/>
      <c r="AIZ20" s="57"/>
      <c r="AJA20" s="57"/>
      <c r="AJB20" s="57"/>
      <c r="AJC20" s="57"/>
      <c r="AJD20" s="57"/>
      <c r="AJE20" s="57"/>
      <c r="AJF20" s="57"/>
      <c r="AJG20" s="57"/>
      <c r="AJH20" s="57"/>
      <c r="AJI20" s="57"/>
      <c r="AJJ20" s="57"/>
      <c r="AJK20" s="57"/>
      <c r="AJL20" s="57"/>
      <c r="AJM20" s="57"/>
      <c r="AJN20" s="57"/>
      <c r="AJO20" s="57"/>
      <c r="AJP20" s="57"/>
      <c r="AJQ20" s="57"/>
      <c r="AJR20" s="57"/>
      <c r="AJS20" s="57"/>
      <c r="AJT20" s="57"/>
      <c r="AJU20" s="57"/>
      <c r="AJV20" s="57"/>
      <c r="AJW20" s="57"/>
      <c r="AJX20" s="57"/>
      <c r="AJY20" s="57"/>
      <c r="AJZ20" s="57"/>
      <c r="AKA20" s="57"/>
      <c r="AKB20" s="57"/>
      <c r="AKC20" s="57"/>
      <c r="AKD20" s="57"/>
      <c r="AKE20" s="57"/>
      <c r="AKF20" s="57"/>
      <c r="AKG20" s="57"/>
      <c r="AKH20" s="57"/>
      <c r="AKI20" s="57"/>
      <c r="AKJ20" s="57"/>
      <c r="AKK20" s="57"/>
      <c r="AKL20" s="57"/>
      <c r="AKM20" s="57"/>
      <c r="AKN20" s="57"/>
      <c r="AKO20" s="57"/>
      <c r="AKP20" s="57"/>
      <c r="AKQ20" s="57"/>
      <c r="AKR20" s="57"/>
      <c r="AKS20" s="57"/>
      <c r="AKT20" s="57"/>
      <c r="AKU20" s="57"/>
      <c r="AKV20" s="57"/>
      <c r="AKW20" s="57"/>
      <c r="AKX20" s="57"/>
      <c r="AKY20" s="57"/>
      <c r="AKZ20" s="57"/>
      <c r="ALA20" s="57"/>
      <c r="ALB20" s="57"/>
      <c r="ALC20" s="57"/>
      <c r="ALD20" s="57"/>
      <c r="ALE20" s="57"/>
      <c r="ALF20" s="57"/>
      <c r="ALG20" s="57"/>
      <c r="ALH20" s="57"/>
      <c r="ALI20" s="57"/>
      <c r="ALJ20" s="57"/>
      <c r="ALK20" s="57"/>
      <c r="ALL20" s="57"/>
      <c r="ALM20" s="57"/>
      <c r="ALN20" s="57"/>
      <c r="ALO20" s="57"/>
      <c r="ALP20" s="57"/>
      <c r="ALQ20" s="57"/>
      <c r="ALR20" s="57"/>
      <c r="ALS20" s="57"/>
      <c r="ALT20" s="57"/>
      <c r="ALU20" s="57"/>
      <c r="ALV20" s="57"/>
      <c r="ALW20" s="57"/>
      <c r="ALX20" s="57"/>
      <c r="ALY20" s="57"/>
      <c r="ALZ20" s="57"/>
      <c r="AMA20" s="57"/>
      <c r="AMB20" s="57"/>
      <c r="AMC20" s="57"/>
      <c r="AMD20" s="57"/>
      <c r="AME20" s="57"/>
      <c r="AMF20" s="57"/>
      <c r="AMG20" s="57"/>
      <c r="AMH20" s="57"/>
      <c r="AMI20"/>
      <c r="AMJ20"/>
    </row>
    <row r="21" spans="1:1024" s="62" customFormat="1" ht="13.5" hidden="1" customHeight="1" thickBot="1" x14ac:dyDescent="0.35">
      <c r="A21" s="713" t="s">
        <v>93</v>
      </c>
      <c r="B21" s="713"/>
      <c r="C21" s="713"/>
      <c r="D21" s="713"/>
      <c r="E21" s="713"/>
      <c r="F21" s="713"/>
      <c r="G21" s="713"/>
      <c r="H21" s="63">
        <f>Resumo!I22</f>
        <v>0</v>
      </c>
      <c r="I21" s="714"/>
      <c r="J21" s="714"/>
      <c r="K21" s="64">
        <f>Resumo!L22</f>
        <v>0</v>
      </c>
      <c r="L21" s="65">
        <f>Resumo!O22</f>
        <v>0</v>
      </c>
      <c r="M21" s="65">
        <f>Resumo!R22</f>
        <v>0</v>
      </c>
      <c r="N21" s="66">
        <f>Resumo!V22</f>
        <v>0</v>
      </c>
      <c r="O21" s="67">
        <f>(H21+K21+L21+M21)</f>
        <v>0</v>
      </c>
      <c r="P21" s="68">
        <f>Resumo!V22</f>
        <v>0</v>
      </c>
      <c r="Q21" s="68">
        <f>SUM(Q11:Q20)</f>
        <v>155574.07</v>
      </c>
      <c r="R21" s="69"/>
      <c r="S21" s="68">
        <f>SUM(S11:S20)</f>
        <v>16013.54</v>
      </c>
      <c r="T21" s="68"/>
      <c r="U21" s="68">
        <f>SUM(U11:U20)</f>
        <v>155574.07</v>
      </c>
    </row>
    <row r="22" spans="1:1024" s="62" customFormat="1" hidden="1" x14ac:dyDescent="0.3">
      <c r="A22" s="70" t="s">
        <v>94</v>
      </c>
      <c r="B22" s="38"/>
      <c r="C22" s="38"/>
      <c r="D22" s="38"/>
      <c r="E22" s="648"/>
      <c r="F22" s="648"/>
      <c r="G22" s="38"/>
      <c r="H22" s="38"/>
      <c r="I22" s="38"/>
      <c r="J22" s="38"/>
      <c r="K22" s="27"/>
      <c r="L22" s="27"/>
      <c r="M22" s="27"/>
      <c r="N22" s="26"/>
      <c r="O22" s="26"/>
      <c r="P22" s="26"/>
      <c r="Q22" s="26"/>
      <c r="R22" s="28"/>
      <c r="S22" s="28"/>
      <c r="T22" s="28"/>
      <c r="U22" s="28"/>
      <c r="V22" s="28"/>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6"/>
      <c r="LY22" s="26"/>
      <c r="LZ22" s="26"/>
      <c r="MA22" s="26"/>
      <c r="MB22" s="26"/>
      <c r="MC22" s="26"/>
      <c r="MD22" s="26"/>
      <c r="ME22" s="26"/>
      <c r="MF22" s="26"/>
      <c r="MG22" s="26"/>
      <c r="MH22" s="26"/>
      <c r="MI22" s="26"/>
      <c r="MJ22" s="26"/>
      <c r="MK22" s="26"/>
      <c r="ML22" s="26"/>
      <c r="MM22" s="26"/>
      <c r="MN22" s="26"/>
      <c r="MO22" s="26"/>
      <c r="MP22" s="26"/>
      <c r="MQ22" s="26"/>
      <c r="MR22" s="26"/>
      <c r="MS22" s="26"/>
      <c r="MT22" s="26"/>
      <c r="MU22" s="26"/>
      <c r="MV22" s="26"/>
      <c r="MW22" s="26"/>
      <c r="MX22" s="26"/>
      <c r="MY22" s="26"/>
      <c r="MZ22" s="26"/>
      <c r="NA22" s="26"/>
      <c r="NB22" s="26"/>
      <c r="NC22" s="26"/>
      <c r="ND22" s="26"/>
      <c r="NE22" s="26"/>
      <c r="NF22" s="26"/>
      <c r="NG22" s="26"/>
      <c r="NH22" s="26"/>
      <c r="NI22" s="26"/>
      <c r="NJ22" s="26"/>
      <c r="NK22" s="26"/>
      <c r="NL22" s="26"/>
      <c r="NM22" s="26"/>
      <c r="NN22" s="26"/>
      <c r="NO22" s="26"/>
      <c r="NP22" s="26"/>
      <c r="NQ22" s="26"/>
      <c r="NR22" s="26"/>
      <c r="NS22" s="26"/>
      <c r="NT22" s="26"/>
      <c r="NU22" s="26"/>
      <c r="NV22" s="26"/>
      <c r="NW22" s="26"/>
      <c r="NX22" s="26"/>
      <c r="NY22" s="26"/>
      <c r="NZ22" s="26"/>
      <c r="OA22" s="26"/>
      <c r="OB22" s="26"/>
      <c r="OC22" s="26"/>
      <c r="OD22" s="26"/>
      <c r="OE22" s="26"/>
      <c r="OF22" s="26"/>
      <c r="OG22" s="26"/>
      <c r="OH22" s="26"/>
      <c r="OI22" s="26"/>
      <c r="OJ22" s="26"/>
      <c r="OK22" s="26"/>
      <c r="OL22" s="26"/>
      <c r="OM22" s="26"/>
      <c r="ON22" s="26"/>
      <c r="OO22" s="26"/>
      <c r="OP22" s="26"/>
      <c r="OQ22" s="26"/>
      <c r="OR22" s="26"/>
      <c r="OS22" s="26"/>
      <c r="OT22" s="26"/>
      <c r="OU22" s="26"/>
      <c r="OV22" s="26"/>
      <c r="OW22" s="26"/>
      <c r="OX22" s="26"/>
      <c r="OY22" s="26"/>
      <c r="OZ22" s="26"/>
      <c r="PA22" s="26"/>
      <c r="PB22" s="26"/>
      <c r="PC22" s="26"/>
      <c r="PD22" s="26"/>
      <c r="PE22" s="26"/>
      <c r="PF22" s="26"/>
      <c r="PG22" s="26"/>
      <c r="PH22" s="26"/>
      <c r="PI22" s="26"/>
      <c r="PJ22" s="26"/>
      <c r="PK22" s="26"/>
      <c r="PL22" s="26"/>
      <c r="PM22" s="26"/>
      <c r="PN22" s="26"/>
      <c r="PO22" s="26"/>
      <c r="PP22" s="26"/>
      <c r="PQ22" s="26"/>
      <c r="PR22" s="26"/>
      <c r="PS22" s="26"/>
      <c r="PT22" s="26"/>
      <c r="PU22" s="26"/>
      <c r="PV22" s="26"/>
      <c r="PW22" s="26"/>
      <c r="PX22" s="26"/>
      <c r="PY22" s="26"/>
      <c r="PZ22" s="26"/>
      <c r="QA22" s="26"/>
      <c r="QB22" s="26"/>
      <c r="QC22" s="26"/>
      <c r="QD22" s="26"/>
      <c r="QE22" s="26"/>
      <c r="QF22" s="26"/>
      <c r="QG22" s="26"/>
      <c r="QH22" s="26"/>
      <c r="QI22" s="26"/>
      <c r="QJ22" s="26"/>
      <c r="QK22" s="26"/>
      <c r="QL22" s="26"/>
      <c r="QM22" s="26"/>
      <c r="QN22" s="26"/>
      <c r="QO22" s="26"/>
      <c r="QP22" s="26"/>
      <c r="QQ22" s="26"/>
      <c r="QR22" s="26"/>
      <c r="QS22" s="26"/>
      <c r="QT22" s="26"/>
      <c r="QU22" s="26"/>
      <c r="QV22" s="26"/>
      <c r="QW22" s="26"/>
      <c r="QX22" s="26"/>
      <c r="QY22" s="26"/>
      <c r="QZ22" s="26"/>
      <c r="RA22" s="26"/>
      <c r="RB22" s="26"/>
      <c r="RC22" s="26"/>
      <c r="RD22" s="26"/>
      <c r="RE22" s="26"/>
      <c r="RF22" s="26"/>
      <c r="RG22" s="26"/>
      <c r="RH22" s="26"/>
      <c r="RI22" s="26"/>
      <c r="RJ22" s="26"/>
      <c r="RK22" s="26"/>
      <c r="RL22" s="26"/>
      <c r="RM22" s="26"/>
      <c r="RN22" s="26"/>
      <c r="RO22" s="26"/>
      <c r="RP22" s="26"/>
      <c r="RQ22" s="26"/>
      <c r="RR22" s="26"/>
      <c r="RS22" s="26"/>
      <c r="RT22" s="26"/>
      <c r="RU22" s="26"/>
      <c r="RV22" s="26"/>
      <c r="RW22" s="26"/>
      <c r="RX22" s="26"/>
      <c r="RY22" s="26"/>
      <c r="RZ22" s="26"/>
      <c r="SA22" s="26"/>
      <c r="SB22" s="26"/>
      <c r="SC22" s="26"/>
      <c r="SD22" s="26"/>
      <c r="SE22" s="26"/>
      <c r="SF22" s="26"/>
      <c r="SG22" s="26"/>
      <c r="SH22" s="26"/>
      <c r="SI22" s="26"/>
      <c r="SJ22" s="26"/>
      <c r="SK22" s="26"/>
      <c r="SL22" s="26"/>
      <c r="SM22" s="26"/>
      <c r="SN22" s="26"/>
      <c r="SO22" s="26"/>
      <c r="SP22" s="26"/>
      <c r="SQ22" s="26"/>
      <c r="SR22" s="26"/>
      <c r="SS22" s="26"/>
      <c r="ST22" s="26"/>
      <c r="SU22" s="26"/>
      <c r="SV22" s="26"/>
      <c r="SW22" s="26"/>
      <c r="SX22" s="26"/>
      <c r="SY22" s="26"/>
      <c r="SZ22" s="26"/>
      <c r="TA22" s="26"/>
      <c r="TB22" s="26"/>
      <c r="TC22" s="26"/>
      <c r="TD22" s="26"/>
      <c r="TE22" s="26"/>
      <c r="TF22" s="26"/>
      <c r="TG22" s="26"/>
      <c r="TH22" s="26"/>
      <c r="TI22" s="26"/>
      <c r="TJ22" s="26"/>
      <c r="TK22" s="26"/>
      <c r="TL22" s="26"/>
      <c r="TM22" s="26"/>
      <c r="TN22" s="26"/>
      <c r="TO22" s="26"/>
      <c r="TP22" s="26"/>
      <c r="TQ22" s="26"/>
      <c r="TR22" s="26"/>
      <c r="TS22" s="26"/>
      <c r="TT22" s="26"/>
      <c r="TU22" s="26"/>
      <c r="TV22" s="26"/>
      <c r="TW22" s="26"/>
      <c r="TX22" s="26"/>
      <c r="TY22" s="26"/>
      <c r="TZ22" s="26"/>
      <c r="UA22" s="26"/>
      <c r="UB22" s="26"/>
      <c r="UC22" s="26"/>
      <c r="UD22" s="26"/>
      <c r="UE22" s="26"/>
      <c r="UF22" s="26"/>
      <c r="UG22" s="26"/>
      <c r="UH22" s="26"/>
      <c r="UI22" s="26"/>
      <c r="UJ22" s="26"/>
      <c r="UK22" s="26"/>
      <c r="UL22" s="26"/>
      <c r="UM22" s="26"/>
      <c r="UN22" s="26"/>
      <c r="UO22" s="26"/>
      <c r="UP22" s="26"/>
      <c r="UQ22" s="26"/>
      <c r="UR22" s="26"/>
      <c r="US22" s="26"/>
      <c r="UT22" s="26"/>
      <c r="UU22" s="26"/>
      <c r="UV22" s="26"/>
      <c r="UW22" s="26"/>
      <c r="UX22" s="26"/>
      <c r="UY22" s="26"/>
      <c r="UZ22" s="26"/>
      <c r="VA22" s="26"/>
      <c r="VB22" s="26"/>
      <c r="VC22" s="26"/>
      <c r="VD22" s="26"/>
      <c r="VE22" s="26"/>
      <c r="VF22" s="26"/>
      <c r="VG22" s="26"/>
      <c r="VH22" s="26"/>
      <c r="VI22" s="26"/>
      <c r="VJ22" s="26"/>
      <c r="VK22" s="26"/>
      <c r="VL22" s="26"/>
      <c r="VM22" s="26"/>
      <c r="VN22" s="26"/>
      <c r="VO22" s="26"/>
      <c r="VP22" s="26"/>
      <c r="VQ22" s="26"/>
      <c r="VR22" s="26"/>
      <c r="VS22" s="26"/>
      <c r="VT22" s="26"/>
      <c r="VU22" s="26"/>
      <c r="VV22" s="26"/>
      <c r="VW22" s="26"/>
      <c r="VX22" s="26"/>
      <c r="VY22" s="26"/>
      <c r="VZ22" s="26"/>
      <c r="WA22" s="26"/>
      <c r="WB22" s="26"/>
      <c r="WC22" s="26"/>
      <c r="WD22" s="26"/>
      <c r="WE22" s="26"/>
      <c r="WF22" s="26"/>
      <c r="WG22" s="26"/>
      <c r="WH22" s="26"/>
      <c r="WI22" s="26"/>
      <c r="WJ22" s="26"/>
      <c r="WK22" s="26"/>
      <c r="WL22" s="26"/>
      <c r="WM22" s="26"/>
      <c r="WN22" s="26"/>
      <c r="WO22" s="26"/>
      <c r="WP22" s="26"/>
      <c r="WQ22" s="26"/>
      <c r="WR22" s="26"/>
      <c r="WS22" s="26"/>
      <c r="WT22" s="26"/>
      <c r="WU22" s="26"/>
      <c r="WV22" s="26"/>
      <c r="WW22" s="26"/>
      <c r="WX22" s="26"/>
      <c r="WY22" s="26"/>
      <c r="WZ22" s="26"/>
      <c r="XA22" s="26"/>
      <c r="XB22" s="26"/>
      <c r="XC22" s="26"/>
      <c r="XD22" s="26"/>
      <c r="XE22" s="26"/>
      <c r="XF22" s="26"/>
      <c r="XG22" s="26"/>
      <c r="XH22" s="26"/>
      <c r="XI22" s="26"/>
      <c r="XJ22" s="26"/>
      <c r="XK22" s="26"/>
      <c r="XL22" s="26"/>
      <c r="XM22" s="26"/>
      <c r="XN22" s="26"/>
      <c r="XO22" s="26"/>
      <c r="XP22" s="26"/>
      <c r="XQ22" s="26"/>
      <c r="XR22" s="26"/>
      <c r="XS22" s="26"/>
      <c r="XT22" s="26"/>
      <c r="XU22" s="26"/>
      <c r="XV22" s="26"/>
      <c r="XW22" s="26"/>
      <c r="XX22" s="26"/>
      <c r="XY22" s="26"/>
      <c r="XZ22" s="26"/>
      <c r="YA22" s="26"/>
      <c r="YB22" s="26"/>
      <c r="YC22" s="26"/>
      <c r="YD22" s="26"/>
      <c r="YE22" s="26"/>
      <c r="YF22" s="26"/>
      <c r="YG22" s="26"/>
      <c r="YH22" s="26"/>
      <c r="YI22" s="26"/>
      <c r="YJ22" s="26"/>
      <c r="YK22" s="26"/>
      <c r="YL22" s="26"/>
      <c r="YM22" s="26"/>
      <c r="YN22" s="26"/>
      <c r="YO22" s="26"/>
      <c r="YP22" s="26"/>
      <c r="YQ22" s="26"/>
      <c r="YR22" s="26"/>
      <c r="YS22" s="26"/>
      <c r="YT22" s="26"/>
      <c r="YU22" s="26"/>
      <c r="YV22" s="26"/>
      <c r="YW22" s="26"/>
      <c r="YX22" s="26"/>
      <c r="YY22" s="26"/>
      <c r="YZ22" s="26"/>
      <c r="ZA22" s="26"/>
      <c r="ZB22" s="26"/>
      <c r="ZC22" s="26"/>
      <c r="ZD22" s="26"/>
      <c r="ZE22" s="26"/>
      <c r="ZF22" s="26"/>
      <c r="ZG22" s="26"/>
      <c r="ZH22" s="26"/>
      <c r="ZI22" s="26"/>
      <c r="ZJ22" s="26"/>
      <c r="ZK22" s="26"/>
      <c r="ZL22" s="26"/>
      <c r="ZM22" s="26"/>
      <c r="ZN22" s="26"/>
      <c r="ZO22" s="26"/>
      <c r="ZP22" s="26"/>
      <c r="ZQ22" s="26"/>
      <c r="ZR22" s="26"/>
      <c r="ZS22" s="26"/>
      <c r="ZT22" s="26"/>
      <c r="ZU22" s="26"/>
      <c r="ZV22" s="26"/>
      <c r="ZW22" s="26"/>
      <c r="ZX22" s="26"/>
      <c r="ZY22" s="26"/>
      <c r="ZZ22" s="26"/>
      <c r="AAA22" s="26"/>
      <c r="AAB22" s="26"/>
      <c r="AAC22" s="26"/>
      <c r="AAD22" s="26"/>
      <c r="AAE22" s="26"/>
      <c r="AAF22" s="26"/>
      <c r="AAG22" s="26"/>
      <c r="AAH22" s="26"/>
      <c r="AAI22" s="26"/>
      <c r="AAJ22" s="26"/>
      <c r="AAK22" s="26"/>
      <c r="AAL22" s="26"/>
      <c r="AAM22" s="26"/>
      <c r="AAN22" s="26"/>
      <c r="AAO22" s="26"/>
      <c r="AAP22" s="26"/>
      <c r="AAQ22" s="26"/>
      <c r="AAR22" s="26"/>
      <c r="AAS22" s="26"/>
      <c r="AAT22" s="26"/>
      <c r="AAU22" s="26"/>
      <c r="AAV22" s="26"/>
      <c r="AAW22" s="26"/>
      <c r="AAX22" s="26"/>
      <c r="AAY22" s="26"/>
      <c r="AAZ22" s="26"/>
      <c r="ABA22" s="26"/>
      <c r="ABB22" s="26"/>
      <c r="ABC22" s="26"/>
      <c r="ABD22" s="26"/>
      <c r="ABE22" s="26"/>
      <c r="ABF22" s="26"/>
      <c r="ABG22" s="26"/>
      <c r="ABH22" s="26"/>
      <c r="ABI22" s="26"/>
      <c r="ABJ22" s="26"/>
      <c r="ABK22" s="26"/>
      <c r="ABL22" s="26"/>
      <c r="ABM22" s="26"/>
      <c r="ABN22" s="26"/>
      <c r="ABO22" s="26"/>
      <c r="ABP22" s="26"/>
      <c r="ABQ22" s="26"/>
      <c r="ABR22" s="26"/>
      <c r="ABS22" s="26"/>
      <c r="ABT22" s="26"/>
      <c r="ABU22" s="26"/>
      <c r="ABV22" s="26"/>
      <c r="ABW22" s="26"/>
      <c r="ABX22" s="26"/>
      <c r="ABY22" s="26"/>
      <c r="ABZ22" s="26"/>
      <c r="ACA22" s="26"/>
      <c r="ACB22" s="26"/>
      <c r="ACC22" s="26"/>
      <c r="ACD22" s="26"/>
      <c r="ACE22" s="26"/>
      <c r="ACF22" s="26"/>
      <c r="ACG22" s="26"/>
      <c r="ACH22" s="26"/>
      <c r="ACI22" s="26"/>
      <c r="ACJ22" s="26"/>
      <c r="ACK22" s="26"/>
      <c r="ACL22" s="26"/>
      <c r="ACM22" s="26"/>
      <c r="ACN22" s="26"/>
      <c r="ACO22" s="26"/>
      <c r="ACP22" s="26"/>
      <c r="ACQ22" s="26"/>
      <c r="ACR22" s="26"/>
      <c r="ACS22" s="26"/>
      <c r="ACT22" s="26"/>
      <c r="ACU22" s="26"/>
      <c r="ACV22" s="26"/>
      <c r="ACW22" s="26"/>
      <c r="ACX22" s="26"/>
      <c r="ACY22" s="26"/>
      <c r="ACZ22" s="26"/>
      <c r="ADA22" s="26"/>
      <c r="ADB22" s="26"/>
      <c r="ADC22" s="26"/>
      <c r="ADD22" s="26"/>
      <c r="ADE22" s="26"/>
      <c r="ADF22" s="26"/>
      <c r="ADG22" s="26"/>
      <c r="ADH22" s="26"/>
      <c r="ADI22" s="26"/>
      <c r="ADJ22" s="26"/>
      <c r="ADK22" s="26"/>
      <c r="ADL22" s="26"/>
      <c r="ADM22" s="26"/>
      <c r="ADN22" s="26"/>
      <c r="ADO22" s="26"/>
      <c r="ADP22" s="26"/>
      <c r="ADQ22" s="26"/>
      <c r="ADR22" s="26"/>
      <c r="ADS22" s="26"/>
      <c r="ADT22" s="26"/>
      <c r="ADU22" s="26"/>
      <c r="ADV22" s="26"/>
      <c r="ADW22" s="26"/>
      <c r="ADX22" s="26"/>
      <c r="ADY22" s="26"/>
      <c r="ADZ22" s="26"/>
      <c r="AEA22" s="26"/>
      <c r="AEB22" s="26"/>
      <c r="AEC22" s="26"/>
      <c r="AED22" s="26"/>
      <c r="AEE22" s="26"/>
      <c r="AEF22" s="26"/>
      <c r="AEG22" s="26"/>
      <c r="AEH22" s="26"/>
      <c r="AEI22" s="26"/>
      <c r="AEJ22" s="26"/>
      <c r="AEK22" s="26"/>
      <c r="AEL22" s="26"/>
      <c r="AEM22" s="26"/>
      <c r="AEN22" s="26"/>
      <c r="AEO22" s="26"/>
      <c r="AEP22" s="26"/>
      <c r="AEQ22" s="26"/>
      <c r="AER22" s="26"/>
      <c r="AES22" s="26"/>
      <c r="AET22" s="26"/>
      <c r="AEU22" s="26"/>
      <c r="AEV22" s="26"/>
      <c r="AEW22" s="26"/>
      <c r="AEX22" s="26"/>
      <c r="AEY22" s="26"/>
      <c r="AEZ22" s="26"/>
      <c r="AFA22" s="26"/>
      <c r="AFB22" s="26"/>
      <c r="AFC22" s="26"/>
      <c r="AFD22" s="26"/>
      <c r="AFE22" s="26"/>
      <c r="AFF22" s="26"/>
      <c r="AFG22" s="26"/>
      <c r="AFH22" s="26"/>
      <c r="AFI22" s="26"/>
      <c r="AFJ22" s="26"/>
      <c r="AFK22" s="26"/>
      <c r="AFL22" s="26"/>
      <c r="AFM22" s="26"/>
      <c r="AFN22" s="26"/>
      <c r="AFO22" s="26"/>
      <c r="AFP22" s="26"/>
      <c r="AFQ22" s="26"/>
      <c r="AFR22" s="26"/>
      <c r="AFS22" s="26"/>
      <c r="AFT22" s="26"/>
      <c r="AFU22" s="26"/>
      <c r="AFV22" s="26"/>
      <c r="AFW22" s="26"/>
      <c r="AFX22" s="26"/>
      <c r="AFY22" s="26"/>
      <c r="AFZ22" s="26"/>
      <c r="AGA22" s="26"/>
      <c r="AGB22" s="26"/>
      <c r="AGC22" s="26"/>
      <c r="AGD22" s="26"/>
      <c r="AGE22" s="26"/>
      <c r="AGF22" s="26"/>
      <c r="AGG22" s="26"/>
      <c r="AGH22" s="26"/>
      <c r="AGI22" s="26"/>
      <c r="AGJ22" s="26"/>
      <c r="AGK22" s="26"/>
      <c r="AGL22" s="26"/>
      <c r="AGM22" s="26"/>
      <c r="AGN22" s="26"/>
      <c r="AGO22" s="26"/>
      <c r="AGP22" s="26"/>
      <c r="AGQ22" s="26"/>
      <c r="AGR22" s="26"/>
      <c r="AGS22" s="26"/>
      <c r="AGT22" s="26"/>
      <c r="AGU22" s="26"/>
      <c r="AGV22" s="26"/>
      <c r="AGW22" s="26"/>
      <c r="AGX22" s="26"/>
      <c r="AGY22" s="26"/>
      <c r="AGZ22" s="26"/>
      <c r="AHA22" s="26"/>
      <c r="AHB22" s="26"/>
      <c r="AHC22" s="26"/>
      <c r="AHD22" s="26"/>
      <c r="AHE22" s="26"/>
      <c r="AHF22" s="26"/>
      <c r="AHG22" s="26"/>
      <c r="AHH22" s="26"/>
      <c r="AHI22" s="26"/>
      <c r="AHJ22" s="26"/>
      <c r="AHK22" s="26"/>
      <c r="AHL22" s="26"/>
      <c r="AHM22" s="26"/>
      <c r="AHN22" s="26"/>
      <c r="AHO22" s="26"/>
      <c r="AHP22" s="26"/>
      <c r="AHQ22" s="26"/>
      <c r="AHR22" s="26"/>
      <c r="AHS22" s="26"/>
      <c r="AHT22" s="26"/>
      <c r="AHU22" s="26"/>
      <c r="AHV22" s="26"/>
      <c r="AHW22" s="26"/>
      <c r="AHX22" s="26"/>
      <c r="AHY22" s="26"/>
      <c r="AHZ22" s="26"/>
      <c r="AIA22" s="26"/>
      <c r="AIB22" s="26"/>
      <c r="AIC22" s="26"/>
      <c r="AID22" s="26"/>
      <c r="AIE22" s="26"/>
      <c r="AIF22" s="26"/>
      <c r="AIG22" s="26"/>
      <c r="AIH22" s="26"/>
      <c r="AII22" s="26"/>
      <c r="AIJ22" s="26"/>
      <c r="AIK22" s="26"/>
      <c r="AIL22" s="26"/>
      <c r="AIM22" s="26"/>
      <c r="AIN22" s="26"/>
      <c r="AIO22" s="26"/>
      <c r="AIP22" s="26"/>
      <c r="AIQ22" s="26"/>
      <c r="AIR22" s="26"/>
      <c r="AIS22" s="26"/>
      <c r="AIT22" s="26"/>
      <c r="AIU22" s="26"/>
      <c r="AIV22" s="26"/>
      <c r="AIW22" s="26"/>
      <c r="AIX22" s="26"/>
      <c r="AIY22" s="26"/>
      <c r="AIZ22" s="26"/>
      <c r="AJA22" s="26"/>
      <c r="AJB22" s="26"/>
      <c r="AJC22" s="26"/>
      <c r="AJD22" s="26"/>
      <c r="AJE22" s="26"/>
      <c r="AJF22" s="26"/>
      <c r="AJG22" s="26"/>
      <c r="AJH22" s="26"/>
      <c r="AJI22" s="26"/>
      <c r="AJJ22" s="26"/>
      <c r="AJK22" s="26"/>
      <c r="AJL22" s="26"/>
      <c r="AJM22" s="26"/>
      <c r="AJN22" s="26"/>
      <c r="AJO22" s="26"/>
      <c r="AJP22" s="26"/>
      <c r="AJQ22" s="26"/>
      <c r="AJR22" s="26"/>
      <c r="AJS22" s="26"/>
      <c r="AJT22" s="26"/>
      <c r="AJU22" s="26"/>
      <c r="AJV22" s="26"/>
      <c r="AJW22" s="26"/>
      <c r="AJX22" s="26"/>
      <c r="AJY22" s="26"/>
      <c r="AJZ22" s="26"/>
      <c r="AKA22" s="26"/>
      <c r="AKB22" s="26"/>
      <c r="AKC22" s="26"/>
      <c r="AKD22" s="26"/>
      <c r="AKE22" s="26"/>
      <c r="AKF22" s="26"/>
      <c r="AKG22" s="26"/>
      <c r="AKH22" s="26"/>
      <c r="AKI22" s="26"/>
      <c r="AKJ22" s="26"/>
      <c r="AKK22" s="26"/>
      <c r="AKL22" s="26"/>
      <c r="AKM22" s="26"/>
      <c r="AKN22" s="26"/>
      <c r="AKO22" s="26"/>
      <c r="AKP22" s="26"/>
      <c r="AKQ22" s="26"/>
      <c r="AKR22" s="26"/>
      <c r="AKS22" s="26"/>
      <c r="AKT22" s="26"/>
      <c r="AKU22" s="26"/>
      <c r="AKV22" s="26"/>
      <c r="AKW22" s="26"/>
      <c r="AKX22" s="26"/>
      <c r="AKY22" s="26"/>
      <c r="AKZ22" s="26"/>
      <c r="ALA22" s="26"/>
      <c r="ALB22" s="26"/>
      <c r="ALC22" s="26"/>
      <c r="ALD22" s="26"/>
      <c r="ALE22" s="26"/>
      <c r="ALF22" s="26"/>
      <c r="ALG22" s="26"/>
      <c r="ALH22" s="26"/>
      <c r="ALI22" s="26"/>
      <c r="ALJ22" s="26"/>
      <c r="ALK22" s="26"/>
      <c r="ALL22" s="26"/>
      <c r="ALM22" s="26"/>
      <c r="ALN22" s="26"/>
      <c r="ALO22" s="26"/>
      <c r="ALP22" s="26"/>
      <c r="ALQ22" s="26"/>
      <c r="ALR22" s="26"/>
      <c r="ALS22" s="26"/>
      <c r="ALT22" s="26"/>
      <c r="ALU22" s="26"/>
      <c r="ALV22" s="26"/>
      <c r="ALW22" s="26"/>
      <c r="ALX22" s="26"/>
      <c r="ALY22" s="26"/>
      <c r="ALZ22" s="26"/>
      <c r="AMA22" s="26"/>
      <c r="AMB22" s="26"/>
      <c r="AMC22" s="26"/>
      <c r="AMD22" s="26"/>
      <c r="AME22" s="26"/>
      <c r="AMF22" s="26"/>
      <c r="AMG22" s="26"/>
      <c r="AMH22" s="26"/>
      <c r="AMI22" s="26"/>
    </row>
    <row r="23" spans="1:1024" s="62" customFormat="1" hidden="1" x14ac:dyDescent="0.3">
      <c r="A23" s="71" t="s">
        <v>95</v>
      </c>
      <c r="B23" s="72"/>
      <c r="C23" s="72"/>
      <c r="D23" s="72"/>
      <c r="E23" s="660"/>
      <c r="F23" s="660"/>
      <c r="G23" s="72"/>
      <c r="H23" s="72"/>
      <c r="I23" s="72"/>
      <c r="J23" s="72"/>
      <c r="K23" s="27"/>
      <c r="L23" s="27"/>
      <c r="M23" s="27"/>
      <c r="N23" s="26"/>
      <c r="O23" s="26"/>
      <c r="P23" s="26"/>
      <c r="Q23" s="26"/>
      <c r="R23" s="28"/>
      <c r="S23" s="28"/>
      <c r="T23" s="28"/>
      <c r="U23" s="28"/>
      <c r="V23" s="28"/>
      <c r="W23" s="28"/>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6"/>
      <c r="LY23" s="26"/>
      <c r="LZ23" s="26"/>
      <c r="MA23" s="26"/>
      <c r="MB23" s="26"/>
      <c r="MC23" s="26"/>
      <c r="MD23" s="26"/>
      <c r="ME23" s="26"/>
      <c r="MF23" s="26"/>
      <c r="MG23" s="26"/>
      <c r="MH23" s="26"/>
      <c r="MI23" s="26"/>
      <c r="MJ23" s="26"/>
      <c r="MK23" s="26"/>
      <c r="ML23" s="26"/>
      <c r="MM23" s="26"/>
      <c r="MN23" s="26"/>
      <c r="MO23" s="26"/>
      <c r="MP23" s="26"/>
      <c r="MQ23" s="26"/>
      <c r="MR23" s="26"/>
      <c r="MS23" s="26"/>
      <c r="MT23" s="26"/>
      <c r="MU23" s="26"/>
      <c r="MV23" s="26"/>
      <c r="MW23" s="26"/>
      <c r="MX23" s="26"/>
      <c r="MY23" s="26"/>
      <c r="MZ23" s="26"/>
      <c r="NA23" s="26"/>
      <c r="NB23" s="26"/>
      <c r="NC23" s="26"/>
      <c r="ND23" s="26"/>
      <c r="NE23" s="26"/>
      <c r="NF23" s="26"/>
      <c r="NG23" s="26"/>
      <c r="NH23" s="26"/>
      <c r="NI23" s="26"/>
      <c r="NJ23" s="26"/>
      <c r="NK23" s="26"/>
      <c r="NL23" s="26"/>
      <c r="NM23" s="26"/>
      <c r="NN23" s="26"/>
      <c r="NO23" s="26"/>
      <c r="NP23" s="26"/>
      <c r="NQ23" s="26"/>
      <c r="NR23" s="26"/>
      <c r="NS23" s="26"/>
      <c r="NT23" s="26"/>
      <c r="NU23" s="26"/>
      <c r="NV23" s="26"/>
      <c r="NW23" s="26"/>
      <c r="NX23" s="26"/>
      <c r="NY23" s="26"/>
      <c r="NZ23" s="26"/>
      <c r="OA23" s="26"/>
      <c r="OB23" s="26"/>
      <c r="OC23" s="26"/>
      <c r="OD23" s="26"/>
      <c r="OE23" s="26"/>
      <c r="OF23" s="26"/>
      <c r="OG23" s="26"/>
      <c r="OH23" s="26"/>
      <c r="OI23" s="26"/>
      <c r="OJ23" s="26"/>
      <c r="OK23" s="26"/>
      <c r="OL23" s="26"/>
      <c r="OM23" s="26"/>
      <c r="ON23" s="26"/>
      <c r="OO23" s="26"/>
      <c r="OP23" s="26"/>
      <c r="OQ23" s="26"/>
      <c r="OR23" s="26"/>
      <c r="OS23" s="26"/>
      <c r="OT23" s="26"/>
      <c r="OU23" s="26"/>
      <c r="OV23" s="26"/>
      <c r="OW23" s="26"/>
      <c r="OX23" s="26"/>
      <c r="OY23" s="26"/>
      <c r="OZ23" s="26"/>
      <c r="PA23" s="26"/>
      <c r="PB23" s="26"/>
      <c r="PC23" s="26"/>
      <c r="PD23" s="26"/>
      <c r="PE23" s="26"/>
      <c r="PF23" s="26"/>
      <c r="PG23" s="26"/>
      <c r="PH23" s="26"/>
      <c r="PI23" s="26"/>
      <c r="PJ23" s="26"/>
      <c r="PK23" s="26"/>
      <c r="PL23" s="26"/>
      <c r="PM23" s="26"/>
      <c r="PN23" s="26"/>
      <c r="PO23" s="26"/>
      <c r="PP23" s="26"/>
      <c r="PQ23" s="26"/>
      <c r="PR23" s="26"/>
      <c r="PS23" s="26"/>
      <c r="PT23" s="26"/>
      <c r="PU23" s="26"/>
      <c r="PV23" s="26"/>
      <c r="PW23" s="26"/>
      <c r="PX23" s="26"/>
      <c r="PY23" s="26"/>
      <c r="PZ23" s="26"/>
      <c r="QA23" s="26"/>
      <c r="QB23" s="26"/>
      <c r="QC23" s="26"/>
      <c r="QD23" s="26"/>
      <c r="QE23" s="26"/>
      <c r="QF23" s="26"/>
      <c r="QG23" s="26"/>
      <c r="QH23" s="26"/>
      <c r="QI23" s="26"/>
      <c r="QJ23" s="26"/>
      <c r="QK23" s="26"/>
      <c r="QL23" s="26"/>
      <c r="QM23" s="26"/>
      <c r="QN23" s="26"/>
      <c r="QO23" s="26"/>
      <c r="QP23" s="26"/>
      <c r="QQ23" s="26"/>
      <c r="QR23" s="26"/>
      <c r="QS23" s="26"/>
      <c r="QT23" s="26"/>
      <c r="QU23" s="26"/>
      <c r="QV23" s="26"/>
      <c r="QW23" s="26"/>
      <c r="QX23" s="26"/>
      <c r="QY23" s="26"/>
      <c r="QZ23" s="26"/>
      <c r="RA23" s="26"/>
      <c r="RB23" s="26"/>
      <c r="RC23" s="26"/>
      <c r="RD23" s="26"/>
      <c r="RE23" s="26"/>
      <c r="RF23" s="26"/>
      <c r="RG23" s="26"/>
      <c r="RH23" s="26"/>
      <c r="RI23" s="26"/>
      <c r="RJ23" s="26"/>
      <c r="RK23" s="26"/>
      <c r="RL23" s="26"/>
      <c r="RM23" s="26"/>
      <c r="RN23" s="26"/>
      <c r="RO23" s="26"/>
      <c r="RP23" s="26"/>
      <c r="RQ23" s="26"/>
      <c r="RR23" s="26"/>
      <c r="RS23" s="26"/>
      <c r="RT23" s="26"/>
      <c r="RU23" s="26"/>
      <c r="RV23" s="26"/>
      <c r="RW23" s="26"/>
      <c r="RX23" s="26"/>
      <c r="RY23" s="26"/>
      <c r="RZ23" s="26"/>
      <c r="SA23" s="26"/>
      <c r="SB23" s="26"/>
      <c r="SC23" s="26"/>
      <c r="SD23" s="26"/>
      <c r="SE23" s="26"/>
      <c r="SF23" s="26"/>
      <c r="SG23" s="26"/>
      <c r="SH23" s="26"/>
      <c r="SI23" s="26"/>
      <c r="SJ23" s="26"/>
      <c r="SK23" s="26"/>
      <c r="SL23" s="26"/>
      <c r="SM23" s="26"/>
      <c r="SN23" s="26"/>
      <c r="SO23" s="26"/>
      <c r="SP23" s="26"/>
      <c r="SQ23" s="26"/>
      <c r="SR23" s="26"/>
      <c r="SS23" s="26"/>
      <c r="ST23" s="26"/>
      <c r="SU23" s="26"/>
      <c r="SV23" s="26"/>
      <c r="SW23" s="26"/>
      <c r="SX23" s="26"/>
      <c r="SY23" s="26"/>
      <c r="SZ23" s="26"/>
      <c r="TA23" s="26"/>
      <c r="TB23" s="26"/>
      <c r="TC23" s="26"/>
      <c r="TD23" s="26"/>
      <c r="TE23" s="26"/>
      <c r="TF23" s="26"/>
      <c r="TG23" s="26"/>
      <c r="TH23" s="26"/>
      <c r="TI23" s="26"/>
      <c r="TJ23" s="26"/>
      <c r="TK23" s="26"/>
      <c r="TL23" s="26"/>
      <c r="TM23" s="26"/>
      <c r="TN23" s="26"/>
      <c r="TO23" s="26"/>
      <c r="TP23" s="26"/>
      <c r="TQ23" s="26"/>
      <c r="TR23" s="26"/>
      <c r="TS23" s="26"/>
      <c r="TT23" s="26"/>
      <c r="TU23" s="26"/>
      <c r="TV23" s="26"/>
      <c r="TW23" s="26"/>
      <c r="TX23" s="26"/>
      <c r="TY23" s="26"/>
      <c r="TZ23" s="26"/>
      <c r="UA23" s="26"/>
      <c r="UB23" s="26"/>
      <c r="UC23" s="26"/>
      <c r="UD23" s="26"/>
      <c r="UE23" s="26"/>
      <c r="UF23" s="26"/>
      <c r="UG23" s="26"/>
      <c r="UH23" s="26"/>
      <c r="UI23" s="26"/>
      <c r="UJ23" s="26"/>
      <c r="UK23" s="26"/>
      <c r="UL23" s="26"/>
      <c r="UM23" s="26"/>
      <c r="UN23" s="26"/>
      <c r="UO23" s="26"/>
      <c r="UP23" s="26"/>
      <c r="UQ23" s="26"/>
      <c r="UR23" s="26"/>
      <c r="US23" s="26"/>
      <c r="UT23" s="26"/>
      <c r="UU23" s="26"/>
      <c r="UV23" s="26"/>
      <c r="UW23" s="26"/>
      <c r="UX23" s="26"/>
      <c r="UY23" s="26"/>
      <c r="UZ23" s="26"/>
      <c r="VA23" s="26"/>
      <c r="VB23" s="26"/>
      <c r="VC23" s="26"/>
      <c r="VD23" s="26"/>
      <c r="VE23" s="26"/>
      <c r="VF23" s="26"/>
      <c r="VG23" s="26"/>
      <c r="VH23" s="26"/>
      <c r="VI23" s="26"/>
      <c r="VJ23" s="26"/>
      <c r="VK23" s="26"/>
      <c r="VL23" s="26"/>
      <c r="VM23" s="26"/>
      <c r="VN23" s="26"/>
      <c r="VO23" s="26"/>
      <c r="VP23" s="26"/>
      <c r="VQ23" s="26"/>
      <c r="VR23" s="26"/>
      <c r="VS23" s="26"/>
      <c r="VT23" s="26"/>
      <c r="VU23" s="26"/>
      <c r="VV23" s="26"/>
      <c r="VW23" s="26"/>
      <c r="VX23" s="26"/>
      <c r="VY23" s="26"/>
      <c r="VZ23" s="26"/>
      <c r="WA23" s="26"/>
      <c r="WB23" s="26"/>
      <c r="WC23" s="26"/>
      <c r="WD23" s="26"/>
      <c r="WE23" s="26"/>
      <c r="WF23" s="26"/>
      <c r="WG23" s="26"/>
      <c r="WH23" s="26"/>
      <c r="WI23" s="26"/>
      <c r="WJ23" s="26"/>
      <c r="WK23" s="26"/>
      <c r="WL23" s="26"/>
      <c r="WM23" s="26"/>
      <c r="WN23" s="26"/>
      <c r="WO23" s="26"/>
      <c r="WP23" s="26"/>
      <c r="WQ23" s="26"/>
      <c r="WR23" s="26"/>
      <c r="WS23" s="26"/>
      <c r="WT23" s="26"/>
      <c r="WU23" s="26"/>
      <c r="WV23" s="26"/>
      <c r="WW23" s="26"/>
      <c r="WX23" s="26"/>
      <c r="WY23" s="26"/>
      <c r="WZ23" s="26"/>
      <c r="XA23" s="26"/>
      <c r="XB23" s="26"/>
      <c r="XC23" s="26"/>
      <c r="XD23" s="26"/>
      <c r="XE23" s="26"/>
      <c r="XF23" s="26"/>
      <c r="XG23" s="26"/>
      <c r="XH23" s="26"/>
      <c r="XI23" s="26"/>
      <c r="XJ23" s="26"/>
      <c r="XK23" s="26"/>
      <c r="XL23" s="26"/>
      <c r="XM23" s="26"/>
      <c r="XN23" s="26"/>
      <c r="XO23" s="26"/>
      <c r="XP23" s="26"/>
      <c r="XQ23" s="26"/>
      <c r="XR23" s="26"/>
      <c r="XS23" s="26"/>
      <c r="XT23" s="26"/>
      <c r="XU23" s="26"/>
      <c r="XV23" s="26"/>
      <c r="XW23" s="26"/>
      <c r="XX23" s="26"/>
      <c r="XY23" s="26"/>
      <c r="XZ23" s="26"/>
      <c r="YA23" s="26"/>
      <c r="YB23" s="26"/>
      <c r="YC23" s="26"/>
      <c r="YD23" s="26"/>
      <c r="YE23" s="26"/>
      <c r="YF23" s="26"/>
      <c r="YG23" s="26"/>
      <c r="YH23" s="26"/>
      <c r="YI23" s="26"/>
      <c r="YJ23" s="26"/>
      <c r="YK23" s="26"/>
      <c r="YL23" s="26"/>
      <c r="YM23" s="26"/>
      <c r="YN23" s="26"/>
      <c r="YO23" s="26"/>
      <c r="YP23" s="26"/>
      <c r="YQ23" s="26"/>
      <c r="YR23" s="26"/>
      <c r="YS23" s="26"/>
      <c r="YT23" s="26"/>
      <c r="YU23" s="26"/>
      <c r="YV23" s="26"/>
      <c r="YW23" s="26"/>
      <c r="YX23" s="26"/>
      <c r="YY23" s="26"/>
      <c r="YZ23" s="26"/>
      <c r="ZA23" s="26"/>
      <c r="ZB23" s="26"/>
      <c r="ZC23" s="26"/>
      <c r="ZD23" s="26"/>
      <c r="ZE23" s="26"/>
      <c r="ZF23" s="26"/>
      <c r="ZG23" s="26"/>
      <c r="ZH23" s="26"/>
      <c r="ZI23" s="26"/>
      <c r="ZJ23" s="26"/>
      <c r="ZK23" s="26"/>
      <c r="ZL23" s="26"/>
      <c r="ZM23" s="26"/>
      <c r="ZN23" s="26"/>
      <c r="ZO23" s="26"/>
      <c r="ZP23" s="26"/>
      <c r="ZQ23" s="26"/>
      <c r="ZR23" s="26"/>
      <c r="ZS23" s="26"/>
      <c r="ZT23" s="26"/>
      <c r="ZU23" s="26"/>
      <c r="ZV23" s="26"/>
      <c r="ZW23" s="26"/>
      <c r="ZX23" s="26"/>
      <c r="ZY23" s="26"/>
      <c r="ZZ23" s="26"/>
      <c r="AAA23" s="26"/>
      <c r="AAB23" s="26"/>
      <c r="AAC23" s="26"/>
      <c r="AAD23" s="26"/>
      <c r="AAE23" s="26"/>
      <c r="AAF23" s="26"/>
      <c r="AAG23" s="26"/>
      <c r="AAH23" s="26"/>
      <c r="AAI23" s="26"/>
      <c r="AAJ23" s="26"/>
      <c r="AAK23" s="26"/>
      <c r="AAL23" s="26"/>
      <c r="AAM23" s="26"/>
      <c r="AAN23" s="26"/>
      <c r="AAO23" s="26"/>
      <c r="AAP23" s="26"/>
      <c r="AAQ23" s="26"/>
      <c r="AAR23" s="26"/>
      <c r="AAS23" s="26"/>
      <c r="AAT23" s="26"/>
      <c r="AAU23" s="26"/>
      <c r="AAV23" s="26"/>
      <c r="AAW23" s="26"/>
      <c r="AAX23" s="26"/>
      <c r="AAY23" s="26"/>
      <c r="AAZ23" s="26"/>
      <c r="ABA23" s="26"/>
      <c r="ABB23" s="26"/>
      <c r="ABC23" s="26"/>
      <c r="ABD23" s="26"/>
      <c r="ABE23" s="26"/>
      <c r="ABF23" s="26"/>
      <c r="ABG23" s="26"/>
      <c r="ABH23" s="26"/>
      <c r="ABI23" s="26"/>
      <c r="ABJ23" s="26"/>
      <c r="ABK23" s="26"/>
      <c r="ABL23" s="26"/>
      <c r="ABM23" s="26"/>
      <c r="ABN23" s="26"/>
      <c r="ABO23" s="26"/>
      <c r="ABP23" s="26"/>
      <c r="ABQ23" s="26"/>
      <c r="ABR23" s="26"/>
      <c r="ABS23" s="26"/>
      <c r="ABT23" s="26"/>
      <c r="ABU23" s="26"/>
      <c r="ABV23" s="26"/>
      <c r="ABW23" s="26"/>
      <c r="ABX23" s="26"/>
      <c r="ABY23" s="26"/>
      <c r="ABZ23" s="26"/>
      <c r="ACA23" s="26"/>
      <c r="ACB23" s="26"/>
      <c r="ACC23" s="26"/>
      <c r="ACD23" s="26"/>
      <c r="ACE23" s="26"/>
      <c r="ACF23" s="26"/>
      <c r="ACG23" s="26"/>
      <c r="ACH23" s="26"/>
      <c r="ACI23" s="26"/>
      <c r="ACJ23" s="26"/>
      <c r="ACK23" s="26"/>
      <c r="ACL23" s="26"/>
      <c r="ACM23" s="26"/>
      <c r="ACN23" s="26"/>
      <c r="ACO23" s="26"/>
      <c r="ACP23" s="26"/>
      <c r="ACQ23" s="26"/>
      <c r="ACR23" s="26"/>
      <c r="ACS23" s="26"/>
      <c r="ACT23" s="26"/>
      <c r="ACU23" s="26"/>
      <c r="ACV23" s="26"/>
      <c r="ACW23" s="26"/>
      <c r="ACX23" s="26"/>
      <c r="ACY23" s="26"/>
      <c r="ACZ23" s="26"/>
      <c r="ADA23" s="26"/>
      <c r="ADB23" s="26"/>
      <c r="ADC23" s="26"/>
      <c r="ADD23" s="26"/>
      <c r="ADE23" s="26"/>
      <c r="ADF23" s="26"/>
      <c r="ADG23" s="26"/>
      <c r="ADH23" s="26"/>
      <c r="ADI23" s="26"/>
      <c r="ADJ23" s="26"/>
      <c r="ADK23" s="26"/>
      <c r="ADL23" s="26"/>
      <c r="ADM23" s="26"/>
      <c r="ADN23" s="26"/>
      <c r="ADO23" s="26"/>
      <c r="ADP23" s="26"/>
      <c r="ADQ23" s="26"/>
      <c r="ADR23" s="26"/>
      <c r="ADS23" s="26"/>
      <c r="ADT23" s="26"/>
      <c r="ADU23" s="26"/>
      <c r="ADV23" s="26"/>
      <c r="ADW23" s="26"/>
      <c r="ADX23" s="26"/>
      <c r="ADY23" s="26"/>
      <c r="ADZ23" s="26"/>
      <c r="AEA23" s="26"/>
      <c r="AEB23" s="26"/>
      <c r="AEC23" s="26"/>
      <c r="AED23" s="26"/>
      <c r="AEE23" s="26"/>
      <c r="AEF23" s="26"/>
      <c r="AEG23" s="26"/>
      <c r="AEH23" s="26"/>
      <c r="AEI23" s="26"/>
      <c r="AEJ23" s="26"/>
      <c r="AEK23" s="26"/>
      <c r="AEL23" s="26"/>
      <c r="AEM23" s="26"/>
      <c r="AEN23" s="26"/>
      <c r="AEO23" s="26"/>
      <c r="AEP23" s="26"/>
      <c r="AEQ23" s="26"/>
      <c r="AER23" s="26"/>
      <c r="AES23" s="26"/>
      <c r="AET23" s="26"/>
      <c r="AEU23" s="26"/>
      <c r="AEV23" s="26"/>
      <c r="AEW23" s="26"/>
      <c r="AEX23" s="26"/>
      <c r="AEY23" s="26"/>
      <c r="AEZ23" s="26"/>
      <c r="AFA23" s="26"/>
      <c r="AFB23" s="26"/>
      <c r="AFC23" s="26"/>
      <c r="AFD23" s="26"/>
      <c r="AFE23" s="26"/>
      <c r="AFF23" s="26"/>
      <c r="AFG23" s="26"/>
      <c r="AFH23" s="26"/>
      <c r="AFI23" s="26"/>
      <c r="AFJ23" s="26"/>
      <c r="AFK23" s="26"/>
      <c r="AFL23" s="26"/>
      <c r="AFM23" s="26"/>
      <c r="AFN23" s="26"/>
      <c r="AFO23" s="26"/>
      <c r="AFP23" s="26"/>
      <c r="AFQ23" s="26"/>
      <c r="AFR23" s="26"/>
      <c r="AFS23" s="26"/>
      <c r="AFT23" s="26"/>
      <c r="AFU23" s="26"/>
      <c r="AFV23" s="26"/>
      <c r="AFW23" s="26"/>
      <c r="AFX23" s="26"/>
      <c r="AFY23" s="26"/>
      <c r="AFZ23" s="26"/>
      <c r="AGA23" s="26"/>
      <c r="AGB23" s="26"/>
      <c r="AGC23" s="26"/>
      <c r="AGD23" s="26"/>
      <c r="AGE23" s="26"/>
      <c r="AGF23" s="26"/>
      <c r="AGG23" s="26"/>
      <c r="AGH23" s="26"/>
      <c r="AGI23" s="26"/>
      <c r="AGJ23" s="26"/>
      <c r="AGK23" s="26"/>
      <c r="AGL23" s="26"/>
      <c r="AGM23" s="26"/>
      <c r="AGN23" s="26"/>
      <c r="AGO23" s="26"/>
      <c r="AGP23" s="26"/>
      <c r="AGQ23" s="26"/>
      <c r="AGR23" s="26"/>
      <c r="AGS23" s="26"/>
      <c r="AGT23" s="26"/>
      <c r="AGU23" s="26"/>
      <c r="AGV23" s="26"/>
      <c r="AGW23" s="26"/>
      <c r="AGX23" s="26"/>
      <c r="AGY23" s="26"/>
      <c r="AGZ23" s="26"/>
      <c r="AHA23" s="26"/>
      <c r="AHB23" s="26"/>
      <c r="AHC23" s="26"/>
      <c r="AHD23" s="26"/>
      <c r="AHE23" s="26"/>
      <c r="AHF23" s="26"/>
      <c r="AHG23" s="26"/>
      <c r="AHH23" s="26"/>
      <c r="AHI23" s="26"/>
      <c r="AHJ23" s="26"/>
      <c r="AHK23" s="26"/>
      <c r="AHL23" s="26"/>
      <c r="AHM23" s="26"/>
      <c r="AHN23" s="26"/>
      <c r="AHO23" s="26"/>
      <c r="AHP23" s="26"/>
      <c r="AHQ23" s="26"/>
      <c r="AHR23" s="26"/>
      <c r="AHS23" s="26"/>
      <c r="AHT23" s="26"/>
      <c r="AHU23" s="26"/>
      <c r="AHV23" s="26"/>
      <c r="AHW23" s="26"/>
      <c r="AHX23" s="26"/>
      <c r="AHY23" s="26"/>
      <c r="AHZ23" s="26"/>
      <c r="AIA23" s="26"/>
      <c r="AIB23" s="26"/>
      <c r="AIC23" s="26"/>
      <c r="AID23" s="26"/>
      <c r="AIE23" s="26"/>
      <c r="AIF23" s="26"/>
      <c r="AIG23" s="26"/>
      <c r="AIH23" s="26"/>
      <c r="AII23" s="26"/>
      <c r="AIJ23" s="26"/>
      <c r="AIK23" s="26"/>
      <c r="AIL23" s="26"/>
      <c r="AIM23" s="26"/>
      <c r="AIN23" s="26"/>
      <c r="AIO23" s="26"/>
      <c r="AIP23" s="26"/>
      <c r="AIQ23" s="26"/>
      <c r="AIR23" s="26"/>
      <c r="AIS23" s="26"/>
      <c r="AIT23" s="26"/>
      <c r="AIU23" s="26"/>
      <c r="AIV23" s="26"/>
      <c r="AIW23" s="26"/>
      <c r="AIX23" s="26"/>
      <c r="AIY23" s="26"/>
      <c r="AIZ23" s="26"/>
      <c r="AJA23" s="26"/>
      <c r="AJB23" s="26"/>
      <c r="AJC23" s="26"/>
      <c r="AJD23" s="26"/>
      <c r="AJE23" s="26"/>
      <c r="AJF23" s="26"/>
      <c r="AJG23" s="26"/>
      <c r="AJH23" s="26"/>
      <c r="AJI23" s="26"/>
      <c r="AJJ23" s="26"/>
      <c r="AJK23" s="26"/>
      <c r="AJL23" s="26"/>
      <c r="AJM23" s="26"/>
      <c r="AJN23" s="26"/>
      <c r="AJO23" s="26"/>
      <c r="AJP23" s="26"/>
      <c r="AJQ23" s="26"/>
      <c r="AJR23" s="26"/>
      <c r="AJS23" s="26"/>
      <c r="AJT23" s="26"/>
      <c r="AJU23" s="26"/>
      <c r="AJV23" s="26"/>
      <c r="AJW23" s="26"/>
      <c r="AJX23" s="26"/>
      <c r="AJY23" s="26"/>
      <c r="AJZ23" s="26"/>
      <c r="AKA23" s="26"/>
      <c r="AKB23" s="26"/>
      <c r="AKC23" s="26"/>
      <c r="AKD23" s="26"/>
      <c r="AKE23" s="26"/>
      <c r="AKF23" s="26"/>
      <c r="AKG23" s="26"/>
      <c r="AKH23" s="26"/>
      <c r="AKI23" s="26"/>
      <c r="AKJ23" s="26"/>
      <c r="AKK23" s="26"/>
      <c r="AKL23" s="26"/>
      <c r="AKM23" s="26"/>
      <c r="AKN23" s="26"/>
      <c r="AKO23" s="26"/>
      <c r="AKP23" s="26"/>
      <c r="AKQ23" s="26"/>
      <c r="AKR23" s="26"/>
      <c r="AKS23" s="26"/>
      <c r="AKT23" s="26"/>
      <c r="AKU23" s="26"/>
      <c r="AKV23" s="26"/>
      <c r="AKW23" s="26"/>
      <c r="AKX23" s="26"/>
      <c r="AKY23" s="26"/>
      <c r="AKZ23" s="26"/>
      <c r="ALA23" s="26"/>
      <c r="ALB23" s="26"/>
      <c r="ALC23" s="26"/>
      <c r="ALD23" s="26"/>
      <c r="ALE23" s="26"/>
      <c r="ALF23" s="26"/>
      <c r="ALG23" s="26"/>
      <c r="ALH23" s="26"/>
      <c r="ALI23" s="26"/>
      <c r="ALJ23" s="26"/>
      <c r="ALK23" s="26"/>
      <c r="ALL23" s="26"/>
      <c r="ALM23" s="26"/>
      <c r="ALN23" s="26"/>
      <c r="ALO23" s="26"/>
      <c r="ALP23" s="26"/>
      <c r="ALQ23" s="26"/>
      <c r="ALR23" s="26"/>
      <c r="ALS23" s="26"/>
      <c r="ALT23" s="26"/>
      <c r="ALU23" s="26"/>
      <c r="ALV23" s="26"/>
      <c r="ALW23" s="26"/>
      <c r="ALX23" s="26"/>
      <c r="ALY23" s="26"/>
      <c r="ALZ23" s="26"/>
      <c r="AMA23" s="26"/>
      <c r="AMB23" s="26"/>
      <c r="AMC23" s="26"/>
      <c r="AMD23" s="26"/>
      <c r="AME23" s="26"/>
      <c r="AMF23" s="26"/>
      <c r="AMG23" s="26"/>
      <c r="AMH23" s="26"/>
      <c r="AMI23" s="26"/>
      <c r="AMJ23" s="26"/>
    </row>
    <row r="24" spans="1:1024" s="62" customFormat="1" ht="25.5" hidden="1" customHeight="1" x14ac:dyDescent="0.3">
      <c r="A24" s="701" t="s">
        <v>96</v>
      </c>
      <c r="B24" s="701"/>
      <c r="C24" s="73" t="s">
        <v>97</v>
      </c>
      <c r="D24" s="73" t="s">
        <v>98</v>
      </c>
      <c r="E24" s="73" t="s">
        <v>99</v>
      </c>
      <c r="F24" s="73" t="s">
        <v>100</v>
      </c>
      <c r="H24" s="71"/>
      <c r="I24" s="74"/>
      <c r="J24" s="75"/>
      <c r="K24" s="74"/>
      <c r="L24" s="74"/>
      <c r="M24" s="74"/>
      <c r="R24" s="74"/>
      <c r="S24" s="74"/>
      <c r="T24" s="74"/>
      <c r="U24" s="74"/>
      <c r="V24" s="74"/>
      <c r="W24" s="74"/>
    </row>
    <row r="25" spans="1:1024" hidden="1" x14ac:dyDescent="0.3">
      <c r="A25" s="701"/>
      <c r="B25" s="701"/>
      <c r="C25" s="76">
        <v>220</v>
      </c>
      <c r="D25" s="76">
        <v>0</v>
      </c>
      <c r="E25" s="661">
        <v>133</v>
      </c>
      <c r="F25" s="664">
        <f>ROUND((D25/VLOOKUP(C25,$B$154:$C$160,2,FALSE())+E25/60/VLOOKUP(C25,$B$154:$C$160,2,FALSE())),2)</f>
        <v>0.25</v>
      </c>
      <c r="G25" s="62"/>
      <c r="H25" s="71"/>
      <c r="I25" s="74"/>
      <c r="J25" s="71"/>
      <c r="K25" s="74"/>
      <c r="L25" s="74"/>
      <c r="M25" s="74"/>
      <c r="N25" s="62"/>
      <c r="O25" s="62"/>
      <c r="P25" s="62"/>
      <c r="Q25" s="62"/>
      <c r="R25" s="74"/>
      <c r="S25" s="74"/>
      <c r="T25" s="74"/>
      <c r="U25" s="74"/>
      <c r="V25" s="74"/>
      <c r="W25" s="74"/>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62"/>
      <c r="ON25" s="62"/>
      <c r="OO25" s="62"/>
      <c r="OP25" s="62"/>
      <c r="OQ25" s="62"/>
      <c r="OR25" s="62"/>
      <c r="OS25" s="62"/>
      <c r="OT25" s="62"/>
      <c r="OU25" s="62"/>
      <c r="OV25" s="62"/>
      <c r="OW25" s="62"/>
      <c r="OX25" s="62"/>
      <c r="OY25" s="62"/>
      <c r="OZ25" s="62"/>
      <c r="PA25" s="62"/>
      <c r="PB25" s="62"/>
      <c r="PC25" s="62"/>
      <c r="PD25" s="62"/>
      <c r="PE25" s="62"/>
      <c r="PF25" s="62"/>
      <c r="PG25" s="62"/>
      <c r="PH25" s="62"/>
      <c r="PI25" s="62"/>
      <c r="PJ25" s="62"/>
      <c r="PK25" s="62"/>
      <c r="PL25" s="62"/>
      <c r="PM25" s="62"/>
      <c r="PN25" s="62"/>
      <c r="PO25" s="62"/>
      <c r="PP25" s="62"/>
      <c r="PQ25" s="62"/>
      <c r="PR25" s="62"/>
      <c r="PS25" s="62"/>
      <c r="PT25" s="62"/>
      <c r="PU25" s="62"/>
      <c r="PV25" s="62"/>
      <c r="PW25" s="62"/>
      <c r="PX25" s="62"/>
      <c r="PY25" s="62"/>
      <c r="PZ25" s="62"/>
      <c r="QA25" s="62"/>
      <c r="QB25" s="62"/>
      <c r="QC25" s="62"/>
      <c r="QD25" s="62"/>
      <c r="QE25" s="62"/>
      <c r="QF25" s="62"/>
      <c r="QG25" s="62"/>
      <c r="QH25" s="62"/>
      <c r="QI25" s="62"/>
      <c r="QJ25" s="62"/>
      <c r="QK25" s="62"/>
      <c r="QL25" s="62"/>
      <c r="QM25" s="62"/>
      <c r="QN25" s="62"/>
      <c r="QO25" s="62"/>
      <c r="QP25" s="62"/>
      <c r="QQ25" s="62"/>
      <c r="QR25" s="62"/>
      <c r="QS25" s="62"/>
      <c r="QT25" s="62"/>
      <c r="QU25" s="62"/>
      <c r="QV25" s="62"/>
      <c r="QW25" s="62"/>
      <c r="QX25" s="62"/>
      <c r="QY25" s="62"/>
      <c r="QZ25" s="62"/>
      <c r="RA25" s="62"/>
      <c r="RB25" s="62"/>
      <c r="RC25" s="62"/>
      <c r="RD25" s="62"/>
      <c r="RE25" s="62"/>
      <c r="RF25" s="62"/>
      <c r="RG25" s="62"/>
      <c r="RH25" s="62"/>
      <c r="RI25" s="62"/>
      <c r="RJ25" s="62"/>
      <c r="RK25" s="62"/>
      <c r="RL25" s="62"/>
      <c r="RM25" s="62"/>
      <c r="RN25" s="62"/>
      <c r="RO25" s="62"/>
      <c r="RP25" s="62"/>
      <c r="RQ25" s="62"/>
      <c r="RR25" s="62"/>
      <c r="RS25" s="62"/>
      <c r="RT25" s="62"/>
      <c r="RU25" s="62"/>
      <c r="RV25" s="62"/>
      <c r="RW25" s="62"/>
      <c r="RX25" s="62"/>
      <c r="RY25" s="62"/>
      <c r="RZ25" s="62"/>
      <c r="SA25" s="62"/>
      <c r="SB25" s="62"/>
      <c r="SC25" s="62"/>
      <c r="SD25" s="62"/>
      <c r="SE25" s="62"/>
      <c r="SF25" s="62"/>
      <c r="SG25" s="62"/>
      <c r="SH25" s="62"/>
      <c r="SI25" s="62"/>
      <c r="SJ25" s="62"/>
      <c r="SK25" s="62"/>
      <c r="SL25" s="62"/>
      <c r="SM25" s="62"/>
      <c r="SN25" s="62"/>
      <c r="SO25" s="62"/>
      <c r="SP25" s="62"/>
      <c r="SQ25" s="62"/>
      <c r="SR25" s="62"/>
      <c r="SS25" s="62"/>
      <c r="ST25" s="62"/>
      <c r="SU25" s="62"/>
      <c r="SV25" s="62"/>
      <c r="SW25" s="62"/>
      <c r="SX25" s="62"/>
      <c r="SY25" s="62"/>
      <c r="SZ25" s="62"/>
      <c r="TA25" s="62"/>
      <c r="TB25" s="62"/>
      <c r="TC25" s="62"/>
      <c r="TD25" s="62"/>
      <c r="TE25" s="62"/>
      <c r="TF25" s="62"/>
      <c r="TG25" s="62"/>
      <c r="TH25" s="62"/>
      <c r="TI25" s="62"/>
      <c r="TJ25" s="62"/>
      <c r="TK25" s="62"/>
      <c r="TL25" s="62"/>
      <c r="TM25" s="62"/>
      <c r="TN25" s="62"/>
      <c r="TO25" s="62"/>
      <c r="TP25" s="62"/>
      <c r="TQ25" s="62"/>
      <c r="TR25" s="62"/>
      <c r="TS25" s="62"/>
      <c r="TT25" s="62"/>
      <c r="TU25" s="62"/>
      <c r="TV25" s="62"/>
      <c r="TW25" s="62"/>
      <c r="TX25" s="62"/>
      <c r="TY25" s="62"/>
      <c r="TZ25" s="62"/>
      <c r="UA25" s="62"/>
      <c r="UB25" s="62"/>
      <c r="UC25" s="62"/>
      <c r="UD25" s="62"/>
      <c r="UE25" s="62"/>
      <c r="UF25" s="62"/>
      <c r="UG25" s="62"/>
      <c r="UH25" s="62"/>
      <c r="UI25" s="62"/>
      <c r="UJ25" s="62"/>
      <c r="UK25" s="62"/>
      <c r="UL25" s="62"/>
      <c r="UM25" s="62"/>
      <c r="UN25" s="62"/>
      <c r="UO25" s="62"/>
      <c r="UP25" s="62"/>
      <c r="UQ25" s="62"/>
      <c r="UR25" s="62"/>
      <c r="US25" s="62"/>
      <c r="UT25" s="62"/>
      <c r="UU25" s="62"/>
      <c r="UV25" s="62"/>
      <c r="UW25" s="62"/>
      <c r="UX25" s="62"/>
      <c r="UY25" s="62"/>
      <c r="UZ25" s="62"/>
      <c r="VA25" s="62"/>
      <c r="VB25" s="62"/>
      <c r="VC25" s="62"/>
      <c r="VD25" s="62"/>
      <c r="VE25" s="62"/>
      <c r="VF25" s="62"/>
      <c r="VG25" s="62"/>
      <c r="VH25" s="62"/>
      <c r="VI25" s="62"/>
      <c r="VJ25" s="62"/>
      <c r="VK25" s="62"/>
      <c r="VL25" s="62"/>
      <c r="VM25" s="62"/>
      <c r="VN25" s="62"/>
      <c r="VO25" s="62"/>
      <c r="VP25" s="62"/>
      <c r="VQ25" s="62"/>
      <c r="VR25" s="62"/>
      <c r="VS25" s="62"/>
      <c r="VT25" s="62"/>
      <c r="VU25" s="62"/>
      <c r="VV25" s="62"/>
      <c r="VW25" s="62"/>
      <c r="VX25" s="62"/>
      <c r="VY25" s="62"/>
      <c r="VZ25" s="62"/>
      <c r="WA25" s="62"/>
      <c r="WB25" s="62"/>
      <c r="WC25" s="62"/>
      <c r="WD25" s="62"/>
      <c r="WE25" s="62"/>
      <c r="WF25" s="62"/>
      <c r="WG25" s="62"/>
      <c r="WH25" s="62"/>
      <c r="WI25" s="62"/>
      <c r="WJ25" s="62"/>
      <c r="WK25" s="62"/>
      <c r="WL25" s="62"/>
      <c r="WM25" s="62"/>
      <c r="WN25" s="62"/>
      <c r="WO25" s="62"/>
      <c r="WP25" s="62"/>
      <c r="WQ25" s="62"/>
      <c r="WR25" s="62"/>
      <c r="WS25" s="62"/>
      <c r="WT25" s="62"/>
      <c r="WU25" s="62"/>
      <c r="WV25" s="62"/>
      <c r="WW25" s="62"/>
      <c r="WX25" s="62"/>
      <c r="WY25" s="62"/>
      <c r="WZ25" s="62"/>
      <c r="XA25" s="62"/>
      <c r="XB25" s="62"/>
      <c r="XC25" s="62"/>
      <c r="XD25" s="62"/>
      <c r="XE25" s="62"/>
      <c r="XF25" s="62"/>
      <c r="XG25" s="62"/>
      <c r="XH25" s="62"/>
      <c r="XI25" s="62"/>
      <c r="XJ25" s="62"/>
      <c r="XK25" s="62"/>
      <c r="XL25" s="62"/>
      <c r="XM25" s="62"/>
      <c r="XN25" s="62"/>
      <c r="XO25" s="62"/>
      <c r="XP25" s="62"/>
      <c r="XQ25" s="62"/>
      <c r="XR25" s="62"/>
      <c r="XS25" s="62"/>
      <c r="XT25" s="62"/>
      <c r="XU25" s="62"/>
      <c r="XV25" s="62"/>
      <c r="XW25" s="62"/>
      <c r="XX25" s="62"/>
      <c r="XY25" s="62"/>
      <c r="XZ25" s="62"/>
      <c r="YA25" s="62"/>
      <c r="YB25" s="62"/>
      <c r="YC25" s="62"/>
      <c r="YD25" s="62"/>
      <c r="YE25" s="62"/>
      <c r="YF25" s="62"/>
      <c r="YG25" s="62"/>
      <c r="YH25" s="62"/>
      <c r="YI25" s="62"/>
      <c r="YJ25" s="62"/>
      <c r="YK25" s="62"/>
      <c r="YL25" s="62"/>
      <c r="YM25" s="62"/>
      <c r="YN25" s="62"/>
      <c r="YO25" s="62"/>
      <c r="YP25" s="62"/>
      <c r="YQ25" s="62"/>
      <c r="YR25" s="62"/>
      <c r="YS25" s="62"/>
      <c r="YT25" s="62"/>
      <c r="YU25" s="62"/>
      <c r="YV25" s="62"/>
      <c r="YW25" s="62"/>
      <c r="YX25" s="62"/>
      <c r="YY25" s="62"/>
      <c r="YZ25" s="62"/>
      <c r="ZA25" s="62"/>
      <c r="ZB25" s="62"/>
      <c r="ZC25" s="62"/>
      <c r="ZD25" s="62"/>
      <c r="ZE25" s="62"/>
      <c r="ZF25" s="62"/>
      <c r="ZG25" s="62"/>
      <c r="ZH25" s="62"/>
      <c r="ZI25" s="62"/>
      <c r="ZJ25" s="62"/>
      <c r="ZK25" s="62"/>
      <c r="ZL25" s="62"/>
      <c r="ZM25" s="62"/>
      <c r="ZN25" s="62"/>
      <c r="ZO25" s="62"/>
      <c r="ZP25" s="62"/>
      <c r="ZQ25" s="62"/>
      <c r="ZR25" s="62"/>
      <c r="ZS25" s="62"/>
      <c r="ZT25" s="62"/>
      <c r="ZU25" s="62"/>
      <c r="ZV25" s="62"/>
      <c r="ZW25" s="62"/>
      <c r="ZX25" s="62"/>
      <c r="ZY25" s="62"/>
      <c r="ZZ25" s="62"/>
      <c r="AAA25" s="62"/>
      <c r="AAB25" s="62"/>
      <c r="AAC25" s="62"/>
      <c r="AAD25" s="62"/>
      <c r="AAE25" s="62"/>
      <c r="AAF25" s="62"/>
      <c r="AAG25" s="62"/>
      <c r="AAH25" s="62"/>
      <c r="AAI25" s="62"/>
      <c r="AAJ25" s="62"/>
      <c r="AAK25" s="62"/>
      <c r="AAL25" s="62"/>
      <c r="AAM25" s="62"/>
      <c r="AAN25" s="62"/>
      <c r="AAO25" s="62"/>
      <c r="AAP25" s="62"/>
      <c r="AAQ25" s="62"/>
      <c r="AAR25" s="62"/>
      <c r="AAS25" s="62"/>
      <c r="AAT25" s="62"/>
      <c r="AAU25" s="62"/>
      <c r="AAV25" s="62"/>
      <c r="AAW25" s="62"/>
      <c r="AAX25" s="62"/>
      <c r="AAY25" s="62"/>
      <c r="AAZ25" s="62"/>
      <c r="ABA25" s="62"/>
      <c r="ABB25" s="62"/>
      <c r="ABC25" s="62"/>
      <c r="ABD25" s="62"/>
      <c r="ABE25" s="62"/>
      <c r="ABF25" s="62"/>
      <c r="ABG25" s="62"/>
      <c r="ABH25" s="62"/>
      <c r="ABI25" s="62"/>
      <c r="ABJ25" s="62"/>
      <c r="ABK25" s="62"/>
      <c r="ABL25" s="62"/>
      <c r="ABM25" s="62"/>
      <c r="ABN25" s="62"/>
      <c r="ABO25" s="62"/>
      <c r="ABP25" s="62"/>
      <c r="ABQ25" s="62"/>
      <c r="ABR25" s="62"/>
      <c r="ABS25" s="62"/>
      <c r="ABT25" s="62"/>
      <c r="ABU25" s="62"/>
      <c r="ABV25" s="62"/>
      <c r="ABW25" s="62"/>
      <c r="ABX25" s="62"/>
      <c r="ABY25" s="62"/>
      <c r="ABZ25" s="62"/>
      <c r="ACA25" s="62"/>
      <c r="ACB25" s="62"/>
      <c r="ACC25" s="62"/>
      <c r="ACD25" s="62"/>
      <c r="ACE25" s="62"/>
      <c r="ACF25" s="62"/>
      <c r="ACG25" s="62"/>
      <c r="ACH25" s="62"/>
      <c r="ACI25" s="62"/>
      <c r="ACJ25" s="62"/>
      <c r="ACK25" s="62"/>
      <c r="ACL25" s="62"/>
      <c r="ACM25" s="62"/>
      <c r="ACN25" s="62"/>
      <c r="ACO25" s="62"/>
      <c r="ACP25" s="62"/>
      <c r="ACQ25" s="62"/>
      <c r="ACR25" s="62"/>
      <c r="ACS25" s="62"/>
      <c r="ACT25" s="62"/>
      <c r="ACU25" s="62"/>
      <c r="ACV25" s="62"/>
      <c r="ACW25" s="62"/>
      <c r="ACX25" s="62"/>
      <c r="ACY25" s="62"/>
      <c r="ACZ25" s="62"/>
      <c r="ADA25" s="62"/>
      <c r="ADB25" s="62"/>
      <c r="ADC25" s="62"/>
      <c r="ADD25" s="62"/>
      <c r="ADE25" s="62"/>
      <c r="ADF25" s="62"/>
      <c r="ADG25" s="62"/>
      <c r="ADH25" s="62"/>
      <c r="ADI25" s="62"/>
      <c r="ADJ25" s="62"/>
      <c r="ADK25" s="62"/>
      <c r="ADL25" s="62"/>
      <c r="ADM25" s="62"/>
      <c r="ADN25" s="62"/>
      <c r="ADO25" s="62"/>
      <c r="ADP25" s="62"/>
      <c r="ADQ25" s="62"/>
      <c r="ADR25" s="62"/>
      <c r="ADS25" s="62"/>
      <c r="ADT25" s="62"/>
      <c r="ADU25" s="62"/>
      <c r="ADV25" s="62"/>
      <c r="ADW25" s="62"/>
      <c r="ADX25" s="62"/>
      <c r="ADY25" s="62"/>
      <c r="ADZ25" s="62"/>
      <c r="AEA25" s="62"/>
      <c r="AEB25" s="62"/>
      <c r="AEC25" s="62"/>
      <c r="AED25" s="62"/>
      <c r="AEE25" s="62"/>
      <c r="AEF25" s="62"/>
      <c r="AEG25" s="62"/>
      <c r="AEH25" s="62"/>
      <c r="AEI25" s="62"/>
      <c r="AEJ25" s="62"/>
      <c r="AEK25" s="62"/>
      <c r="AEL25" s="62"/>
      <c r="AEM25" s="62"/>
      <c r="AEN25" s="62"/>
      <c r="AEO25" s="62"/>
      <c r="AEP25" s="62"/>
      <c r="AEQ25" s="62"/>
      <c r="AER25" s="62"/>
      <c r="AES25" s="62"/>
      <c r="AET25" s="62"/>
      <c r="AEU25" s="62"/>
      <c r="AEV25" s="62"/>
      <c r="AEW25" s="62"/>
      <c r="AEX25" s="62"/>
      <c r="AEY25" s="62"/>
      <c r="AEZ25" s="62"/>
      <c r="AFA25" s="62"/>
      <c r="AFB25" s="62"/>
      <c r="AFC25" s="62"/>
      <c r="AFD25" s="62"/>
      <c r="AFE25" s="62"/>
      <c r="AFF25" s="62"/>
      <c r="AFG25" s="62"/>
      <c r="AFH25" s="62"/>
      <c r="AFI25" s="62"/>
      <c r="AFJ25" s="62"/>
      <c r="AFK25" s="62"/>
      <c r="AFL25" s="62"/>
      <c r="AFM25" s="62"/>
      <c r="AFN25" s="62"/>
      <c r="AFO25" s="62"/>
      <c r="AFP25" s="62"/>
      <c r="AFQ25" s="62"/>
      <c r="AFR25" s="62"/>
      <c r="AFS25" s="62"/>
      <c r="AFT25" s="62"/>
      <c r="AFU25" s="62"/>
      <c r="AFV25" s="62"/>
      <c r="AFW25" s="62"/>
      <c r="AFX25" s="62"/>
      <c r="AFY25" s="62"/>
      <c r="AFZ25" s="62"/>
      <c r="AGA25" s="62"/>
      <c r="AGB25" s="62"/>
      <c r="AGC25" s="62"/>
      <c r="AGD25" s="62"/>
      <c r="AGE25" s="62"/>
      <c r="AGF25" s="62"/>
      <c r="AGG25" s="62"/>
      <c r="AGH25" s="62"/>
      <c r="AGI25" s="62"/>
      <c r="AGJ25" s="62"/>
      <c r="AGK25" s="62"/>
      <c r="AGL25" s="62"/>
      <c r="AGM25" s="62"/>
      <c r="AGN25" s="62"/>
      <c r="AGO25" s="62"/>
      <c r="AGP25" s="62"/>
      <c r="AGQ25" s="62"/>
      <c r="AGR25" s="62"/>
      <c r="AGS25" s="62"/>
      <c r="AGT25" s="62"/>
      <c r="AGU25" s="62"/>
      <c r="AGV25" s="62"/>
      <c r="AGW25" s="62"/>
      <c r="AGX25" s="62"/>
      <c r="AGY25" s="62"/>
      <c r="AGZ25" s="62"/>
      <c r="AHA25" s="62"/>
      <c r="AHB25" s="62"/>
      <c r="AHC25" s="62"/>
      <c r="AHD25" s="62"/>
      <c r="AHE25" s="62"/>
      <c r="AHF25" s="62"/>
      <c r="AHG25" s="62"/>
      <c r="AHH25" s="62"/>
      <c r="AHI25" s="62"/>
      <c r="AHJ25" s="62"/>
      <c r="AHK25" s="62"/>
      <c r="AHL25" s="62"/>
      <c r="AHM25" s="62"/>
      <c r="AHN25" s="62"/>
      <c r="AHO25" s="62"/>
      <c r="AHP25" s="62"/>
      <c r="AHQ25" s="62"/>
      <c r="AHR25" s="62"/>
      <c r="AHS25" s="62"/>
      <c r="AHT25" s="62"/>
      <c r="AHU25" s="62"/>
      <c r="AHV25" s="62"/>
      <c r="AHW25" s="62"/>
      <c r="AHX25" s="62"/>
      <c r="AHY25" s="62"/>
      <c r="AHZ25" s="62"/>
      <c r="AIA25" s="62"/>
      <c r="AIB25" s="62"/>
      <c r="AIC25" s="62"/>
      <c r="AID25" s="62"/>
      <c r="AIE25" s="62"/>
      <c r="AIF25" s="62"/>
      <c r="AIG25" s="62"/>
      <c r="AIH25" s="62"/>
      <c r="AII25" s="62"/>
      <c r="AIJ25" s="62"/>
      <c r="AIK25" s="62"/>
      <c r="AIL25" s="62"/>
      <c r="AIM25" s="62"/>
      <c r="AIN25" s="62"/>
      <c r="AIO25" s="62"/>
      <c r="AIP25" s="62"/>
      <c r="AIQ25" s="62"/>
      <c r="AIR25" s="62"/>
      <c r="AIS25" s="62"/>
      <c r="AIT25" s="62"/>
      <c r="AIU25" s="62"/>
      <c r="AIV25" s="62"/>
      <c r="AIW25" s="62"/>
      <c r="AIX25" s="62"/>
      <c r="AIY25" s="62"/>
      <c r="AIZ25" s="62"/>
      <c r="AJA25" s="62"/>
      <c r="AJB25" s="62"/>
      <c r="AJC25" s="62"/>
      <c r="AJD25" s="62"/>
      <c r="AJE25" s="62"/>
      <c r="AJF25" s="62"/>
      <c r="AJG25" s="62"/>
      <c r="AJH25" s="62"/>
      <c r="AJI25" s="62"/>
      <c r="AJJ25" s="62"/>
      <c r="AJK25" s="62"/>
      <c r="AJL25" s="62"/>
      <c r="AJM25" s="62"/>
      <c r="AJN25" s="62"/>
      <c r="AJO25" s="62"/>
      <c r="AJP25" s="62"/>
      <c r="AJQ25" s="62"/>
      <c r="AJR25" s="62"/>
      <c r="AJS25" s="62"/>
      <c r="AJT25" s="62"/>
      <c r="AJU25" s="62"/>
      <c r="AJV25" s="62"/>
      <c r="AJW25" s="62"/>
      <c r="AJX25" s="62"/>
      <c r="AJY25" s="62"/>
      <c r="AJZ25" s="62"/>
      <c r="AKA25" s="62"/>
      <c r="AKB25" s="62"/>
      <c r="AKC25" s="62"/>
      <c r="AKD25" s="62"/>
      <c r="AKE25" s="62"/>
      <c r="AKF25" s="62"/>
      <c r="AKG25" s="62"/>
      <c r="AKH25" s="62"/>
      <c r="AKI25" s="62"/>
      <c r="AKJ25" s="62"/>
      <c r="AKK25" s="62"/>
      <c r="AKL25" s="62"/>
      <c r="AKM25" s="62"/>
      <c r="AKN25" s="62"/>
      <c r="AKO25" s="62"/>
      <c r="AKP25" s="62"/>
      <c r="AKQ25" s="62"/>
      <c r="AKR25" s="62"/>
      <c r="AKS25" s="62"/>
      <c r="AKT25" s="62"/>
      <c r="AKU25" s="62"/>
      <c r="AKV25" s="62"/>
      <c r="AKW25" s="62"/>
      <c r="AKX25" s="62"/>
      <c r="AKY25" s="62"/>
      <c r="AKZ25" s="62"/>
      <c r="ALA25" s="62"/>
      <c r="ALB25" s="62"/>
      <c r="ALC25" s="62"/>
      <c r="ALD25" s="62"/>
      <c r="ALE25" s="62"/>
      <c r="ALF25" s="62"/>
      <c r="ALG25" s="62"/>
      <c r="ALH25" s="62"/>
      <c r="ALI25" s="62"/>
      <c r="ALJ25" s="62"/>
      <c r="ALK25" s="62"/>
      <c r="ALL25" s="62"/>
      <c r="ALM25" s="62"/>
      <c r="ALN25" s="62"/>
      <c r="ALO25" s="62"/>
      <c r="ALP25" s="62"/>
      <c r="ALQ25" s="62"/>
      <c r="ALR25" s="62"/>
      <c r="ALS25" s="62"/>
      <c r="ALT25" s="62"/>
      <c r="ALU25" s="62"/>
      <c r="ALV25" s="62"/>
      <c r="ALW25" s="62"/>
      <c r="ALX25" s="62"/>
      <c r="ALY25" s="62"/>
      <c r="ALZ25" s="62"/>
      <c r="AMA25" s="62"/>
      <c r="AMB25" s="62"/>
      <c r="AMC25" s="62"/>
      <c r="AMD25" s="62"/>
      <c r="AME25" s="62"/>
      <c r="AMF25" s="62"/>
      <c r="AMG25" s="62"/>
      <c r="AMH25" s="62"/>
      <c r="AMI25" s="62"/>
      <c r="AMJ25" s="62"/>
    </row>
    <row r="26" spans="1:1024" ht="15" hidden="1" customHeight="1" x14ac:dyDescent="0.3">
      <c r="A26" s="715" t="s">
        <v>101</v>
      </c>
      <c r="B26" s="715"/>
      <c r="C26" s="715"/>
      <c r="D26" s="715"/>
      <c r="E26" s="715"/>
      <c r="F26" s="715"/>
      <c r="G26" s="38"/>
      <c r="H26" s="38"/>
      <c r="I26" s="38"/>
      <c r="J26" s="71"/>
      <c r="K26" s="74"/>
      <c r="L26" s="74"/>
      <c r="M26" s="74"/>
      <c r="N26" s="62"/>
      <c r="O26" s="62"/>
      <c r="P26" s="62"/>
      <c r="Q26" s="62"/>
      <c r="R26" s="74"/>
      <c r="S26" s="74"/>
      <c r="T26" s="74"/>
      <c r="U26" s="74"/>
      <c r="V26" s="74"/>
      <c r="W26" s="74"/>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62"/>
      <c r="ON26" s="62"/>
      <c r="OO26" s="62"/>
      <c r="OP26" s="62"/>
      <c r="OQ26" s="62"/>
      <c r="OR26" s="62"/>
      <c r="OS26" s="62"/>
      <c r="OT26" s="62"/>
      <c r="OU26" s="62"/>
      <c r="OV26" s="62"/>
      <c r="OW26" s="62"/>
      <c r="OX26" s="62"/>
      <c r="OY26" s="62"/>
      <c r="OZ26" s="62"/>
      <c r="PA26" s="62"/>
      <c r="PB26" s="62"/>
      <c r="PC26" s="62"/>
      <c r="PD26" s="62"/>
      <c r="PE26" s="62"/>
      <c r="PF26" s="62"/>
      <c r="PG26" s="62"/>
      <c r="PH26" s="62"/>
      <c r="PI26" s="62"/>
      <c r="PJ26" s="62"/>
      <c r="PK26" s="62"/>
      <c r="PL26" s="62"/>
      <c r="PM26" s="62"/>
      <c r="PN26" s="62"/>
      <c r="PO26" s="62"/>
      <c r="PP26" s="62"/>
      <c r="PQ26" s="62"/>
      <c r="PR26" s="62"/>
      <c r="PS26" s="62"/>
      <c r="PT26" s="62"/>
      <c r="PU26" s="62"/>
      <c r="PV26" s="62"/>
      <c r="PW26" s="62"/>
      <c r="PX26" s="62"/>
      <c r="PY26" s="62"/>
      <c r="PZ26" s="62"/>
      <c r="QA26" s="62"/>
      <c r="QB26" s="62"/>
      <c r="QC26" s="62"/>
      <c r="QD26" s="62"/>
      <c r="QE26" s="62"/>
      <c r="QF26" s="62"/>
      <c r="QG26" s="62"/>
      <c r="QH26" s="62"/>
      <c r="QI26" s="62"/>
      <c r="QJ26" s="62"/>
      <c r="QK26" s="62"/>
      <c r="QL26" s="62"/>
      <c r="QM26" s="62"/>
      <c r="QN26" s="62"/>
      <c r="QO26" s="62"/>
      <c r="QP26" s="62"/>
      <c r="QQ26" s="62"/>
      <c r="QR26" s="62"/>
      <c r="QS26" s="62"/>
      <c r="QT26" s="62"/>
      <c r="QU26" s="62"/>
      <c r="QV26" s="62"/>
      <c r="QW26" s="62"/>
      <c r="QX26" s="62"/>
      <c r="QY26" s="62"/>
      <c r="QZ26" s="62"/>
      <c r="RA26" s="62"/>
      <c r="RB26" s="62"/>
      <c r="RC26" s="62"/>
      <c r="RD26" s="62"/>
      <c r="RE26" s="62"/>
      <c r="RF26" s="62"/>
      <c r="RG26" s="62"/>
      <c r="RH26" s="62"/>
      <c r="RI26" s="62"/>
      <c r="RJ26" s="62"/>
      <c r="RK26" s="62"/>
      <c r="RL26" s="62"/>
      <c r="RM26" s="62"/>
      <c r="RN26" s="62"/>
      <c r="RO26" s="62"/>
      <c r="RP26" s="62"/>
      <c r="RQ26" s="62"/>
      <c r="RR26" s="62"/>
      <c r="RS26" s="62"/>
      <c r="RT26" s="62"/>
      <c r="RU26" s="62"/>
      <c r="RV26" s="62"/>
      <c r="RW26" s="62"/>
      <c r="RX26" s="62"/>
      <c r="RY26" s="62"/>
      <c r="RZ26" s="62"/>
      <c r="SA26" s="62"/>
      <c r="SB26" s="62"/>
      <c r="SC26" s="62"/>
      <c r="SD26" s="62"/>
      <c r="SE26" s="62"/>
      <c r="SF26" s="62"/>
      <c r="SG26" s="62"/>
      <c r="SH26" s="62"/>
      <c r="SI26" s="62"/>
      <c r="SJ26" s="62"/>
      <c r="SK26" s="62"/>
      <c r="SL26" s="62"/>
      <c r="SM26" s="62"/>
      <c r="SN26" s="62"/>
      <c r="SO26" s="62"/>
      <c r="SP26" s="62"/>
      <c r="SQ26" s="62"/>
      <c r="SR26" s="62"/>
      <c r="SS26" s="62"/>
      <c r="ST26" s="62"/>
      <c r="SU26" s="62"/>
      <c r="SV26" s="62"/>
      <c r="SW26" s="62"/>
      <c r="SX26" s="62"/>
      <c r="SY26" s="62"/>
      <c r="SZ26" s="62"/>
      <c r="TA26" s="62"/>
      <c r="TB26" s="62"/>
      <c r="TC26" s="62"/>
      <c r="TD26" s="62"/>
      <c r="TE26" s="62"/>
      <c r="TF26" s="62"/>
      <c r="TG26" s="62"/>
      <c r="TH26" s="62"/>
      <c r="TI26" s="62"/>
      <c r="TJ26" s="62"/>
      <c r="TK26" s="62"/>
      <c r="TL26" s="62"/>
      <c r="TM26" s="62"/>
      <c r="TN26" s="62"/>
      <c r="TO26" s="62"/>
      <c r="TP26" s="62"/>
      <c r="TQ26" s="62"/>
      <c r="TR26" s="62"/>
      <c r="TS26" s="62"/>
      <c r="TT26" s="62"/>
      <c r="TU26" s="62"/>
      <c r="TV26" s="62"/>
      <c r="TW26" s="62"/>
      <c r="TX26" s="62"/>
      <c r="TY26" s="62"/>
      <c r="TZ26" s="62"/>
      <c r="UA26" s="62"/>
      <c r="UB26" s="62"/>
      <c r="UC26" s="62"/>
      <c r="UD26" s="62"/>
      <c r="UE26" s="62"/>
      <c r="UF26" s="62"/>
      <c r="UG26" s="62"/>
      <c r="UH26" s="62"/>
      <c r="UI26" s="62"/>
      <c r="UJ26" s="62"/>
      <c r="UK26" s="62"/>
      <c r="UL26" s="62"/>
      <c r="UM26" s="62"/>
      <c r="UN26" s="62"/>
      <c r="UO26" s="62"/>
      <c r="UP26" s="62"/>
      <c r="UQ26" s="62"/>
      <c r="UR26" s="62"/>
      <c r="US26" s="62"/>
      <c r="UT26" s="62"/>
      <c r="UU26" s="62"/>
      <c r="UV26" s="62"/>
      <c r="UW26" s="62"/>
      <c r="UX26" s="62"/>
      <c r="UY26" s="62"/>
      <c r="UZ26" s="62"/>
      <c r="VA26" s="62"/>
      <c r="VB26" s="62"/>
      <c r="VC26" s="62"/>
      <c r="VD26" s="62"/>
      <c r="VE26" s="62"/>
      <c r="VF26" s="62"/>
      <c r="VG26" s="62"/>
      <c r="VH26" s="62"/>
      <c r="VI26" s="62"/>
      <c r="VJ26" s="62"/>
      <c r="VK26" s="62"/>
      <c r="VL26" s="62"/>
      <c r="VM26" s="62"/>
      <c r="VN26" s="62"/>
      <c r="VO26" s="62"/>
      <c r="VP26" s="62"/>
      <c r="VQ26" s="62"/>
      <c r="VR26" s="62"/>
      <c r="VS26" s="62"/>
      <c r="VT26" s="62"/>
      <c r="VU26" s="62"/>
      <c r="VV26" s="62"/>
      <c r="VW26" s="62"/>
      <c r="VX26" s="62"/>
      <c r="VY26" s="62"/>
      <c r="VZ26" s="62"/>
      <c r="WA26" s="62"/>
      <c r="WB26" s="62"/>
      <c r="WC26" s="62"/>
      <c r="WD26" s="62"/>
      <c r="WE26" s="62"/>
      <c r="WF26" s="62"/>
      <c r="WG26" s="62"/>
      <c r="WH26" s="62"/>
      <c r="WI26" s="62"/>
      <c r="WJ26" s="62"/>
      <c r="WK26" s="62"/>
      <c r="WL26" s="62"/>
      <c r="WM26" s="62"/>
      <c r="WN26" s="62"/>
      <c r="WO26" s="62"/>
      <c r="WP26" s="62"/>
      <c r="WQ26" s="62"/>
      <c r="WR26" s="62"/>
      <c r="WS26" s="62"/>
      <c r="WT26" s="62"/>
      <c r="WU26" s="62"/>
      <c r="WV26" s="62"/>
      <c r="WW26" s="62"/>
      <c r="WX26" s="62"/>
      <c r="WY26" s="62"/>
      <c r="WZ26" s="62"/>
      <c r="XA26" s="62"/>
      <c r="XB26" s="62"/>
      <c r="XC26" s="62"/>
      <c r="XD26" s="62"/>
      <c r="XE26" s="62"/>
      <c r="XF26" s="62"/>
      <c r="XG26" s="62"/>
      <c r="XH26" s="62"/>
      <c r="XI26" s="62"/>
      <c r="XJ26" s="62"/>
      <c r="XK26" s="62"/>
      <c r="XL26" s="62"/>
      <c r="XM26" s="62"/>
      <c r="XN26" s="62"/>
      <c r="XO26" s="62"/>
      <c r="XP26" s="62"/>
      <c r="XQ26" s="62"/>
      <c r="XR26" s="62"/>
      <c r="XS26" s="62"/>
      <c r="XT26" s="62"/>
      <c r="XU26" s="62"/>
      <c r="XV26" s="62"/>
      <c r="XW26" s="62"/>
      <c r="XX26" s="62"/>
      <c r="XY26" s="62"/>
      <c r="XZ26" s="62"/>
      <c r="YA26" s="62"/>
      <c r="YB26" s="62"/>
      <c r="YC26" s="62"/>
      <c r="YD26" s="62"/>
      <c r="YE26" s="62"/>
      <c r="YF26" s="62"/>
      <c r="YG26" s="62"/>
      <c r="YH26" s="62"/>
      <c r="YI26" s="62"/>
      <c r="YJ26" s="62"/>
      <c r="YK26" s="62"/>
      <c r="YL26" s="62"/>
      <c r="YM26" s="62"/>
      <c r="YN26" s="62"/>
      <c r="YO26" s="62"/>
      <c r="YP26" s="62"/>
      <c r="YQ26" s="62"/>
      <c r="YR26" s="62"/>
      <c r="YS26" s="62"/>
      <c r="YT26" s="62"/>
      <c r="YU26" s="62"/>
      <c r="YV26" s="62"/>
      <c r="YW26" s="62"/>
      <c r="YX26" s="62"/>
      <c r="YY26" s="62"/>
      <c r="YZ26" s="62"/>
      <c r="ZA26" s="62"/>
      <c r="ZB26" s="62"/>
      <c r="ZC26" s="62"/>
      <c r="ZD26" s="62"/>
      <c r="ZE26" s="62"/>
      <c r="ZF26" s="62"/>
      <c r="ZG26" s="62"/>
      <c r="ZH26" s="62"/>
      <c r="ZI26" s="62"/>
      <c r="ZJ26" s="62"/>
      <c r="ZK26" s="62"/>
      <c r="ZL26" s="62"/>
      <c r="ZM26" s="62"/>
      <c r="ZN26" s="62"/>
      <c r="ZO26" s="62"/>
      <c r="ZP26" s="62"/>
      <c r="ZQ26" s="62"/>
      <c r="ZR26" s="62"/>
      <c r="ZS26" s="62"/>
      <c r="ZT26" s="62"/>
      <c r="ZU26" s="62"/>
      <c r="ZV26" s="62"/>
      <c r="ZW26" s="62"/>
      <c r="ZX26" s="62"/>
      <c r="ZY26" s="62"/>
      <c r="ZZ26" s="62"/>
      <c r="AAA26" s="62"/>
      <c r="AAB26" s="62"/>
      <c r="AAC26" s="62"/>
      <c r="AAD26" s="62"/>
      <c r="AAE26" s="62"/>
      <c r="AAF26" s="62"/>
      <c r="AAG26" s="62"/>
      <c r="AAH26" s="62"/>
      <c r="AAI26" s="62"/>
      <c r="AAJ26" s="62"/>
      <c r="AAK26" s="62"/>
      <c r="AAL26" s="62"/>
      <c r="AAM26" s="62"/>
      <c r="AAN26" s="62"/>
      <c r="AAO26" s="62"/>
      <c r="AAP26" s="62"/>
      <c r="AAQ26" s="62"/>
      <c r="AAR26" s="62"/>
      <c r="AAS26" s="62"/>
      <c r="AAT26" s="62"/>
      <c r="AAU26" s="62"/>
      <c r="AAV26" s="62"/>
      <c r="AAW26" s="62"/>
      <c r="AAX26" s="62"/>
      <c r="AAY26" s="62"/>
      <c r="AAZ26" s="62"/>
      <c r="ABA26" s="62"/>
      <c r="ABB26" s="62"/>
      <c r="ABC26" s="62"/>
      <c r="ABD26" s="62"/>
      <c r="ABE26" s="62"/>
      <c r="ABF26" s="62"/>
      <c r="ABG26" s="62"/>
      <c r="ABH26" s="62"/>
      <c r="ABI26" s="62"/>
      <c r="ABJ26" s="62"/>
      <c r="ABK26" s="62"/>
      <c r="ABL26" s="62"/>
      <c r="ABM26" s="62"/>
      <c r="ABN26" s="62"/>
      <c r="ABO26" s="62"/>
      <c r="ABP26" s="62"/>
      <c r="ABQ26" s="62"/>
      <c r="ABR26" s="62"/>
      <c r="ABS26" s="62"/>
      <c r="ABT26" s="62"/>
      <c r="ABU26" s="62"/>
      <c r="ABV26" s="62"/>
      <c r="ABW26" s="62"/>
      <c r="ABX26" s="62"/>
      <c r="ABY26" s="62"/>
      <c r="ABZ26" s="62"/>
      <c r="ACA26" s="62"/>
      <c r="ACB26" s="62"/>
      <c r="ACC26" s="62"/>
      <c r="ACD26" s="62"/>
      <c r="ACE26" s="62"/>
      <c r="ACF26" s="62"/>
      <c r="ACG26" s="62"/>
      <c r="ACH26" s="62"/>
      <c r="ACI26" s="62"/>
      <c r="ACJ26" s="62"/>
      <c r="ACK26" s="62"/>
      <c r="ACL26" s="62"/>
      <c r="ACM26" s="62"/>
      <c r="ACN26" s="62"/>
      <c r="ACO26" s="62"/>
      <c r="ACP26" s="62"/>
      <c r="ACQ26" s="62"/>
      <c r="ACR26" s="62"/>
      <c r="ACS26" s="62"/>
      <c r="ACT26" s="62"/>
      <c r="ACU26" s="62"/>
      <c r="ACV26" s="62"/>
      <c r="ACW26" s="62"/>
      <c r="ACX26" s="62"/>
      <c r="ACY26" s="62"/>
      <c r="ACZ26" s="62"/>
      <c r="ADA26" s="62"/>
      <c r="ADB26" s="62"/>
      <c r="ADC26" s="62"/>
      <c r="ADD26" s="62"/>
      <c r="ADE26" s="62"/>
      <c r="ADF26" s="62"/>
      <c r="ADG26" s="62"/>
      <c r="ADH26" s="62"/>
      <c r="ADI26" s="62"/>
      <c r="ADJ26" s="62"/>
      <c r="ADK26" s="62"/>
      <c r="ADL26" s="62"/>
      <c r="ADM26" s="62"/>
      <c r="ADN26" s="62"/>
      <c r="ADO26" s="62"/>
      <c r="ADP26" s="62"/>
      <c r="ADQ26" s="62"/>
      <c r="ADR26" s="62"/>
      <c r="ADS26" s="62"/>
      <c r="ADT26" s="62"/>
      <c r="ADU26" s="62"/>
      <c r="ADV26" s="62"/>
      <c r="ADW26" s="62"/>
      <c r="ADX26" s="62"/>
      <c r="ADY26" s="62"/>
      <c r="ADZ26" s="62"/>
      <c r="AEA26" s="62"/>
      <c r="AEB26" s="62"/>
      <c r="AEC26" s="62"/>
      <c r="AED26" s="62"/>
      <c r="AEE26" s="62"/>
      <c r="AEF26" s="62"/>
      <c r="AEG26" s="62"/>
      <c r="AEH26" s="62"/>
      <c r="AEI26" s="62"/>
      <c r="AEJ26" s="62"/>
      <c r="AEK26" s="62"/>
      <c r="AEL26" s="62"/>
      <c r="AEM26" s="62"/>
      <c r="AEN26" s="62"/>
      <c r="AEO26" s="62"/>
      <c r="AEP26" s="62"/>
      <c r="AEQ26" s="62"/>
      <c r="AER26" s="62"/>
      <c r="AES26" s="62"/>
      <c r="AET26" s="62"/>
      <c r="AEU26" s="62"/>
      <c r="AEV26" s="62"/>
      <c r="AEW26" s="62"/>
      <c r="AEX26" s="62"/>
      <c r="AEY26" s="62"/>
      <c r="AEZ26" s="62"/>
      <c r="AFA26" s="62"/>
      <c r="AFB26" s="62"/>
      <c r="AFC26" s="62"/>
      <c r="AFD26" s="62"/>
      <c r="AFE26" s="62"/>
      <c r="AFF26" s="62"/>
      <c r="AFG26" s="62"/>
      <c r="AFH26" s="62"/>
      <c r="AFI26" s="62"/>
      <c r="AFJ26" s="62"/>
      <c r="AFK26" s="62"/>
      <c r="AFL26" s="62"/>
      <c r="AFM26" s="62"/>
      <c r="AFN26" s="62"/>
      <c r="AFO26" s="62"/>
      <c r="AFP26" s="62"/>
      <c r="AFQ26" s="62"/>
      <c r="AFR26" s="62"/>
      <c r="AFS26" s="62"/>
      <c r="AFT26" s="62"/>
      <c r="AFU26" s="62"/>
      <c r="AFV26" s="62"/>
      <c r="AFW26" s="62"/>
      <c r="AFX26" s="62"/>
      <c r="AFY26" s="62"/>
      <c r="AFZ26" s="62"/>
      <c r="AGA26" s="62"/>
      <c r="AGB26" s="62"/>
      <c r="AGC26" s="62"/>
      <c r="AGD26" s="62"/>
      <c r="AGE26" s="62"/>
      <c r="AGF26" s="62"/>
      <c r="AGG26" s="62"/>
      <c r="AGH26" s="62"/>
      <c r="AGI26" s="62"/>
      <c r="AGJ26" s="62"/>
      <c r="AGK26" s="62"/>
      <c r="AGL26" s="62"/>
      <c r="AGM26" s="62"/>
      <c r="AGN26" s="62"/>
      <c r="AGO26" s="62"/>
      <c r="AGP26" s="62"/>
      <c r="AGQ26" s="62"/>
      <c r="AGR26" s="62"/>
      <c r="AGS26" s="62"/>
      <c r="AGT26" s="62"/>
      <c r="AGU26" s="62"/>
      <c r="AGV26" s="62"/>
      <c r="AGW26" s="62"/>
      <c r="AGX26" s="62"/>
      <c r="AGY26" s="62"/>
      <c r="AGZ26" s="62"/>
      <c r="AHA26" s="62"/>
      <c r="AHB26" s="62"/>
      <c r="AHC26" s="62"/>
      <c r="AHD26" s="62"/>
      <c r="AHE26" s="62"/>
      <c r="AHF26" s="62"/>
      <c r="AHG26" s="62"/>
      <c r="AHH26" s="62"/>
      <c r="AHI26" s="62"/>
      <c r="AHJ26" s="62"/>
      <c r="AHK26" s="62"/>
      <c r="AHL26" s="62"/>
      <c r="AHM26" s="62"/>
      <c r="AHN26" s="62"/>
      <c r="AHO26" s="62"/>
      <c r="AHP26" s="62"/>
      <c r="AHQ26" s="62"/>
      <c r="AHR26" s="62"/>
      <c r="AHS26" s="62"/>
      <c r="AHT26" s="62"/>
      <c r="AHU26" s="62"/>
      <c r="AHV26" s="62"/>
      <c r="AHW26" s="62"/>
      <c r="AHX26" s="62"/>
      <c r="AHY26" s="62"/>
      <c r="AHZ26" s="62"/>
      <c r="AIA26" s="62"/>
      <c r="AIB26" s="62"/>
      <c r="AIC26" s="62"/>
      <c r="AID26" s="62"/>
      <c r="AIE26" s="62"/>
      <c r="AIF26" s="62"/>
      <c r="AIG26" s="62"/>
      <c r="AIH26" s="62"/>
      <c r="AII26" s="62"/>
      <c r="AIJ26" s="62"/>
      <c r="AIK26" s="62"/>
      <c r="AIL26" s="62"/>
      <c r="AIM26" s="62"/>
      <c r="AIN26" s="62"/>
      <c r="AIO26" s="62"/>
      <c r="AIP26" s="62"/>
      <c r="AIQ26" s="62"/>
      <c r="AIR26" s="62"/>
      <c r="AIS26" s="62"/>
      <c r="AIT26" s="62"/>
      <c r="AIU26" s="62"/>
      <c r="AIV26" s="62"/>
      <c r="AIW26" s="62"/>
      <c r="AIX26" s="62"/>
      <c r="AIY26" s="62"/>
      <c r="AIZ26" s="62"/>
      <c r="AJA26" s="62"/>
      <c r="AJB26" s="62"/>
      <c r="AJC26" s="62"/>
      <c r="AJD26" s="62"/>
      <c r="AJE26" s="62"/>
      <c r="AJF26" s="62"/>
      <c r="AJG26" s="62"/>
      <c r="AJH26" s="62"/>
      <c r="AJI26" s="62"/>
      <c r="AJJ26" s="62"/>
      <c r="AJK26" s="62"/>
      <c r="AJL26" s="62"/>
      <c r="AJM26" s="62"/>
      <c r="AJN26" s="62"/>
      <c r="AJO26" s="62"/>
      <c r="AJP26" s="62"/>
      <c r="AJQ26" s="62"/>
      <c r="AJR26" s="62"/>
      <c r="AJS26" s="62"/>
      <c r="AJT26" s="62"/>
      <c r="AJU26" s="62"/>
      <c r="AJV26" s="62"/>
      <c r="AJW26" s="62"/>
      <c r="AJX26" s="62"/>
      <c r="AJY26" s="62"/>
      <c r="AJZ26" s="62"/>
      <c r="AKA26" s="62"/>
      <c r="AKB26" s="62"/>
      <c r="AKC26" s="62"/>
      <c r="AKD26" s="62"/>
      <c r="AKE26" s="62"/>
      <c r="AKF26" s="62"/>
      <c r="AKG26" s="62"/>
      <c r="AKH26" s="62"/>
      <c r="AKI26" s="62"/>
      <c r="AKJ26" s="62"/>
      <c r="AKK26" s="62"/>
      <c r="AKL26" s="62"/>
      <c r="AKM26" s="62"/>
      <c r="AKN26" s="62"/>
      <c r="AKO26" s="62"/>
      <c r="AKP26" s="62"/>
      <c r="AKQ26" s="62"/>
      <c r="AKR26" s="62"/>
      <c r="AKS26" s="62"/>
      <c r="AKT26" s="62"/>
      <c r="AKU26" s="62"/>
      <c r="AKV26" s="62"/>
      <c r="AKW26" s="62"/>
      <c r="AKX26" s="62"/>
      <c r="AKY26" s="62"/>
      <c r="AKZ26" s="62"/>
      <c r="ALA26" s="62"/>
      <c r="ALB26" s="62"/>
      <c r="ALC26" s="62"/>
      <c r="ALD26" s="62"/>
      <c r="ALE26" s="62"/>
      <c r="ALF26" s="62"/>
      <c r="ALG26" s="62"/>
      <c r="ALH26" s="62"/>
      <c r="ALI26" s="62"/>
      <c r="ALJ26" s="62"/>
      <c r="ALK26" s="62"/>
      <c r="ALL26" s="62"/>
      <c r="ALM26" s="62"/>
      <c r="ALN26" s="62"/>
      <c r="ALO26" s="62"/>
      <c r="ALP26" s="62"/>
      <c r="ALQ26" s="62"/>
      <c r="ALR26" s="62"/>
      <c r="ALS26" s="62"/>
      <c r="ALT26" s="62"/>
      <c r="ALU26" s="62"/>
      <c r="ALV26" s="62"/>
      <c r="ALW26" s="62"/>
      <c r="ALX26" s="62"/>
      <c r="ALY26" s="62"/>
      <c r="ALZ26" s="62"/>
      <c r="AMA26" s="62"/>
      <c r="AMB26" s="62"/>
      <c r="AMC26" s="62"/>
      <c r="AMD26" s="62"/>
      <c r="AME26" s="62"/>
      <c r="AMF26" s="62"/>
      <c r="AMG26" s="62"/>
      <c r="AMH26" s="62"/>
      <c r="AMI26" s="62"/>
      <c r="AMJ26" s="62"/>
    </row>
    <row r="27" spans="1:1024" s="26" customFormat="1" ht="28.5" hidden="1" customHeight="1" x14ac:dyDescent="0.3">
      <c r="A27" s="715"/>
      <c r="B27" s="715"/>
      <c r="C27" s="715"/>
      <c r="D27" s="715"/>
      <c r="E27" s="715"/>
      <c r="F27" s="715"/>
      <c r="G27" s="38"/>
      <c r="H27" s="38"/>
      <c r="I27" s="38"/>
      <c r="J27" s="71"/>
      <c r="K27" s="74"/>
      <c r="L27" s="74"/>
      <c r="M27" s="74"/>
      <c r="N27" s="62"/>
      <c r="O27" s="62"/>
      <c r="P27" s="62"/>
      <c r="Q27" s="62"/>
      <c r="R27" s="74"/>
      <c r="S27" s="74"/>
      <c r="T27" s="74"/>
      <c r="U27" s="74"/>
      <c r="V27" s="74"/>
      <c r="W27" s="74"/>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62"/>
      <c r="ON27" s="62"/>
      <c r="OO27" s="62"/>
      <c r="OP27" s="62"/>
      <c r="OQ27" s="62"/>
      <c r="OR27" s="62"/>
      <c r="OS27" s="62"/>
      <c r="OT27" s="62"/>
      <c r="OU27" s="62"/>
      <c r="OV27" s="62"/>
      <c r="OW27" s="62"/>
      <c r="OX27" s="62"/>
      <c r="OY27" s="62"/>
      <c r="OZ27" s="62"/>
      <c r="PA27" s="62"/>
      <c r="PB27" s="62"/>
      <c r="PC27" s="62"/>
      <c r="PD27" s="62"/>
      <c r="PE27" s="62"/>
      <c r="PF27" s="62"/>
      <c r="PG27" s="62"/>
      <c r="PH27" s="62"/>
      <c r="PI27" s="62"/>
      <c r="PJ27" s="62"/>
      <c r="PK27" s="62"/>
      <c r="PL27" s="62"/>
      <c r="PM27" s="62"/>
      <c r="PN27" s="62"/>
      <c r="PO27" s="62"/>
      <c r="PP27" s="62"/>
      <c r="PQ27" s="62"/>
      <c r="PR27" s="62"/>
      <c r="PS27" s="62"/>
      <c r="PT27" s="62"/>
      <c r="PU27" s="62"/>
      <c r="PV27" s="62"/>
      <c r="PW27" s="62"/>
      <c r="PX27" s="62"/>
      <c r="PY27" s="62"/>
      <c r="PZ27" s="62"/>
      <c r="QA27" s="62"/>
      <c r="QB27" s="62"/>
      <c r="QC27" s="62"/>
      <c r="QD27" s="62"/>
      <c r="QE27" s="62"/>
      <c r="QF27" s="62"/>
      <c r="QG27" s="62"/>
      <c r="QH27" s="62"/>
      <c r="QI27" s="62"/>
      <c r="QJ27" s="62"/>
      <c r="QK27" s="62"/>
      <c r="QL27" s="62"/>
      <c r="QM27" s="62"/>
      <c r="QN27" s="62"/>
      <c r="QO27" s="62"/>
      <c r="QP27" s="62"/>
      <c r="QQ27" s="62"/>
      <c r="QR27" s="62"/>
      <c r="QS27" s="62"/>
      <c r="QT27" s="62"/>
      <c r="QU27" s="62"/>
      <c r="QV27" s="62"/>
      <c r="QW27" s="62"/>
      <c r="QX27" s="62"/>
      <c r="QY27" s="62"/>
      <c r="QZ27" s="62"/>
      <c r="RA27" s="62"/>
      <c r="RB27" s="62"/>
      <c r="RC27" s="62"/>
      <c r="RD27" s="62"/>
      <c r="RE27" s="62"/>
      <c r="RF27" s="62"/>
      <c r="RG27" s="62"/>
      <c r="RH27" s="62"/>
      <c r="RI27" s="62"/>
      <c r="RJ27" s="62"/>
      <c r="RK27" s="62"/>
      <c r="RL27" s="62"/>
      <c r="RM27" s="62"/>
      <c r="RN27" s="62"/>
      <c r="RO27" s="62"/>
      <c r="RP27" s="62"/>
      <c r="RQ27" s="62"/>
      <c r="RR27" s="62"/>
      <c r="RS27" s="62"/>
      <c r="RT27" s="62"/>
      <c r="RU27" s="62"/>
      <c r="RV27" s="62"/>
      <c r="RW27" s="62"/>
      <c r="RX27" s="62"/>
      <c r="RY27" s="62"/>
      <c r="RZ27" s="62"/>
      <c r="SA27" s="62"/>
      <c r="SB27" s="62"/>
      <c r="SC27" s="62"/>
      <c r="SD27" s="62"/>
      <c r="SE27" s="62"/>
      <c r="SF27" s="62"/>
      <c r="SG27" s="62"/>
      <c r="SH27" s="62"/>
      <c r="SI27" s="62"/>
      <c r="SJ27" s="62"/>
      <c r="SK27" s="62"/>
      <c r="SL27" s="62"/>
      <c r="SM27" s="62"/>
      <c r="SN27" s="62"/>
      <c r="SO27" s="62"/>
      <c r="SP27" s="62"/>
      <c r="SQ27" s="62"/>
      <c r="SR27" s="62"/>
      <c r="SS27" s="62"/>
      <c r="ST27" s="62"/>
      <c r="SU27" s="62"/>
      <c r="SV27" s="62"/>
      <c r="SW27" s="62"/>
      <c r="SX27" s="62"/>
      <c r="SY27" s="62"/>
      <c r="SZ27" s="62"/>
      <c r="TA27" s="62"/>
      <c r="TB27" s="62"/>
      <c r="TC27" s="62"/>
      <c r="TD27" s="62"/>
      <c r="TE27" s="62"/>
      <c r="TF27" s="62"/>
      <c r="TG27" s="62"/>
      <c r="TH27" s="62"/>
      <c r="TI27" s="62"/>
      <c r="TJ27" s="62"/>
      <c r="TK27" s="62"/>
      <c r="TL27" s="62"/>
      <c r="TM27" s="62"/>
      <c r="TN27" s="62"/>
      <c r="TO27" s="62"/>
      <c r="TP27" s="62"/>
      <c r="TQ27" s="62"/>
      <c r="TR27" s="62"/>
      <c r="TS27" s="62"/>
      <c r="TT27" s="62"/>
      <c r="TU27" s="62"/>
      <c r="TV27" s="62"/>
      <c r="TW27" s="62"/>
      <c r="TX27" s="62"/>
      <c r="TY27" s="62"/>
      <c r="TZ27" s="62"/>
      <c r="UA27" s="62"/>
      <c r="UB27" s="62"/>
      <c r="UC27" s="62"/>
      <c r="UD27" s="62"/>
      <c r="UE27" s="62"/>
      <c r="UF27" s="62"/>
      <c r="UG27" s="62"/>
      <c r="UH27" s="62"/>
      <c r="UI27" s="62"/>
      <c r="UJ27" s="62"/>
      <c r="UK27" s="62"/>
      <c r="UL27" s="62"/>
      <c r="UM27" s="62"/>
      <c r="UN27" s="62"/>
      <c r="UO27" s="62"/>
      <c r="UP27" s="62"/>
      <c r="UQ27" s="62"/>
      <c r="UR27" s="62"/>
      <c r="US27" s="62"/>
      <c r="UT27" s="62"/>
      <c r="UU27" s="62"/>
      <c r="UV27" s="62"/>
      <c r="UW27" s="62"/>
      <c r="UX27" s="62"/>
      <c r="UY27" s="62"/>
      <c r="UZ27" s="62"/>
      <c r="VA27" s="62"/>
      <c r="VB27" s="62"/>
      <c r="VC27" s="62"/>
      <c r="VD27" s="62"/>
      <c r="VE27" s="62"/>
      <c r="VF27" s="62"/>
      <c r="VG27" s="62"/>
      <c r="VH27" s="62"/>
      <c r="VI27" s="62"/>
      <c r="VJ27" s="62"/>
      <c r="VK27" s="62"/>
      <c r="VL27" s="62"/>
      <c r="VM27" s="62"/>
      <c r="VN27" s="62"/>
      <c r="VO27" s="62"/>
      <c r="VP27" s="62"/>
      <c r="VQ27" s="62"/>
      <c r="VR27" s="62"/>
      <c r="VS27" s="62"/>
      <c r="VT27" s="62"/>
      <c r="VU27" s="62"/>
      <c r="VV27" s="62"/>
      <c r="VW27" s="62"/>
      <c r="VX27" s="62"/>
      <c r="VY27" s="62"/>
      <c r="VZ27" s="62"/>
      <c r="WA27" s="62"/>
      <c r="WB27" s="62"/>
      <c r="WC27" s="62"/>
      <c r="WD27" s="62"/>
      <c r="WE27" s="62"/>
      <c r="WF27" s="62"/>
      <c r="WG27" s="62"/>
      <c r="WH27" s="62"/>
      <c r="WI27" s="62"/>
      <c r="WJ27" s="62"/>
      <c r="WK27" s="62"/>
      <c r="WL27" s="62"/>
      <c r="WM27" s="62"/>
      <c r="WN27" s="62"/>
      <c r="WO27" s="62"/>
      <c r="WP27" s="62"/>
      <c r="WQ27" s="62"/>
      <c r="WR27" s="62"/>
      <c r="WS27" s="62"/>
      <c r="WT27" s="62"/>
      <c r="WU27" s="62"/>
      <c r="WV27" s="62"/>
      <c r="WW27" s="62"/>
      <c r="WX27" s="62"/>
      <c r="WY27" s="62"/>
      <c r="WZ27" s="62"/>
      <c r="XA27" s="62"/>
      <c r="XB27" s="62"/>
      <c r="XC27" s="62"/>
      <c r="XD27" s="62"/>
      <c r="XE27" s="62"/>
      <c r="XF27" s="62"/>
      <c r="XG27" s="62"/>
      <c r="XH27" s="62"/>
      <c r="XI27" s="62"/>
      <c r="XJ27" s="62"/>
      <c r="XK27" s="62"/>
      <c r="XL27" s="62"/>
      <c r="XM27" s="62"/>
      <c r="XN27" s="62"/>
      <c r="XO27" s="62"/>
      <c r="XP27" s="62"/>
      <c r="XQ27" s="62"/>
      <c r="XR27" s="62"/>
      <c r="XS27" s="62"/>
      <c r="XT27" s="62"/>
      <c r="XU27" s="62"/>
      <c r="XV27" s="62"/>
      <c r="XW27" s="62"/>
      <c r="XX27" s="62"/>
      <c r="XY27" s="62"/>
      <c r="XZ27" s="62"/>
      <c r="YA27" s="62"/>
      <c r="YB27" s="62"/>
      <c r="YC27" s="62"/>
      <c r="YD27" s="62"/>
      <c r="YE27" s="62"/>
      <c r="YF27" s="62"/>
      <c r="YG27" s="62"/>
      <c r="YH27" s="62"/>
      <c r="YI27" s="62"/>
      <c r="YJ27" s="62"/>
      <c r="YK27" s="62"/>
      <c r="YL27" s="62"/>
      <c r="YM27" s="62"/>
      <c r="YN27" s="62"/>
      <c r="YO27" s="62"/>
      <c r="YP27" s="62"/>
      <c r="YQ27" s="62"/>
      <c r="YR27" s="62"/>
      <c r="YS27" s="62"/>
      <c r="YT27" s="62"/>
      <c r="YU27" s="62"/>
      <c r="YV27" s="62"/>
      <c r="YW27" s="62"/>
      <c r="YX27" s="62"/>
      <c r="YY27" s="62"/>
      <c r="YZ27" s="62"/>
      <c r="ZA27" s="62"/>
      <c r="ZB27" s="62"/>
      <c r="ZC27" s="62"/>
      <c r="ZD27" s="62"/>
      <c r="ZE27" s="62"/>
      <c r="ZF27" s="62"/>
      <c r="ZG27" s="62"/>
      <c r="ZH27" s="62"/>
      <c r="ZI27" s="62"/>
      <c r="ZJ27" s="62"/>
      <c r="ZK27" s="62"/>
      <c r="ZL27" s="62"/>
      <c r="ZM27" s="62"/>
      <c r="ZN27" s="62"/>
      <c r="ZO27" s="62"/>
      <c r="ZP27" s="62"/>
      <c r="ZQ27" s="62"/>
      <c r="ZR27" s="62"/>
      <c r="ZS27" s="62"/>
      <c r="ZT27" s="62"/>
      <c r="ZU27" s="62"/>
      <c r="ZV27" s="62"/>
      <c r="ZW27" s="62"/>
      <c r="ZX27" s="62"/>
      <c r="ZY27" s="62"/>
      <c r="ZZ27" s="62"/>
      <c r="AAA27" s="62"/>
      <c r="AAB27" s="62"/>
      <c r="AAC27" s="62"/>
      <c r="AAD27" s="62"/>
      <c r="AAE27" s="62"/>
      <c r="AAF27" s="62"/>
      <c r="AAG27" s="62"/>
      <c r="AAH27" s="62"/>
      <c r="AAI27" s="62"/>
      <c r="AAJ27" s="62"/>
      <c r="AAK27" s="62"/>
      <c r="AAL27" s="62"/>
      <c r="AAM27" s="62"/>
      <c r="AAN27" s="62"/>
      <c r="AAO27" s="62"/>
      <c r="AAP27" s="62"/>
      <c r="AAQ27" s="62"/>
      <c r="AAR27" s="62"/>
      <c r="AAS27" s="62"/>
      <c r="AAT27" s="62"/>
      <c r="AAU27" s="62"/>
      <c r="AAV27" s="62"/>
      <c r="AAW27" s="62"/>
      <c r="AAX27" s="62"/>
      <c r="AAY27" s="62"/>
      <c r="AAZ27" s="62"/>
      <c r="ABA27" s="62"/>
      <c r="ABB27" s="62"/>
      <c r="ABC27" s="62"/>
      <c r="ABD27" s="62"/>
      <c r="ABE27" s="62"/>
      <c r="ABF27" s="62"/>
      <c r="ABG27" s="62"/>
      <c r="ABH27" s="62"/>
      <c r="ABI27" s="62"/>
      <c r="ABJ27" s="62"/>
      <c r="ABK27" s="62"/>
      <c r="ABL27" s="62"/>
      <c r="ABM27" s="62"/>
      <c r="ABN27" s="62"/>
      <c r="ABO27" s="62"/>
      <c r="ABP27" s="62"/>
      <c r="ABQ27" s="62"/>
      <c r="ABR27" s="62"/>
      <c r="ABS27" s="62"/>
      <c r="ABT27" s="62"/>
      <c r="ABU27" s="62"/>
      <c r="ABV27" s="62"/>
      <c r="ABW27" s="62"/>
      <c r="ABX27" s="62"/>
      <c r="ABY27" s="62"/>
      <c r="ABZ27" s="62"/>
      <c r="ACA27" s="62"/>
      <c r="ACB27" s="62"/>
      <c r="ACC27" s="62"/>
      <c r="ACD27" s="62"/>
      <c r="ACE27" s="62"/>
      <c r="ACF27" s="62"/>
      <c r="ACG27" s="62"/>
      <c r="ACH27" s="62"/>
      <c r="ACI27" s="62"/>
      <c r="ACJ27" s="62"/>
      <c r="ACK27" s="62"/>
      <c r="ACL27" s="62"/>
      <c r="ACM27" s="62"/>
      <c r="ACN27" s="62"/>
      <c r="ACO27" s="62"/>
      <c r="ACP27" s="62"/>
      <c r="ACQ27" s="62"/>
      <c r="ACR27" s="62"/>
      <c r="ACS27" s="62"/>
      <c r="ACT27" s="62"/>
      <c r="ACU27" s="62"/>
      <c r="ACV27" s="62"/>
      <c r="ACW27" s="62"/>
      <c r="ACX27" s="62"/>
      <c r="ACY27" s="62"/>
      <c r="ACZ27" s="62"/>
      <c r="ADA27" s="62"/>
      <c r="ADB27" s="62"/>
      <c r="ADC27" s="62"/>
      <c r="ADD27" s="62"/>
      <c r="ADE27" s="62"/>
      <c r="ADF27" s="62"/>
      <c r="ADG27" s="62"/>
      <c r="ADH27" s="62"/>
      <c r="ADI27" s="62"/>
      <c r="ADJ27" s="62"/>
      <c r="ADK27" s="62"/>
      <c r="ADL27" s="62"/>
      <c r="ADM27" s="62"/>
      <c r="ADN27" s="62"/>
      <c r="ADO27" s="62"/>
      <c r="ADP27" s="62"/>
      <c r="ADQ27" s="62"/>
      <c r="ADR27" s="62"/>
      <c r="ADS27" s="62"/>
      <c r="ADT27" s="62"/>
      <c r="ADU27" s="62"/>
      <c r="ADV27" s="62"/>
      <c r="ADW27" s="62"/>
      <c r="ADX27" s="62"/>
      <c r="ADY27" s="62"/>
      <c r="ADZ27" s="62"/>
      <c r="AEA27" s="62"/>
      <c r="AEB27" s="62"/>
      <c r="AEC27" s="62"/>
      <c r="AED27" s="62"/>
      <c r="AEE27" s="62"/>
      <c r="AEF27" s="62"/>
      <c r="AEG27" s="62"/>
      <c r="AEH27" s="62"/>
      <c r="AEI27" s="62"/>
      <c r="AEJ27" s="62"/>
      <c r="AEK27" s="62"/>
      <c r="AEL27" s="62"/>
      <c r="AEM27" s="62"/>
      <c r="AEN27" s="62"/>
      <c r="AEO27" s="62"/>
      <c r="AEP27" s="62"/>
      <c r="AEQ27" s="62"/>
      <c r="AER27" s="62"/>
      <c r="AES27" s="62"/>
      <c r="AET27" s="62"/>
      <c r="AEU27" s="62"/>
      <c r="AEV27" s="62"/>
      <c r="AEW27" s="62"/>
      <c r="AEX27" s="62"/>
      <c r="AEY27" s="62"/>
      <c r="AEZ27" s="62"/>
      <c r="AFA27" s="62"/>
      <c r="AFB27" s="62"/>
      <c r="AFC27" s="62"/>
      <c r="AFD27" s="62"/>
      <c r="AFE27" s="62"/>
      <c r="AFF27" s="62"/>
      <c r="AFG27" s="62"/>
      <c r="AFH27" s="62"/>
      <c r="AFI27" s="62"/>
      <c r="AFJ27" s="62"/>
      <c r="AFK27" s="62"/>
      <c r="AFL27" s="62"/>
      <c r="AFM27" s="62"/>
      <c r="AFN27" s="62"/>
      <c r="AFO27" s="62"/>
      <c r="AFP27" s="62"/>
      <c r="AFQ27" s="62"/>
      <c r="AFR27" s="62"/>
      <c r="AFS27" s="62"/>
      <c r="AFT27" s="62"/>
      <c r="AFU27" s="62"/>
      <c r="AFV27" s="62"/>
      <c r="AFW27" s="62"/>
      <c r="AFX27" s="62"/>
      <c r="AFY27" s="62"/>
      <c r="AFZ27" s="62"/>
      <c r="AGA27" s="62"/>
      <c r="AGB27" s="62"/>
      <c r="AGC27" s="62"/>
      <c r="AGD27" s="62"/>
      <c r="AGE27" s="62"/>
      <c r="AGF27" s="62"/>
      <c r="AGG27" s="62"/>
      <c r="AGH27" s="62"/>
      <c r="AGI27" s="62"/>
      <c r="AGJ27" s="62"/>
      <c r="AGK27" s="62"/>
      <c r="AGL27" s="62"/>
      <c r="AGM27" s="62"/>
      <c r="AGN27" s="62"/>
      <c r="AGO27" s="62"/>
      <c r="AGP27" s="62"/>
      <c r="AGQ27" s="62"/>
      <c r="AGR27" s="62"/>
      <c r="AGS27" s="62"/>
      <c r="AGT27" s="62"/>
      <c r="AGU27" s="62"/>
      <c r="AGV27" s="62"/>
      <c r="AGW27" s="62"/>
      <c r="AGX27" s="62"/>
      <c r="AGY27" s="62"/>
      <c r="AGZ27" s="62"/>
      <c r="AHA27" s="62"/>
      <c r="AHB27" s="62"/>
      <c r="AHC27" s="62"/>
      <c r="AHD27" s="62"/>
      <c r="AHE27" s="62"/>
      <c r="AHF27" s="62"/>
      <c r="AHG27" s="62"/>
      <c r="AHH27" s="62"/>
      <c r="AHI27" s="62"/>
      <c r="AHJ27" s="62"/>
      <c r="AHK27" s="62"/>
      <c r="AHL27" s="62"/>
      <c r="AHM27" s="62"/>
      <c r="AHN27" s="62"/>
      <c r="AHO27" s="62"/>
      <c r="AHP27" s="62"/>
      <c r="AHQ27" s="62"/>
      <c r="AHR27" s="62"/>
      <c r="AHS27" s="62"/>
      <c r="AHT27" s="62"/>
      <c r="AHU27" s="62"/>
      <c r="AHV27" s="62"/>
      <c r="AHW27" s="62"/>
      <c r="AHX27" s="62"/>
      <c r="AHY27" s="62"/>
      <c r="AHZ27" s="62"/>
      <c r="AIA27" s="62"/>
      <c r="AIB27" s="62"/>
      <c r="AIC27" s="62"/>
      <c r="AID27" s="62"/>
      <c r="AIE27" s="62"/>
      <c r="AIF27" s="62"/>
      <c r="AIG27" s="62"/>
      <c r="AIH27" s="62"/>
      <c r="AII27" s="62"/>
      <c r="AIJ27" s="62"/>
      <c r="AIK27" s="62"/>
      <c r="AIL27" s="62"/>
      <c r="AIM27" s="62"/>
      <c r="AIN27" s="62"/>
      <c r="AIO27" s="62"/>
      <c r="AIP27" s="62"/>
      <c r="AIQ27" s="62"/>
      <c r="AIR27" s="62"/>
      <c r="AIS27" s="62"/>
      <c r="AIT27" s="62"/>
      <c r="AIU27" s="62"/>
      <c r="AIV27" s="62"/>
      <c r="AIW27" s="62"/>
      <c r="AIX27" s="62"/>
      <c r="AIY27" s="62"/>
      <c r="AIZ27" s="62"/>
      <c r="AJA27" s="62"/>
      <c r="AJB27" s="62"/>
      <c r="AJC27" s="62"/>
      <c r="AJD27" s="62"/>
      <c r="AJE27" s="62"/>
      <c r="AJF27" s="62"/>
      <c r="AJG27" s="62"/>
      <c r="AJH27" s="62"/>
      <c r="AJI27" s="62"/>
      <c r="AJJ27" s="62"/>
      <c r="AJK27" s="62"/>
      <c r="AJL27" s="62"/>
      <c r="AJM27" s="62"/>
      <c r="AJN27" s="62"/>
      <c r="AJO27" s="62"/>
      <c r="AJP27" s="62"/>
      <c r="AJQ27" s="62"/>
      <c r="AJR27" s="62"/>
      <c r="AJS27" s="62"/>
      <c r="AJT27" s="62"/>
      <c r="AJU27" s="62"/>
      <c r="AJV27" s="62"/>
      <c r="AJW27" s="62"/>
      <c r="AJX27" s="62"/>
      <c r="AJY27" s="62"/>
      <c r="AJZ27" s="62"/>
      <c r="AKA27" s="62"/>
      <c r="AKB27" s="62"/>
      <c r="AKC27" s="62"/>
      <c r="AKD27" s="62"/>
      <c r="AKE27" s="62"/>
      <c r="AKF27" s="62"/>
      <c r="AKG27" s="62"/>
      <c r="AKH27" s="62"/>
      <c r="AKI27" s="62"/>
      <c r="AKJ27" s="62"/>
      <c r="AKK27" s="62"/>
      <c r="AKL27" s="62"/>
      <c r="AKM27" s="62"/>
      <c r="AKN27" s="62"/>
      <c r="AKO27" s="62"/>
      <c r="AKP27" s="62"/>
      <c r="AKQ27" s="62"/>
      <c r="AKR27" s="62"/>
      <c r="AKS27" s="62"/>
      <c r="AKT27" s="62"/>
      <c r="AKU27" s="62"/>
      <c r="AKV27" s="62"/>
      <c r="AKW27" s="62"/>
      <c r="AKX27" s="62"/>
      <c r="AKY27" s="62"/>
      <c r="AKZ27" s="62"/>
      <c r="ALA27" s="62"/>
      <c r="ALB27" s="62"/>
      <c r="ALC27" s="62"/>
      <c r="ALD27" s="62"/>
      <c r="ALE27" s="62"/>
      <c r="ALF27" s="62"/>
      <c r="ALG27" s="62"/>
      <c r="ALH27" s="62"/>
      <c r="ALI27" s="62"/>
      <c r="ALJ27" s="62"/>
      <c r="ALK27" s="62"/>
      <c r="ALL27" s="62"/>
      <c r="ALM27" s="62"/>
      <c r="ALN27" s="62"/>
      <c r="ALO27" s="62"/>
      <c r="ALP27" s="62"/>
      <c r="ALQ27" s="62"/>
      <c r="ALR27" s="62"/>
      <c r="ALS27" s="62"/>
      <c r="ALT27" s="62"/>
      <c r="ALU27" s="62"/>
      <c r="ALV27" s="62"/>
      <c r="ALW27" s="62"/>
      <c r="ALX27" s="62"/>
      <c r="ALY27" s="62"/>
      <c r="ALZ27" s="62"/>
      <c r="AMA27" s="62"/>
      <c r="AMB27" s="62"/>
      <c r="AMC27" s="62"/>
      <c r="AMD27" s="62"/>
      <c r="AME27" s="62"/>
      <c r="AMF27" s="62"/>
      <c r="AMG27" s="62"/>
      <c r="AMH27" s="62"/>
      <c r="AMI27" s="62"/>
      <c r="AMJ27" s="62"/>
    </row>
    <row r="28" spans="1:1024" s="26" customFormat="1" hidden="1" x14ac:dyDescent="0.3">
      <c r="A28" s="71" t="s">
        <v>102</v>
      </c>
      <c r="B28" s="38"/>
      <c r="C28" s="38"/>
      <c r="D28" s="38"/>
      <c r="E28" s="648"/>
      <c r="F28" s="648"/>
      <c r="G28" s="38"/>
      <c r="H28" s="38"/>
      <c r="I28" s="38"/>
      <c r="J28" s="38"/>
      <c r="K28" s="27"/>
      <c r="L28" s="27"/>
      <c r="M28" s="27"/>
      <c r="R28" s="28"/>
      <c r="S28" s="28"/>
      <c r="T28" s="77"/>
      <c r="U28" s="28"/>
      <c r="V28" s="28"/>
      <c r="W28" s="28"/>
    </row>
    <row r="29" spans="1:1024" s="26" customFormat="1" ht="15" hidden="1" thickBot="1" x14ac:dyDescent="0.35">
      <c r="A29" s="38"/>
      <c r="B29" s="38"/>
      <c r="C29" s="38"/>
      <c r="D29" s="38"/>
      <c r="E29" s="648"/>
      <c r="F29" s="648"/>
      <c r="G29" s="38"/>
      <c r="H29" s="38"/>
      <c r="I29" s="38"/>
      <c r="J29" s="38"/>
      <c r="K29" s="27"/>
      <c r="L29" s="27"/>
      <c r="M29" s="27"/>
      <c r="N29" s="78"/>
      <c r="O29" s="79"/>
      <c r="P29" s="79"/>
      <c r="R29" s="28"/>
      <c r="S29" s="28"/>
      <c r="T29" s="77"/>
      <c r="U29" s="28"/>
      <c r="V29" s="28"/>
      <c r="W29" s="28"/>
    </row>
    <row r="30" spans="1:1024" s="26" customFormat="1" ht="48" hidden="1" customHeight="1" thickBot="1" x14ac:dyDescent="0.35">
      <c r="A30" s="707" t="s">
        <v>103</v>
      </c>
      <c r="B30" s="716" t="s">
        <v>675</v>
      </c>
      <c r="C30" s="716"/>
      <c r="D30" s="716"/>
      <c r="E30" s="716"/>
      <c r="F30" s="717" t="s">
        <v>104</v>
      </c>
      <c r="G30" s="717"/>
      <c r="H30" s="717"/>
      <c r="I30" s="710" t="s">
        <v>105</v>
      </c>
      <c r="J30" s="710"/>
      <c r="K30" s="710"/>
      <c r="L30" s="700" t="s">
        <v>106</v>
      </c>
      <c r="M30" s="700"/>
      <c r="N30" s="700"/>
      <c r="O30" s="700"/>
      <c r="T30" s="83"/>
    </row>
    <row r="31" spans="1:1024" s="26" customFormat="1" ht="63.75" hidden="1" customHeight="1" x14ac:dyDescent="0.3">
      <c r="A31" s="707"/>
      <c r="B31" s="701" t="s">
        <v>669</v>
      </c>
      <c r="C31" s="701"/>
      <c r="D31" s="701"/>
      <c r="E31" s="73" t="s">
        <v>107</v>
      </c>
      <c r="F31" s="73" t="s">
        <v>108</v>
      </c>
      <c r="G31" s="73" t="s">
        <v>109</v>
      </c>
      <c r="H31" s="84" t="s">
        <v>110</v>
      </c>
      <c r="I31" s="710"/>
      <c r="J31" s="710"/>
      <c r="K31" s="710"/>
      <c r="L31" s="85" t="s">
        <v>111</v>
      </c>
      <c r="M31" s="73" t="s">
        <v>112</v>
      </c>
      <c r="N31" s="73" t="s">
        <v>113</v>
      </c>
      <c r="O31" s="84" t="s">
        <v>114</v>
      </c>
      <c r="V31" s="38"/>
    </row>
    <row r="32" spans="1:1024" s="26" customFormat="1" ht="31.2" hidden="1" customHeight="1" x14ac:dyDescent="0.3">
      <c r="A32" s="86">
        <v>1</v>
      </c>
      <c r="B32" s="711" t="str">
        <f>Insumos!B9</f>
        <v>Água sanitária galão de 5 litros, composição do produto: hipoclorito de sódio 2,5%, hidróxido de sódio e veículo, teor de cloro ativo entre 2,0 e 2,5% p/p.</v>
      </c>
      <c r="C32" s="711"/>
      <c r="D32" s="711"/>
      <c r="E32" s="276" t="str">
        <f>Insumos!C9</f>
        <v>galão</v>
      </c>
      <c r="F32" s="276" t="str">
        <f>Insumos!D9</f>
        <v>Santa Clara</v>
      </c>
      <c r="G32" s="88">
        <f>L32</f>
        <v>16</v>
      </c>
      <c r="H32" s="89">
        <f>G32*Insumos!G9</f>
        <v>243.68</v>
      </c>
      <c r="I32" s="706" t="str">
        <f t="shared" ref="I32:I62" si="1">IF(G32&lt;L32,"Fornecimento inferior ao estimado mensalmente",IF(G32=L32,"Fornecimento igual ao estimado mensalmente",IF(G32&gt;L32,"Fornecimento superior ao estimado mensalmente",)))</f>
        <v>Fornecimento igual ao estimado mensalmente</v>
      </c>
      <c r="J32" s="706"/>
      <c r="K32" s="706"/>
      <c r="L32" s="90">
        <f t="shared" ref="L32:L62" si="2">M32/O32</f>
        <v>16</v>
      </c>
      <c r="M32" s="91">
        <f>Insumos!E9</f>
        <v>16</v>
      </c>
      <c r="N32" s="92" t="str">
        <f>Insumos!F9</f>
        <v>Mensal</v>
      </c>
      <c r="O32" s="93">
        <f t="shared" ref="O32:O62" si="3">IF(N32="MENSAL",1,IF(N32="BIMESTRAL",2,IF(N32="TRIMESTRAL",3,IF(N32="QUADRIMESTRAL",4,IF(N32="SEMESTRAL",6,IF(N32="ANUAL",12,IF(N32="BIENAL",24,"")))))))</f>
        <v>1</v>
      </c>
      <c r="V32" s="74"/>
    </row>
    <row r="33" spans="1:22" s="26" customFormat="1" ht="54" hidden="1" customHeight="1" x14ac:dyDescent="0.3">
      <c r="A33" s="86">
        <v>2</v>
      </c>
      <c r="B33" s="711" t="str">
        <f>Insumos!B10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33" s="711"/>
      <c r="D33" s="711"/>
      <c r="E33" s="276" t="str">
        <f>Insumos!C10</f>
        <v>galão</v>
      </c>
      <c r="F33" s="276" t="str">
        <f>Insumos!D10</f>
        <v>Asseptgel</v>
      </c>
      <c r="G33" s="88">
        <f t="shared" ref="G33:G84" si="4">L33</f>
        <v>2</v>
      </c>
      <c r="H33" s="89">
        <f>G33*Insumos!G10</f>
        <v>114.78</v>
      </c>
      <c r="I33" s="706" t="str">
        <f t="shared" si="1"/>
        <v>Fornecimento igual ao estimado mensalmente</v>
      </c>
      <c r="J33" s="706"/>
      <c r="K33" s="706"/>
      <c r="L33" s="90">
        <f t="shared" si="2"/>
        <v>2</v>
      </c>
      <c r="M33" s="91">
        <f>Insumos!E10</f>
        <v>2</v>
      </c>
      <c r="N33" s="92" t="str">
        <f>Insumos!F10</f>
        <v>Mensal</v>
      </c>
      <c r="O33" s="93">
        <f t="shared" si="3"/>
        <v>1</v>
      </c>
      <c r="V33" s="74"/>
    </row>
    <row r="34" spans="1:22" s="26" customFormat="1" ht="25.95" hidden="1" customHeight="1" x14ac:dyDescent="0.3">
      <c r="A34" s="86">
        <v>3</v>
      </c>
      <c r="B34" s="711" t="str">
        <f>Insumos!B11</f>
        <v>Balde Material: Plástico, Material Alça: Arame Galvanizado, Capacidade: 10 L, Cor: Preta, Características Adicionais: Reforço Fundo E Borda</v>
      </c>
      <c r="C34" s="711"/>
      <c r="D34" s="711"/>
      <c r="E34" s="276" t="str">
        <f>Insumos!C11</f>
        <v>unid.</v>
      </c>
      <c r="F34" s="276" t="str">
        <f>Insumos!D11</f>
        <v>Sanremo</v>
      </c>
      <c r="G34" s="88">
        <f t="shared" si="4"/>
        <v>3.3333333333333335</v>
      </c>
      <c r="H34" s="89">
        <f>G34*Insumos!G11</f>
        <v>46.300000000000004</v>
      </c>
      <c r="I34" s="706" t="str">
        <f t="shared" si="1"/>
        <v>Fornecimento igual ao estimado mensalmente</v>
      </c>
      <c r="J34" s="706"/>
      <c r="K34" s="706"/>
      <c r="L34" s="90">
        <f t="shared" si="2"/>
        <v>3.3333333333333335</v>
      </c>
      <c r="M34" s="91">
        <f>Insumos!E11</f>
        <v>20</v>
      </c>
      <c r="N34" s="92" t="str">
        <f>Insumos!F11</f>
        <v>Semestral</v>
      </c>
      <c r="O34" s="93">
        <f t="shared" si="3"/>
        <v>6</v>
      </c>
      <c r="V34" s="74"/>
    </row>
    <row r="35" spans="1:22" s="26" customFormat="1" ht="41.25" hidden="1" customHeight="1" x14ac:dyDescent="0.3">
      <c r="A35" s="86">
        <v>4</v>
      </c>
      <c r="B35" s="711" t="str">
        <f>Insumos!B12</f>
        <v>Balde plástico em polietileno de alta densidade, alta resistência a impacto, com paredes e fundo reforçados, com reforço no encaixe da alça de aço zincado constando no corpo a marcado fabricante, capacidade de 20 litros.</v>
      </c>
      <c r="C35" s="711"/>
      <c r="D35" s="711"/>
      <c r="E35" s="276" t="str">
        <f>Insumos!C12</f>
        <v>unid.</v>
      </c>
      <c r="F35" s="276" t="str">
        <f>Insumos!D12</f>
        <v>Arqplast</v>
      </c>
      <c r="G35" s="88">
        <f t="shared" si="4"/>
        <v>3.3333333333333335</v>
      </c>
      <c r="H35" s="89">
        <f>G35*Insumos!G12</f>
        <v>87.933333333333337</v>
      </c>
      <c r="I35" s="706" t="str">
        <f t="shared" si="1"/>
        <v>Fornecimento igual ao estimado mensalmente</v>
      </c>
      <c r="J35" s="706"/>
      <c r="K35" s="706"/>
      <c r="L35" s="90">
        <f t="shared" si="2"/>
        <v>3.3333333333333335</v>
      </c>
      <c r="M35" s="91">
        <f>Insumos!E12</f>
        <v>20</v>
      </c>
      <c r="N35" s="92" t="str">
        <f>Insumos!F12</f>
        <v>Semestral</v>
      </c>
      <c r="O35" s="93">
        <f t="shared" si="3"/>
        <v>6</v>
      </c>
      <c r="V35" s="74"/>
    </row>
    <row r="36" spans="1:22" s="26" customFormat="1" ht="78.75" hidden="1" customHeight="1" x14ac:dyDescent="0.3">
      <c r="A36" s="86">
        <v>5</v>
      </c>
      <c r="B36" s="711" t="str">
        <f>Insumos!B13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36" s="711"/>
      <c r="D36" s="711"/>
      <c r="E36" s="276" t="str">
        <f>Insumos!C13</f>
        <v>unid.</v>
      </c>
      <c r="F36" s="276" t="str">
        <f>Insumos!D13</f>
        <v>Azulim</v>
      </c>
      <c r="G36" s="88">
        <f t="shared" si="4"/>
        <v>2</v>
      </c>
      <c r="H36" s="89">
        <f>G36*Insumos!G13</f>
        <v>10.92</v>
      </c>
      <c r="I36" s="706" t="str">
        <f t="shared" si="1"/>
        <v>Fornecimento igual ao estimado mensalmente</v>
      </c>
      <c r="J36" s="706"/>
      <c r="K36" s="706"/>
      <c r="L36" s="90">
        <f t="shared" si="2"/>
        <v>2</v>
      </c>
      <c r="M36" s="91">
        <f>Insumos!E13</f>
        <v>2</v>
      </c>
      <c r="N36" s="92" t="str">
        <f>Insumos!F13</f>
        <v>Mensal</v>
      </c>
      <c r="O36" s="93">
        <f t="shared" si="3"/>
        <v>1</v>
      </c>
      <c r="V36" s="74"/>
    </row>
    <row r="37" spans="1:22" s="26" customFormat="1" ht="29.25" hidden="1" customHeight="1" x14ac:dyDescent="0.3">
      <c r="A37" s="86">
        <v>6</v>
      </c>
      <c r="B37" s="711" t="str">
        <f>Insumos!B14</f>
        <v>Cesto para lixo de 100 litros - tipo balde, com tampa e pedal - confeccionado em material de polipropileno ou poliestireno resistente, atóxico, com tampa sobreposta, duas alças laterais, cesto em formato redondo.</v>
      </c>
      <c r="C37" s="711"/>
      <c r="D37" s="711"/>
      <c r="E37" s="276" t="str">
        <f>Insumos!C14</f>
        <v>unid.</v>
      </c>
      <c r="F37" s="276">
        <f>Insumos!D14</f>
        <v>0</v>
      </c>
      <c r="G37" s="88">
        <f t="shared" si="4"/>
        <v>1.6666666666666667</v>
      </c>
      <c r="H37" s="89">
        <f>G37*Insumos!G14</f>
        <v>165</v>
      </c>
      <c r="I37" s="706" t="str">
        <f t="shared" si="1"/>
        <v>Fornecimento igual ao estimado mensalmente</v>
      </c>
      <c r="J37" s="706"/>
      <c r="K37" s="706"/>
      <c r="L37" s="90">
        <f t="shared" si="2"/>
        <v>1.6666666666666667</v>
      </c>
      <c r="M37" s="91">
        <f>Insumos!E14</f>
        <v>20</v>
      </c>
      <c r="N37" s="92" t="str">
        <f>Insumos!F14</f>
        <v>Anual</v>
      </c>
      <c r="O37" s="93">
        <f t="shared" si="3"/>
        <v>12</v>
      </c>
      <c r="V37" s="74"/>
    </row>
    <row r="38" spans="1:22" s="26" customFormat="1" ht="30" hidden="1" customHeight="1" x14ac:dyDescent="0.3">
      <c r="A38" s="86">
        <v>7</v>
      </c>
      <c r="B38" s="711" t="str">
        <f>Insumos!B15</f>
        <v>Desentupidor Pia: Tipo: Sanfonado, Com Alto Poder De Sucção. Material: Borracha Flexível, Composto Por Polipropileno E Borracha Termoplástica. Plástico Resistente, Cabo Longo, mínimo 20 CM.</v>
      </c>
      <c r="C38" s="711"/>
      <c r="D38" s="711"/>
      <c r="E38" s="276" t="str">
        <f>Insumos!C15</f>
        <v>unid.</v>
      </c>
      <c r="F38" s="276" t="str">
        <f>Insumos!D15</f>
        <v>Oliveira e Azevedo</v>
      </c>
      <c r="G38" s="88">
        <f t="shared" si="4"/>
        <v>0.25</v>
      </c>
      <c r="H38" s="89">
        <f>G38*Insumos!G15</f>
        <v>2.6025</v>
      </c>
      <c r="I38" s="706" t="str">
        <f t="shared" si="1"/>
        <v>Fornecimento igual ao estimado mensalmente</v>
      </c>
      <c r="J38" s="706"/>
      <c r="K38" s="706"/>
      <c r="L38" s="90">
        <f t="shared" si="2"/>
        <v>0.25</v>
      </c>
      <c r="M38" s="91">
        <f>Insumos!E15</f>
        <v>3</v>
      </c>
      <c r="N38" s="92" t="str">
        <f>Insumos!F15</f>
        <v>Anual</v>
      </c>
      <c r="O38" s="93">
        <f t="shared" si="3"/>
        <v>12</v>
      </c>
      <c r="V38" s="74"/>
    </row>
    <row r="39" spans="1:22" s="26" customFormat="1" ht="30" hidden="1" customHeight="1" x14ac:dyDescent="0.3">
      <c r="A39" s="94">
        <v>8</v>
      </c>
      <c r="B39" s="711" t="str">
        <f>Insumos!B16</f>
        <v>Desentupidor Vaso Sanitário Material: Borracha Flexível, Medidas aproximadas: Comprimento Cabo: 50 CM, Altura: 10 CM, Diâmetro: 16 CM, Material Cabo: Madeira</v>
      </c>
      <c r="C39" s="711"/>
      <c r="D39" s="711"/>
      <c r="E39" s="276" t="str">
        <f>Insumos!C16</f>
        <v>Unid.</v>
      </c>
      <c r="F39" s="276" t="str">
        <f>Insumos!D16</f>
        <v>Canada</v>
      </c>
      <c r="G39" s="88">
        <f t="shared" si="4"/>
        <v>0.25</v>
      </c>
      <c r="H39" s="89">
        <f>G39*Insumos!G16</f>
        <v>2.77</v>
      </c>
      <c r="I39" s="706" t="str">
        <f t="shared" si="1"/>
        <v>Fornecimento igual ao estimado mensalmente</v>
      </c>
      <c r="J39" s="706"/>
      <c r="K39" s="706"/>
      <c r="L39" s="90">
        <f t="shared" si="2"/>
        <v>0.25</v>
      </c>
      <c r="M39" s="91">
        <f>Insumos!E16</f>
        <v>3</v>
      </c>
      <c r="N39" s="92" t="str">
        <f>Insumos!F16</f>
        <v>Anual</v>
      </c>
      <c r="O39" s="93">
        <f t="shared" si="3"/>
        <v>12</v>
      </c>
      <c r="V39" s="74"/>
    </row>
    <row r="40" spans="1:22" s="26" customFormat="1" ht="57" hidden="1" customHeight="1" x14ac:dyDescent="0.3">
      <c r="A40" s="86">
        <v>9</v>
      </c>
      <c r="B40" s="711" t="str">
        <f>Insumos!B17</f>
        <v>Desodorizador de ambiente com 360ml. Aromatizador de Ambientes Aerosol, conteúdo 360ml/240g sem Cfc. Essências suaves. Aplicação: aromatizador ambiental. Embalagem deverá conter externamente os dados de identificação, procedência, número do lote, validade e número do registro no Ministério da Saúde. Marca igual ou superior a Bom Ar, Glade ou Ultra Fresh.</v>
      </c>
      <c r="C40" s="711"/>
      <c r="D40" s="711"/>
      <c r="E40" s="276" t="str">
        <f>Insumos!C17</f>
        <v>unid.</v>
      </c>
      <c r="F40" s="276" t="str">
        <f>Insumos!D17</f>
        <v>Glade</v>
      </c>
      <c r="G40" s="88">
        <f t="shared" si="4"/>
        <v>30</v>
      </c>
      <c r="H40" s="89">
        <f>G40*Insumos!G17</f>
        <v>515.70000000000005</v>
      </c>
      <c r="I40" s="706" t="str">
        <f t="shared" si="1"/>
        <v>Fornecimento igual ao estimado mensalmente</v>
      </c>
      <c r="J40" s="706"/>
      <c r="K40" s="706"/>
      <c r="L40" s="90">
        <f t="shared" si="2"/>
        <v>30</v>
      </c>
      <c r="M40" s="91">
        <f>Insumos!E17</f>
        <v>30</v>
      </c>
      <c r="N40" s="92" t="str">
        <f>Insumos!F17</f>
        <v>Mensal</v>
      </c>
      <c r="O40" s="93">
        <f t="shared" si="3"/>
        <v>1</v>
      </c>
      <c r="V40" s="74"/>
    </row>
    <row r="41" spans="1:22" s="26" customFormat="1" ht="55.5" hidden="1" customHeight="1" x14ac:dyDescent="0.3">
      <c r="A41" s="86">
        <v>10</v>
      </c>
      <c r="B41" s="711" t="str">
        <f>Insumos!B18</f>
        <v>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350mm, limpador confeccionado em fibra sintética e mineral abrasivo;</v>
      </c>
      <c r="C41" s="711"/>
      <c r="D41" s="711"/>
      <c r="E41" s="276" t="str">
        <f>Insumos!C18</f>
        <v>galão</v>
      </c>
      <c r="F41" s="276" t="str">
        <f>Insumos!D18</f>
        <v>Mirax Floral Bouquet</v>
      </c>
      <c r="G41" s="88">
        <f t="shared" si="4"/>
        <v>35</v>
      </c>
      <c r="H41" s="89">
        <f>G41*Insumos!G18</f>
        <v>1567.6499999999999</v>
      </c>
      <c r="I41" s="706" t="str">
        <f t="shared" si="1"/>
        <v>Fornecimento igual ao estimado mensalmente</v>
      </c>
      <c r="J41" s="706"/>
      <c r="K41" s="706"/>
      <c r="L41" s="90">
        <f t="shared" si="2"/>
        <v>35</v>
      </c>
      <c r="M41" s="91">
        <f>Insumos!E18</f>
        <v>35</v>
      </c>
      <c r="N41" s="92" t="str">
        <f>Insumos!F18</f>
        <v>Mensal</v>
      </c>
      <c r="O41" s="93">
        <f t="shared" si="3"/>
        <v>1</v>
      </c>
      <c r="V41" s="74"/>
    </row>
    <row r="42" spans="1:22" s="26" customFormat="1" ht="39" hidden="1" customHeight="1" x14ac:dyDescent="0.3">
      <c r="A42" s="86">
        <v>11</v>
      </c>
      <c r="B42" s="711" t="str">
        <f>Insumos!B19</f>
        <v>Disco Escova Nylon branco ou verde para enceradeira industrial disco 350mm. Disco para enceradeira industrial, limpador confeccionado em fibra sintética e mineral abrasivo,com diâmetro de 350mm.industrial disco 350mm, limpador confeccionado em fibra sintética e mineral abrasivo;</v>
      </c>
      <c r="C42" s="711"/>
      <c r="D42" s="711"/>
      <c r="E42" s="276" t="str">
        <f>Insumos!C19</f>
        <v>unid.</v>
      </c>
      <c r="F42" s="276" t="str">
        <f>Insumos!D19</f>
        <v>Cleaner</v>
      </c>
      <c r="G42" s="88">
        <f t="shared" si="4"/>
        <v>1</v>
      </c>
      <c r="H42" s="89">
        <f>G42*Insumos!G19</f>
        <v>28.44</v>
      </c>
      <c r="I42" s="706" t="str">
        <f t="shared" si="1"/>
        <v>Fornecimento igual ao estimado mensalmente</v>
      </c>
      <c r="J42" s="706"/>
      <c r="K42" s="706"/>
      <c r="L42" s="90">
        <f t="shared" si="2"/>
        <v>1</v>
      </c>
      <c r="M42" s="91">
        <f>Insumos!E19</f>
        <v>6</v>
      </c>
      <c r="N42" s="92" t="str">
        <f>Insumos!F19</f>
        <v>Semestral</v>
      </c>
      <c r="O42" s="93">
        <f t="shared" si="3"/>
        <v>6</v>
      </c>
      <c r="V42" s="74"/>
    </row>
    <row r="43" spans="1:22" s="26" customFormat="1" ht="27.75" hidden="1" customHeight="1" x14ac:dyDescent="0.3">
      <c r="A43" s="86">
        <v>12</v>
      </c>
      <c r="B43" s="711" t="str">
        <f>Insumos!B20</f>
        <v>Escova para lavar multiuso, oval, base plástica e cerdas de escova para lavar multiuso, oval, base plástica e cerdas de nylon.para lavar multiuso, oval, base plástica e cerdas de nylon.</v>
      </c>
      <c r="C43" s="711"/>
      <c r="D43" s="711"/>
      <c r="E43" s="276" t="str">
        <f>Insumos!C20</f>
        <v>unid.</v>
      </c>
      <c r="F43" s="276" t="str">
        <f>Insumos!D20</f>
        <v>Condor</v>
      </c>
      <c r="G43" s="88">
        <f t="shared" si="4"/>
        <v>1.6666666666666667</v>
      </c>
      <c r="H43" s="89">
        <f>G43*Insumos!G20</f>
        <v>9.283333333333335</v>
      </c>
      <c r="I43" s="706" t="str">
        <f t="shared" si="1"/>
        <v>Fornecimento igual ao estimado mensalmente</v>
      </c>
      <c r="J43" s="706"/>
      <c r="K43" s="706"/>
      <c r="L43" s="90">
        <f t="shared" si="2"/>
        <v>1.6666666666666667</v>
      </c>
      <c r="M43" s="91">
        <f>Insumos!E20</f>
        <v>5</v>
      </c>
      <c r="N43" s="92" t="str">
        <f>Insumos!F20</f>
        <v>Trimestral</v>
      </c>
      <c r="O43" s="93">
        <f t="shared" si="3"/>
        <v>3</v>
      </c>
      <c r="V43" s="74"/>
    </row>
    <row r="44" spans="1:22" s="26" customFormat="1" ht="30.6" hidden="1" customHeight="1" x14ac:dyDescent="0.3">
      <c r="A44" s="86">
        <v>13</v>
      </c>
      <c r="B44" s="711" t="str">
        <f>Insumos!B21</f>
        <v>Escova Sanitária Redonda em plástico Branco contendo 01 escova para vaso sanitário e 01 suporte redondo: Branco Tamanho aprox.: 14 x 42 cm</v>
      </c>
      <c r="C44" s="711"/>
      <c r="D44" s="711"/>
      <c r="E44" s="276" t="str">
        <f>Insumos!C21</f>
        <v>unid.</v>
      </c>
      <c r="F44" s="276" t="str">
        <f>Insumos!D21</f>
        <v>Limpamania</v>
      </c>
      <c r="G44" s="88">
        <f t="shared" si="4"/>
        <v>2.5</v>
      </c>
      <c r="H44" s="89">
        <f>G44*Insumos!G21</f>
        <v>40.274999999999999</v>
      </c>
      <c r="I44" s="706" t="str">
        <f t="shared" si="1"/>
        <v>Fornecimento igual ao estimado mensalmente</v>
      </c>
      <c r="J44" s="706"/>
      <c r="K44" s="706"/>
      <c r="L44" s="90">
        <f t="shared" si="2"/>
        <v>2.5</v>
      </c>
      <c r="M44" s="91">
        <f>Insumos!E21</f>
        <v>30</v>
      </c>
      <c r="N44" s="92" t="str">
        <f>Insumos!F21</f>
        <v>Anual</v>
      </c>
      <c r="O44" s="93">
        <f t="shared" si="3"/>
        <v>12</v>
      </c>
      <c r="V44" s="74"/>
    </row>
    <row r="45" spans="1:22" s="26" customFormat="1" ht="41.25" hidden="1" customHeight="1" x14ac:dyDescent="0.3">
      <c r="A45" s="86">
        <v>14</v>
      </c>
      <c r="B45" s="711" t="str">
        <f>Insumos!B22</f>
        <v>Esponja Para Lavagem De Louças E Limpeza Em Geral, Dupla Face Sintética, Um Lado Em Espuma Poliuretano E Outro Em Fibra Sintética Abrasiva, Antibacteriana, Formato Retangular, Medindo Aproximadamente 110mm X 75mm X 20mm De Espessura. Pacote com 4 unidades.</v>
      </c>
      <c r="C45" s="711"/>
      <c r="D45" s="711"/>
      <c r="E45" s="276" t="str">
        <f>Insumos!C22</f>
        <v>pacote</v>
      </c>
      <c r="F45" s="276" t="str">
        <f>Insumos!D22</f>
        <v>Scotch-Brite</v>
      </c>
      <c r="G45" s="88">
        <f t="shared" si="4"/>
        <v>6</v>
      </c>
      <c r="H45" s="89">
        <f>G45*Insumos!G22</f>
        <v>38.400000000000006</v>
      </c>
      <c r="I45" s="706" t="str">
        <f t="shared" si="1"/>
        <v>Fornecimento igual ao estimado mensalmente</v>
      </c>
      <c r="J45" s="706"/>
      <c r="K45" s="706"/>
      <c r="L45" s="90">
        <f t="shared" si="2"/>
        <v>6</v>
      </c>
      <c r="M45" s="91">
        <f>Insumos!E22</f>
        <v>6</v>
      </c>
      <c r="N45" s="92" t="str">
        <f>Insumos!F22</f>
        <v>Mensal</v>
      </c>
      <c r="O45" s="93">
        <f t="shared" si="3"/>
        <v>1</v>
      </c>
      <c r="V45" s="74"/>
    </row>
    <row r="46" spans="1:22" s="26" customFormat="1" ht="29.25" hidden="1" customHeight="1" x14ac:dyDescent="0.3">
      <c r="A46" s="86">
        <v>15</v>
      </c>
      <c r="B46" s="711" t="str">
        <f>Insumos!B23</f>
        <v>Esponja de LÃ DE AÇO, composição básica: aço carbono abrasivo, p/ limpeza em geral, acondicionada em embalagem plástica original do fabricante, peso líquido aproximado de 60g, pacote c/ 08 unidades.</v>
      </c>
      <c r="C46" s="711"/>
      <c r="D46" s="711"/>
      <c r="E46" s="276" t="str">
        <f>Insumos!C23</f>
        <v>pacote</v>
      </c>
      <c r="F46" s="276" t="str">
        <f>Insumos!D23</f>
        <v>Bombril</v>
      </c>
      <c r="G46" s="88">
        <f t="shared" si="4"/>
        <v>4</v>
      </c>
      <c r="H46" s="89">
        <f>G46*Insumos!G23</f>
        <v>11.76</v>
      </c>
      <c r="I46" s="706" t="str">
        <f t="shared" si="1"/>
        <v>Fornecimento igual ao estimado mensalmente</v>
      </c>
      <c r="J46" s="706"/>
      <c r="K46" s="706"/>
      <c r="L46" s="90">
        <f t="shared" si="2"/>
        <v>4</v>
      </c>
      <c r="M46" s="91">
        <f>Insumos!E23</f>
        <v>4</v>
      </c>
      <c r="N46" s="92" t="str">
        <f>Insumos!F23</f>
        <v>Mensal</v>
      </c>
      <c r="O46" s="93">
        <f t="shared" si="3"/>
        <v>1</v>
      </c>
      <c r="V46" s="74"/>
    </row>
    <row r="47" spans="1:22" s="26" customFormat="1" ht="79.5" hidden="1" customHeight="1" x14ac:dyDescent="0.3">
      <c r="A47" s="86">
        <v>16</v>
      </c>
      <c r="B47" s="711" t="str">
        <f>Insumos!B24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7" s="711"/>
      <c r="D47" s="711"/>
      <c r="E47" s="276" t="str">
        <f>Insumos!C24</f>
        <v>unid.</v>
      </c>
      <c r="F47" s="276" t="str">
        <f>Insumos!D24</f>
        <v>Intextil</v>
      </c>
      <c r="G47" s="88">
        <f t="shared" si="4"/>
        <v>24</v>
      </c>
      <c r="H47" s="89">
        <f>G47*Insumos!G24</f>
        <v>102.72</v>
      </c>
      <c r="I47" s="706" t="str">
        <f t="shared" si="1"/>
        <v>Fornecimento igual ao estimado mensalmente</v>
      </c>
      <c r="J47" s="706"/>
      <c r="K47" s="706"/>
      <c r="L47" s="90">
        <f t="shared" si="2"/>
        <v>24</v>
      </c>
      <c r="M47" s="91">
        <f>Insumos!E24</f>
        <v>24</v>
      </c>
      <c r="N47" s="92" t="str">
        <f>Insumos!F24</f>
        <v>Mensal</v>
      </c>
      <c r="O47" s="93">
        <f t="shared" si="3"/>
        <v>1</v>
      </c>
      <c r="V47" s="74"/>
    </row>
    <row r="48" spans="1:22" s="26" customFormat="1" ht="28.5" hidden="1" customHeight="1" x14ac:dyDescent="0.3">
      <c r="A48" s="86">
        <v>17</v>
      </c>
      <c r="B48" s="711" t="str">
        <f>Insumos!B25</f>
        <v>Funil, material plástico, uso doméstico, diâmetro nominal 120 mm, características adicionais branco, com pegador.</v>
      </c>
      <c r="C48" s="711"/>
      <c r="D48" s="711"/>
      <c r="E48" s="276" t="str">
        <f>Insumos!C25</f>
        <v>unid.</v>
      </c>
      <c r="F48" s="276" t="str">
        <f>Insumos!D25</f>
        <v>Plasútil</v>
      </c>
      <c r="G48" s="88">
        <f t="shared" si="4"/>
        <v>0.41666666666666669</v>
      </c>
      <c r="H48" s="89">
        <f>G48*Insumos!G25</f>
        <v>3.85</v>
      </c>
      <c r="I48" s="706" t="str">
        <f t="shared" si="1"/>
        <v>Fornecimento igual ao estimado mensalmente</v>
      </c>
      <c r="J48" s="706"/>
      <c r="K48" s="706"/>
      <c r="L48" s="90">
        <f t="shared" si="2"/>
        <v>0.41666666666666669</v>
      </c>
      <c r="M48" s="91">
        <f>Insumos!E25</f>
        <v>5</v>
      </c>
      <c r="N48" s="92" t="str">
        <f>Insumos!F25</f>
        <v>Anual</v>
      </c>
      <c r="O48" s="93">
        <f t="shared" si="3"/>
        <v>12</v>
      </c>
      <c r="V48" s="74"/>
    </row>
    <row r="49" spans="1:22" s="26" customFormat="1" ht="39.75" hidden="1" customHeight="1" x14ac:dyDescent="0.3">
      <c r="A49" s="86">
        <v>18</v>
      </c>
      <c r="B49" s="711" t="str">
        <f>Insumos!B26</f>
        <v>Kit limpador de vidro: Rodo 2 em 1 limpa vidros com cabo telescópico extensor de 06 (seis) metros. Extremidade composta por lavador de acrílico e limpador com lâmina de borracha esponja de limpeza de aproximadamente 35 cm. Utilizado para limpeza de vidros e vidraças.</v>
      </c>
      <c r="C49" s="711"/>
      <c r="D49" s="711"/>
      <c r="E49" s="276" t="str">
        <f>Insumos!C26</f>
        <v>unid.</v>
      </c>
      <c r="F49" s="276" t="str">
        <f>Insumos!D26</f>
        <v>Bralimpia</v>
      </c>
      <c r="G49" s="88">
        <f t="shared" si="4"/>
        <v>0.33333333333333331</v>
      </c>
      <c r="H49" s="89">
        <f>G49*Insumos!G26</f>
        <v>55.216666666666669</v>
      </c>
      <c r="I49" s="706" t="str">
        <f t="shared" si="1"/>
        <v>Fornecimento igual ao estimado mensalmente</v>
      </c>
      <c r="J49" s="706"/>
      <c r="K49" s="706"/>
      <c r="L49" s="90">
        <f t="shared" si="2"/>
        <v>0.33333333333333331</v>
      </c>
      <c r="M49" s="91">
        <f>Insumos!E26</f>
        <v>2</v>
      </c>
      <c r="N49" s="92" t="str">
        <f>Insumos!F26</f>
        <v>Semestral</v>
      </c>
      <c r="O49" s="93">
        <f t="shared" si="3"/>
        <v>6</v>
      </c>
      <c r="V49" s="74"/>
    </row>
    <row r="50" spans="1:22" s="26" customFormat="1" ht="55.5" hidden="1" customHeight="1" x14ac:dyDescent="0.3">
      <c r="A50" s="86">
        <v>19</v>
      </c>
      <c r="B50" s="711" t="str">
        <f>Insumos!B27</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50" s="711"/>
      <c r="D50" s="711"/>
      <c r="E50" s="276" t="str">
        <f>Insumos!C27</f>
        <v>galão</v>
      </c>
      <c r="F50" s="276" t="str">
        <f>Insumos!D27</f>
        <v>Pedrex</v>
      </c>
      <c r="G50" s="88">
        <f t="shared" si="4"/>
        <v>1.6666666666666667</v>
      </c>
      <c r="H50" s="89">
        <f>G50*Insumos!G27</f>
        <v>97.25</v>
      </c>
      <c r="I50" s="706" t="str">
        <f t="shared" si="1"/>
        <v>Fornecimento igual ao estimado mensalmente</v>
      </c>
      <c r="J50" s="706"/>
      <c r="K50" s="706"/>
      <c r="L50" s="90">
        <f t="shared" si="2"/>
        <v>1.6666666666666667</v>
      </c>
      <c r="M50" s="91">
        <f>Insumos!E27</f>
        <v>5</v>
      </c>
      <c r="N50" s="92" t="str">
        <f>Insumos!F27</f>
        <v>Trimestral</v>
      </c>
      <c r="O50" s="93">
        <f t="shared" si="3"/>
        <v>3</v>
      </c>
      <c r="V50" s="74"/>
    </row>
    <row r="51" spans="1:22" s="26" customFormat="1" ht="40.5" hidden="1" customHeight="1" x14ac:dyDescent="0.3">
      <c r="A51" s="86">
        <v>20</v>
      </c>
      <c r="B51" s="711" t="str">
        <f>Insumos!B28</f>
        <v>Lustra Móveis, Embalagem de 200 ml, Emulsão aquosa cremosa, perfumada, para aplicação em móveis e superfícies lisas. aromas diversos. frasco plástico de 200ml com bico econômico. embalagem certificada pelo INMETRO contendo data de fabricação, validade.</v>
      </c>
      <c r="C51" s="711"/>
      <c r="D51" s="711"/>
      <c r="E51" s="276" t="str">
        <f>Insumos!C28</f>
        <v>Unid.</v>
      </c>
      <c r="F51" s="276" t="str">
        <f>Insumos!D28</f>
        <v>Ypê ou Minuano</v>
      </c>
      <c r="G51" s="88">
        <f t="shared" si="4"/>
        <v>2</v>
      </c>
      <c r="H51" s="89">
        <f>G51*Insumos!G28</f>
        <v>13.64</v>
      </c>
      <c r="I51" s="706" t="str">
        <f t="shared" si="1"/>
        <v>Fornecimento igual ao estimado mensalmente</v>
      </c>
      <c r="J51" s="706"/>
      <c r="K51" s="706"/>
      <c r="L51" s="90">
        <f t="shared" si="2"/>
        <v>2</v>
      </c>
      <c r="M51" s="91">
        <f>Insumos!E28</f>
        <v>2</v>
      </c>
      <c r="N51" s="92" t="str">
        <f>Insumos!F28</f>
        <v>Mensal</v>
      </c>
      <c r="O51" s="93">
        <f t="shared" si="3"/>
        <v>1</v>
      </c>
      <c r="V51" s="74"/>
    </row>
    <row r="52" spans="1:22" s="26" customFormat="1" ht="39.75" hidden="1" customHeight="1" x14ac:dyDescent="0.3">
      <c r="A52" s="86">
        <v>21</v>
      </c>
      <c r="B52" s="711" t="str">
        <f>Insumos!B29</f>
        <v>Luva Segurança Com Forro. Material: 100% Látex Nitrílico, Tamanho: M ou G, Aplicação: Manuseio Reagente Químico E Radioativo, Características Adicionais: Com Forro, Sem Talco, Pulso Com Bainha, Modelo: Palma Antiderrapante, Cor: Verde, Tipo: Ambidestra</v>
      </c>
      <c r="C52" s="711"/>
      <c r="D52" s="711"/>
      <c r="E52" s="276" t="str">
        <f>Insumos!C29</f>
        <v>Par</v>
      </c>
      <c r="F52" s="276" t="str">
        <f>Insumos!D29</f>
        <v>Bettanin</v>
      </c>
      <c r="G52" s="88">
        <f t="shared" si="4"/>
        <v>35</v>
      </c>
      <c r="H52" s="89">
        <f>G52*Insumos!G29</f>
        <v>468.3</v>
      </c>
      <c r="I52" s="706" t="str">
        <f t="shared" si="1"/>
        <v>Fornecimento igual ao estimado mensalmente</v>
      </c>
      <c r="J52" s="706"/>
      <c r="K52" s="706"/>
      <c r="L52" s="90">
        <f t="shared" si="2"/>
        <v>35</v>
      </c>
      <c r="M52" s="91">
        <f>Insumos!E29</f>
        <v>35</v>
      </c>
      <c r="N52" s="92" t="str">
        <f>Insumos!F29</f>
        <v>Mensal</v>
      </c>
      <c r="O52" s="93">
        <f t="shared" si="3"/>
        <v>1</v>
      </c>
      <c r="V52" s="74"/>
    </row>
    <row r="53" spans="1:22" s="26" customFormat="1" ht="30" hidden="1" customHeight="1" x14ac:dyDescent="0.3">
      <c r="A53" s="86">
        <v>22</v>
      </c>
      <c r="B53" s="711" t="str">
        <f>Insumos!B30</f>
        <v>Mangueira para jardim, com 50 metros de extensão ou mais, antitorção, com engate de torneira e esguicho jato regulável</v>
      </c>
      <c r="C53" s="711"/>
      <c r="D53" s="711"/>
      <c r="E53" s="276" t="str">
        <f>Insumos!C30</f>
        <v>unid.</v>
      </c>
      <c r="F53" s="276" t="str">
        <f>Insumos!D30</f>
        <v>Tramontina</v>
      </c>
      <c r="G53" s="88">
        <f t="shared" si="4"/>
        <v>0.16666666666666666</v>
      </c>
      <c r="H53" s="89">
        <f>G53*Insumos!G30</f>
        <v>24.831666666666667</v>
      </c>
      <c r="I53" s="706" t="str">
        <f t="shared" si="1"/>
        <v>Fornecimento igual ao estimado mensalmente</v>
      </c>
      <c r="J53" s="706"/>
      <c r="K53" s="706"/>
      <c r="L53" s="90">
        <f t="shared" si="2"/>
        <v>0.16666666666666666</v>
      </c>
      <c r="M53" s="91">
        <f>Insumos!E30</f>
        <v>2</v>
      </c>
      <c r="N53" s="92" t="str">
        <f>Insumos!F30</f>
        <v>Anual</v>
      </c>
      <c r="O53" s="93">
        <f t="shared" si="3"/>
        <v>12</v>
      </c>
      <c r="V53" s="74"/>
    </row>
    <row r="54" spans="1:22" s="26" customFormat="1" ht="17.25" hidden="1" customHeight="1" x14ac:dyDescent="0.3">
      <c r="A54" s="86">
        <v>23</v>
      </c>
      <c r="B54" s="711" t="str">
        <f>Insumos!B31</f>
        <v>Pá p/ lixo em plástico resistente c/ cabo de madeira de aprox. 60cm de altura na vertical</v>
      </c>
      <c r="C54" s="711"/>
      <c r="D54" s="711"/>
      <c r="E54" s="276" t="str">
        <f>Insumos!C31</f>
        <v>unid.</v>
      </c>
      <c r="F54" s="276" t="str">
        <f>Insumos!D31</f>
        <v>Bettanin</v>
      </c>
      <c r="G54" s="88">
        <f t="shared" si="4"/>
        <v>6.666666666666667</v>
      </c>
      <c r="H54" s="89">
        <f>G54*Insumos!G31</f>
        <v>87.266666666666666</v>
      </c>
      <c r="I54" s="706" t="str">
        <f t="shared" si="1"/>
        <v>Fornecimento igual ao estimado mensalmente</v>
      </c>
      <c r="J54" s="706"/>
      <c r="K54" s="706"/>
      <c r="L54" s="90">
        <f t="shared" si="2"/>
        <v>6.666666666666667</v>
      </c>
      <c r="M54" s="91">
        <f>Insumos!E31</f>
        <v>20</v>
      </c>
      <c r="N54" s="92" t="str">
        <f>Insumos!F31</f>
        <v>Trimestral</v>
      </c>
      <c r="O54" s="93">
        <f t="shared" si="3"/>
        <v>3</v>
      </c>
      <c r="V54" s="74"/>
    </row>
    <row r="55" spans="1:22" s="26" customFormat="1" ht="38.25" hidden="1" customHeight="1" x14ac:dyDescent="0.3">
      <c r="A55" s="86">
        <v>24</v>
      </c>
      <c r="B55" s="711" t="str">
        <f>Insumos!B32</f>
        <v>Papel higiênico branco, folha dupla, de alta qualidade, com dimensões 10cm X 30m, com a marca do fabricante e indicação na embalagem, absorvente e resistente, fardo com 4 rolos de 30 metros. Tipo Neve ou de melhor qualidade.</v>
      </c>
      <c r="C55" s="711"/>
      <c r="D55" s="711"/>
      <c r="E55" s="276" t="str">
        <f>Insumos!C32</f>
        <v>Fardo com 4 rolos</v>
      </c>
      <c r="F55" s="276" t="str">
        <f>Insumos!D32</f>
        <v>Neve</v>
      </c>
      <c r="G55" s="88">
        <f t="shared" si="4"/>
        <v>240</v>
      </c>
      <c r="H55" s="89">
        <f>G55*Insumos!G32</f>
        <v>900</v>
      </c>
      <c r="I55" s="706" t="str">
        <f t="shared" si="1"/>
        <v>Fornecimento igual ao estimado mensalmente</v>
      </c>
      <c r="J55" s="706"/>
      <c r="K55" s="706"/>
      <c r="L55" s="90">
        <f t="shared" si="2"/>
        <v>240</v>
      </c>
      <c r="M55" s="91">
        <f>Insumos!E32</f>
        <v>240</v>
      </c>
      <c r="N55" s="92" t="str">
        <f>Insumos!F32</f>
        <v>Mensal</v>
      </c>
      <c r="O55" s="93">
        <f t="shared" si="3"/>
        <v>1</v>
      </c>
      <c r="V55" s="74"/>
    </row>
    <row r="56" spans="1:22" s="26" customFormat="1" ht="38.25" hidden="1" customHeight="1" x14ac:dyDescent="0.3">
      <c r="A56" s="86">
        <v>25</v>
      </c>
      <c r="B56" s="711" t="str">
        <f>Insumos!B33</f>
        <v>Papel Toalha Interfolhado, 2 dobras, 100% fibras celulósicas, branco extra luxo, sem pintas ou outros tipos de sujidades, boa qualidade , medindo aproximadamente 23cm x 23 cm , acondicionado em caixa c/1000 folhas.</v>
      </c>
      <c r="C56" s="711"/>
      <c r="D56" s="711"/>
      <c r="E56" s="276" t="str">
        <f>Insumos!C33</f>
        <v>caixa</v>
      </c>
      <c r="F56" s="276" t="str">
        <f>Insumos!D33</f>
        <v>Economy ou similar</v>
      </c>
      <c r="G56" s="88">
        <f t="shared" si="4"/>
        <v>90</v>
      </c>
      <c r="H56" s="89">
        <f>G56*Insumos!G33</f>
        <v>2060.1</v>
      </c>
      <c r="I56" s="706" t="str">
        <f t="shared" si="1"/>
        <v>Fornecimento igual ao estimado mensalmente</v>
      </c>
      <c r="J56" s="706"/>
      <c r="K56" s="706"/>
      <c r="L56" s="90">
        <f t="shared" si="2"/>
        <v>90</v>
      </c>
      <c r="M56" s="91">
        <f>Insumos!E33</f>
        <v>90</v>
      </c>
      <c r="N56" s="92" t="str">
        <f>Insumos!F33</f>
        <v>Mensal</v>
      </c>
      <c r="O56" s="93">
        <f t="shared" si="3"/>
        <v>1</v>
      </c>
      <c r="V56" s="74"/>
    </row>
    <row r="57" spans="1:22" s="26" customFormat="1" ht="18" hidden="1" customHeight="1" x14ac:dyDescent="0.3">
      <c r="A57" s="86">
        <v>26</v>
      </c>
      <c r="B57" s="711" t="str">
        <f>Insumos!B34</f>
        <v>Pedra sanitária c/ 25g - com suporte para fixar no vaso sanitário. Desinfetante sanitário em pedra 25 g</v>
      </c>
      <c r="C57" s="711"/>
      <c r="D57" s="711"/>
      <c r="E57" s="276" t="str">
        <f>Insumos!C34</f>
        <v>unid.</v>
      </c>
      <c r="F57" s="276" t="str">
        <f>Insumos!D34</f>
        <v>Harpic, Pato</v>
      </c>
      <c r="G57" s="88">
        <f t="shared" si="4"/>
        <v>200</v>
      </c>
      <c r="H57" s="89">
        <f>G57*Insumos!G34</f>
        <v>482</v>
      </c>
      <c r="I57" s="706" t="str">
        <f t="shared" si="1"/>
        <v>Fornecimento igual ao estimado mensalmente</v>
      </c>
      <c r="J57" s="706"/>
      <c r="K57" s="706"/>
      <c r="L57" s="90">
        <f t="shared" si="2"/>
        <v>200</v>
      </c>
      <c r="M57" s="91">
        <f>Insumos!E34</f>
        <v>200</v>
      </c>
      <c r="N57" s="92" t="str">
        <f>Insumos!F34</f>
        <v>Mensal</v>
      </c>
      <c r="O57" s="93">
        <f t="shared" si="3"/>
        <v>1</v>
      </c>
      <c r="V57" s="74"/>
    </row>
    <row r="58" spans="1:22" s="26" customFormat="1" ht="24.75" hidden="1" customHeight="1" x14ac:dyDescent="0.3">
      <c r="A58" s="86">
        <v>27</v>
      </c>
      <c r="B58" s="711" t="str">
        <f>Insumos!B35</f>
        <v>Rodo Plástico e borracha dupla expandida de 40cm de largura, acompanha cabo de madeira plastificado de aproximadamente 1,26m, com garras pontiagudas nas laterais para melhor fixar panos de chão.</v>
      </c>
      <c r="C58" s="711"/>
      <c r="D58" s="711"/>
      <c r="E58" s="276" t="str">
        <f>Insumos!C35</f>
        <v>unid.</v>
      </c>
      <c r="F58" s="276" t="str">
        <f>Insumos!D35</f>
        <v>Brubalar</v>
      </c>
      <c r="G58" s="88">
        <f t="shared" si="4"/>
        <v>6.666666666666667</v>
      </c>
      <c r="H58" s="89">
        <f>G58*Insumos!G35</f>
        <v>132.66666666666666</v>
      </c>
      <c r="I58" s="706" t="str">
        <f t="shared" si="1"/>
        <v>Fornecimento igual ao estimado mensalmente</v>
      </c>
      <c r="J58" s="706"/>
      <c r="K58" s="706"/>
      <c r="L58" s="90">
        <f t="shared" si="2"/>
        <v>6.666666666666667</v>
      </c>
      <c r="M58" s="91">
        <f>Insumos!E35</f>
        <v>20</v>
      </c>
      <c r="N58" s="92" t="str">
        <f>Insumos!F35</f>
        <v>Trimestral</v>
      </c>
      <c r="O58" s="93">
        <f t="shared" si="3"/>
        <v>3</v>
      </c>
      <c r="V58" s="74"/>
    </row>
    <row r="59" spans="1:22" s="26" customFormat="1" ht="25.5" hidden="1" customHeight="1" x14ac:dyDescent="0.3">
      <c r="A59" s="86">
        <v>28</v>
      </c>
      <c r="B59" s="711" t="str">
        <f>Insumos!B36</f>
        <v>Rodo Plástico e borracha dupla expandida de 60cm, resistente e durável, que puxa e seca a água, feita em EVA e cepo em polipropileno com garras pontiagudas nas laterais para melhor fixar panos de chão.</v>
      </c>
      <c r="C59" s="711"/>
      <c r="D59" s="711"/>
      <c r="E59" s="276" t="str">
        <f>Insumos!C36</f>
        <v>Unid.</v>
      </c>
      <c r="F59" s="276" t="str">
        <f>Insumos!D36</f>
        <v>Brubalar</v>
      </c>
      <c r="G59" s="88">
        <f t="shared" si="4"/>
        <v>6.666666666666667</v>
      </c>
      <c r="H59" s="89">
        <f>G59*Insumos!G36</f>
        <v>171.13333333333335</v>
      </c>
      <c r="I59" s="706" t="str">
        <f t="shared" si="1"/>
        <v>Fornecimento igual ao estimado mensalmente</v>
      </c>
      <c r="J59" s="706"/>
      <c r="K59" s="706"/>
      <c r="L59" s="90">
        <f t="shared" si="2"/>
        <v>6.666666666666667</v>
      </c>
      <c r="M59" s="91">
        <f>Insumos!E36</f>
        <v>20</v>
      </c>
      <c r="N59" s="92" t="str">
        <f>Insumos!F36</f>
        <v>Trimestral</v>
      </c>
      <c r="O59" s="93">
        <f t="shared" si="3"/>
        <v>3</v>
      </c>
      <c r="V59" s="74"/>
    </row>
    <row r="60" spans="1:22" s="26" customFormat="1" hidden="1" x14ac:dyDescent="0.3">
      <c r="A60" s="86">
        <v>29</v>
      </c>
      <c r="B60" s="711" t="str">
        <f>Insumos!B37</f>
        <v xml:space="preserve">Rodo Mop Limpa Vidros Cabo Extensor Telescópio - Dupla Face </v>
      </c>
      <c r="C60" s="711"/>
      <c r="D60" s="711"/>
      <c r="E60" s="276" t="str">
        <f>Insumos!C37</f>
        <v>Unid.</v>
      </c>
      <c r="F60" s="276">
        <f>Insumos!D37</f>
        <v>0</v>
      </c>
      <c r="G60" s="88">
        <f t="shared" si="4"/>
        <v>0.33333333333333331</v>
      </c>
      <c r="H60" s="89">
        <f>G60*Insumos!G37</f>
        <v>10.633333333333333</v>
      </c>
      <c r="I60" s="706" t="str">
        <f t="shared" si="1"/>
        <v>Fornecimento igual ao estimado mensalmente</v>
      </c>
      <c r="J60" s="706"/>
      <c r="K60" s="706"/>
      <c r="L60" s="90">
        <f t="shared" si="2"/>
        <v>0.33333333333333331</v>
      </c>
      <c r="M60" s="91">
        <f>Insumos!E37</f>
        <v>2</v>
      </c>
      <c r="N60" s="92" t="str">
        <f>Insumos!F37</f>
        <v>Semestral</v>
      </c>
      <c r="O60" s="93">
        <f t="shared" si="3"/>
        <v>6</v>
      </c>
      <c r="V60" s="74"/>
    </row>
    <row r="61" spans="1:22" s="26" customFormat="1" hidden="1" x14ac:dyDescent="0.3">
      <c r="A61" s="86">
        <v>30</v>
      </c>
      <c r="B61" s="711" t="str">
        <f>Insumos!B38</f>
        <v>Sabão em barra glicerinado - cor neutra. Pacote com 5 de 200g cada unidade.</v>
      </c>
      <c r="C61" s="711"/>
      <c r="D61" s="711"/>
      <c r="E61" s="276" t="str">
        <f>Insumos!C38</f>
        <v>pacote</v>
      </c>
      <c r="F61" s="276" t="str">
        <f>Insumos!D38</f>
        <v>Minuano</v>
      </c>
      <c r="G61" s="88">
        <f t="shared" si="4"/>
        <v>5</v>
      </c>
      <c r="H61" s="89">
        <f>G61*Insumos!G38</f>
        <v>60</v>
      </c>
      <c r="I61" s="706" t="str">
        <f t="shared" si="1"/>
        <v>Fornecimento igual ao estimado mensalmente</v>
      </c>
      <c r="J61" s="706"/>
      <c r="K61" s="706"/>
      <c r="L61" s="90">
        <f t="shared" si="2"/>
        <v>5</v>
      </c>
      <c r="M61" s="91">
        <f>Insumos!E38</f>
        <v>5</v>
      </c>
      <c r="N61" s="92" t="str">
        <f>Insumos!F38</f>
        <v>Mensal</v>
      </c>
      <c r="O61" s="93">
        <f t="shared" si="3"/>
        <v>1</v>
      </c>
      <c r="V61" s="74"/>
    </row>
    <row r="62" spans="1:22" s="26" customFormat="1" ht="31.95" hidden="1" customHeight="1" x14ac:dyDescent="0.3">
      <c r="A62" s="86">
        <v>31</v>
      </c>
      <c r="B62" s="711" t="str">
        <f>Insumos!B39</f>
        <v>Sabão em Pó – Caixa de 0,8 a 1Kg. Sabão em pó, convencional, de primeira linha. Para lavar roupas e limpeza em geral.</v>
      </c>
      <c r="C62" s="711"/>
      <c r="D62" s="711"/>
      <c r="E62" s="276" t="str">
        <f>Insumos!C39</f>
        <v>unid.</v>
      </c>
      <c r="F62" s="276" t="str">
        <f>Insumos!D39</f>
        <v>Omo ou similar</v>
      </c>
      <c r="G62" s="88">
        <f t="shared" si="4"/>
        <v>4</v>
      </c>
      <c r="H62" s="89">
        <f>G62*Insumos!G39</f>
        <v>62.4</v>
      </c>
      <c r="I62" s="706" t="str">
        <f t="shared" si="1"/>
        <v>Fornecimento igual ao estimado mensalmente</v>
      </c>
      <c r="J62" s="706"/>
      <c r="K62" s="706"/>
      <c r="L62" s="90">
        <f t="shared" si="2"/>
        <v>4</v>
      </c>
      <c r="M62" s="91">
        <f>Insumos!E39</f>
        <v>4</v>
      </c>
      <c r="N62" s="92" t="str">
        <f>Insumos!F39</f>
        <v>Mensal</v>
      </c>
      <c r="O62" s="93">
        <f t="shared" si="3"/>
        <v>1</v>
      </c>
      <c r="V62" s="74"/>
    </row>
    <row r="63" spans="1:22" s="26" customFormat="1" hidden="1" x14ac:dyDescent="0.3">
      <c r="A63" s="86">
        <v>32</v>
      </c>
      <c r="B63" s="711" t="str">
        <f>Insumos!B40</f>
        <v>Sapólio em pó 300g</v>
      </c>
      <c r="C63" s="711"/>
      <c r="D63" s="711"/>
      <c r="E63" s="276" t="str">
        <f>Insumos!C40</f>
        <v>unid.</v>
      </c>
      <c r="F63" s="276" t="str">
        <f>Insumos!D40</f>
        <v>Bombril</v>
      </c>
      <c r="G63" s="88">
        <f t="shared" si="4"/>
        <v>20</v>
      </c>
      <c r="H63" s="89">
        <f>G63*Insumos!G40</f>
        <v>124.80000000000001</v>
      </c>
      <c r="I63" s="706" t="str">
        <f t="shared" ref="I63:I84" si="5">IF(G63&lt;L63,"Fornecimento inferior ao estimado mensalmente",IF(G63=L63,"Fornecimento igual ao estimado mensalmente",IF(G63&gt;L63,"Fornecimento superior ao estimado mensalmente",)))</f>
        <v>Fornecimento igual ao estimado mensalmente</v>
      </c>
      <c r="J63" s="706"/>
      <c r="K63" s="706"/>
      <c r="L63" s="90">
        <f t="shared" ref="L63:L84" si="6">M63/O63</f>
        <v>20</v>
      </c>
      <c r="M63" s="91">
        <f>Insumos!E40</f>
        <v>20</v>
      </c>
      <c r="N63" s="92" t="str">
        <f>Insumos!F40</f>
        <v>Mensal</v>
      </c>
      <c r="O63" s="93">
        <f t="shared" ref="O63:O84" si="7">IF(N63="MENSAL",1,IF(N63="BIMESTRAL",2,IF(N63="TRIMESTRAL",3,IF(N63="QUADRIMESTRAL",4,IF(N63="SEMESTRAL",6,IF(N63="ANUAL",12,IF(N63="BIENAL",24,"")))))))</f>
        <v>1</v>
      </c>
      <c r="V63" s="74"/>
    </row>
    <row r="64" spans="1:22" s="26" customFormat="1" ht="24.75" hidden="1" customHeight="1" x14ac:dyDescent="0.3">
      <c r="A64" s="86">
        <v>33</v>
      </c>
      <c r="B64" s="711" t="str">
        <f>Insumos!B41</f>
        <v>Sabonete líquido Concentrado, cremoso perolizado, pronto pra uso, aroma erva-doce, lavanda ou similar, galão de 05 litros.</v>
      </c>
      <c r="C64" s="711"/>
      <c r="D64" s="711"/>
      <c r="E64" s="276" t="str">
        <f>Insumos!C41</f>
        <v>galão</v>
      </c>
      <c r="F64" s="276" t="str">
        <f>Insumos!D41</f>
        <v>Nobre, Start, Ikebana</v>
      </c>
      <c r="G64" s="88">
        <f t="shared" si="4"/>
        <v>15</v>
      </c>
      <c r="H64" s="89">
        <f>G64*Insumos!G41</f>
        <v>356.40000000000003</v>
      </c>
      <c r="I64" s="706" t="str">
        <f t="shared" si="5"/>
        <v>Fornecimento igual ao estimado mensalmente</v>
      </c>
      <c r="J64" s="706"/>
      <c r="K64" s="706"/>
      <c r="L64" s="90">
        <f t="shared" si="6"/>
        <v>15</v>
      </c>
      <c r="M64" s="91">
        <f>Insumos!E41</f>
        <v>15</v>
      </c>
      <c r="N64" s="92" t="str">
        <f>Insumos!F41</f>
        <v>Mensal</v>
      </c>
      <c r="O64" s="93">
        <f t="shared" si="7"/>
        <v>1</v>
      </c>
      <c r="V64" s="74"/>
    </row>
    <row r="65" spans="1:23" s="26" customFormat="1" ht="18" hidden="1" customHeight="1" x14ac:dyDescent="0.3">
      <c r="A65" s="86">
        <v>34</v>
      </c>
      <c r="B65" s="711" t="str">
        <f>Insumos!B42</f>
        <v>Saco de Algodão Tipo: Alvejado, Tamanho: 60 X 80 CM, Cor: Branco, Características Adicionais: Dupla Face</v>
      </c>
      <c r="C65" s="711"/>
      <c r="D65" s="711"/>
      <c r="E65" s="276" t="str">
        <f>Insumos!C42</f>
        <v>unid.</v>
      </c>
      <c r="F65" s="276" t="str">
        <f>Insumos!D42</f>
        <v>Santa Margarida</v>
      </c>
      <c r="G65" s="88">
        <f t="shared" si="4"/>
        <v>70</v>
      </c>
      <c r="H65" s="89">
        <f>G65*Insumos!G42</f>
        <v>576.1</v>
      </c>
      <c r="I65" s="706" t="str">
        <f t="shared" si="5"/>
        <v>Fornecimento igual ao estimado mensalmente</v>
      </c>
      <c r="J65" s="706"/>
      <c r="K65" s="706"/>
      <c r="L65" s="90">
        <f t="shared" si="6"/>
        <v>70</v>
      </c>
      <c r="M65" s="91">
        <f>Insumos!E42</f>
        <v>70</v>
      </c>
      <c r="N65" s="92" t="str">
        <f>Insumos!F42</f>
        <v>Mensal</v>
      </c>
      <c r="O65" s="93">
        <f t="shared" si="7"/>
        <v>1</v>
      </c>
      <c r="V65" s="74"/>
    </row>
    <row r="66" spans="1:23" s="26" customFormat="1" ht="39.75" hidden="1" customHeight="1" x14ac:dyDescent="0.3">
      <c r="A66" s="86">
        <v>35</v>
      </c>
      <c r="B66" s="711" t="str">
        <f>Insumos!B43</f>
        <v>Saco plástico reforçado para lixo em polietileno, com capacidade de 20 litros, com estanqueidade suficiente para que não haja vazamento de lixo líquido. com espessura mínima de 08 micra, na cor preta. Pacote com 100 unidades.</v>
      </c>
      <c r="C66" s="711"/>
      <c r="D66" s="711"/>
      <c r="E66" s="276" t="str">
        <f>Insumos!C43</f>
        <v>pacote</v>
      </c>
      <c r="F66" s="276" t="str">
        <f>Insumos!D43</f>
        <v>Altaplast</v>
      </c>
      <c r="G66" s="88">
        <f t="shared" si="4"/>
        <v>20</v>
      </c>
      <c r="H66" s="89">
        <f>G66*Insumos!G43</f>
        <v>329.79999999999995</v>
      </c>
      <c r="I66" s="706" t="str">
        <f t="shared" si="5"/>
        <v>Fornecimento igual ao estimado mensalmente</v>
      </c>
      <c r="J66" s="706"/>
      <c r="K66" s="706"/>
      <c r="L66" s="90">
        <f t="shared" si="6"/>
        <v>20</v>
      </c>
      <c r="M66" s="91">
        <f>Insumos!E43</f>
        <v>20</v>
      </c>
      <c r="N66" s="92" t="str">
        <f>Insumos!F43</f>
        <v>Mensal</v>
      </c>
      <c r="O66" s="93">
        <f t="shared" si="7"/>
        <v>1</v>
      </c>
      <c r="V66" s="74"/>
    </row>
    <row r="67" spans="1:23" s="26" customFormat="1" ht="36" hidden="1" customHeight="1" x14ac:dyDescent="0.3">
      <c r="A67" s="86">
        <v>36</v>
      </c>
      <c r="B67" s="711" t="str">
        <f>Insumos!B44</f>
        <v>Saco plástico reforçado para lixo em polietileno, com capacidade de 100 litros, com estanqueidade suficiente para que não haja vazamento de lixo líquido. com espessura mínima de 10 micra, na cor preta. Pacote com 100 unidades.</v>
      </c>
      <c r="C67" s="711"/>
      <c r="D67" s="711"/>
      <c r="E67" s="276" t="str">
        <f>Insumos!C44</f>
        <v>Pacote</v>
      </c>
      <c r="F67" s="276" t="str">
        <f>Insumos!D44</f>
        <v>Polisac</v>
      </c>
      <c r="G67" s="88">
        <f t="shared" si="4"/>
        <v>3</v>
      </c>
      <c r="H67" s="89">
        <f>G67*Insumos!G44</f>
        <v>180.48</v>
      </c>
      <c r="I67" s="706" t="str">
        <f t="shared" si="5"/>
        <v>Fornecimento igual ao estimado mensalmente</v>
      </c>
      <c r="J67" s="706"/>
      <c r="K67" s="706"/>
      <c r="L67" s="90">
        <f t="shared" si="6"/>
        <v>3</v>
      </c>
      <c r="M67" s="91">
        <f>Insumos!E44</f>
        <v>3</v>
      </c>
      <c r="N67" s="92" t="str">
        <f>Insumos!F44</f>
        <v>Mensal</v>
      </c>
      <c r="O67" s="93">
        <f t="shared" si="7"/>
        <v>1</v>
      </c>
      <c r="V67" s="74"/>
    </row>
    <row r="68" spans="1:23" s="26" customFormat="1" ht="26.25" hidden="1" customHeight="1" x14ac:dyDescent="0.3">
      <c r="A68" s="86">
        <v>37</v>
      </c>
      <c r="B68" s="711" t="str">
        <f>Insumos!B45</f>
        <v>Vassoura Material Cerdas: Pêlo Sintético, Comprimento Cepa: 60 CM, Tipo Cabo: Reforçado, Material Cabo: Madeira</v>
      </c>
      <c r="C68" s="711"/>
      <c r="D68" s="711"/>
      <c r="E68" s="276" t="str">
        <f>Insumos!C45</f>
        <v>unid.</v>
      </c>
      <c r="F68" s="276" t="str">
        <f>Insumos!D45</f>
        <v>Brubalar</v>
      </c>
      <c r="G68" s="88">
        <f t="shared" si="4"/>
        <v>1.6666666666666667</v>
      </c>
      <c r="H68" s="89">
        <f>G68*Insumos!G45</f>
        <v>30.366666666666667</v>
      </c>
      <c r="I68" s="706" t="str">
        <f t="shared" si="5"/>
        <v>Fornecimento igual ao estimado mensalmente</v>
      </c>
      <c r="J68" s="706"/>
      <c r="K68" s="706"/>
      <c r="L68" s="90">
        <f t="shared" si="6"/>
        <v>1.6666666666666667</v>
      </c>
      <c r="M68" s="91">
        <f>Insumos!E45</f>
        <v>5</v>
      </c>
      <c r="N68" s="92" t="str">
        <f>Insumos!F45</f>
        <v>Trimestral</v>
      </c>
      <c r="O68" s="93">
        <f t="shared" si="7"/>
        <v>3</v>
      </c>
      <c r="V68" s="74"/>
    </row>
    <row r="69" spans="1:23" s="26" customFormat="1" ht="24" hidden="1" customHeight="1" x14ac:dyDescent="0.3">
      <c r="A69" s="86">
        <v>38</v>
      </c>
      <c r="B69" s="711" t="str">
        <f>Insumos!B46</f>
        <v>Vassoura de nylon, cerdas c/ ponta desfiada, corpo de madeira medindo aproximadamente 25 x 05cm, c/ cabo de no mínimo 1,50m de comprimento</v>
      </c>
      <c r="C69" s="711"/>
      <c r="D69" s="711"/>
      <c r="E69" s="276" t="str">
        <f>Insumos!C46</f>
        <v>unid.</v>
      </c>
      <c r="F69" s="276" t="str">
        <f>Insumos!D46</f>
        <v>Oliveira e Azevedo</v>
      </c>
      <c r="G69" s="88">
        <f t="shared" si="4"/>
        <v>6.666666666666667</v>
      </c>
      <c r="H69" s="89">
        <f>G69*Insumos!G46</f>
        <v>109.73333333333335</v>
      </c>
      <c r="I69" s="706" t="str">
        <f t="shared" si="5"/>
        <v>Fornecimento igual ao estimado mensalmente</v>
      </c>
      <c r="J69" s="706"/>
      <c r="K69" s="706"/>
      <c r="L69" s="90">
        <f t="shared" si="6"/>
        <v>6.666666666666667</v>
      </c>
      <c r="M69" s="91">
        <f>Insumos!E46</f>
        <v>20</v>
      </c>
      <c r="N69" s="92" t="str">
        <f>Insumos!F46</f>
        <v>Trimestral</v>
      </c>
      <c r="O69" s="93">
        <f t="shared" si="7"/>
        <v>3</v>
      </c>
      <c r="V69" s="74"/>
    </row>
    <row r="70" spans="1:23" s="26" customFormat="1" ht="24.75" hidden="1" customHeight="1" x14ac:dyDescent="0.3">
      <c r="A70" s="86">
        <v>39</v>
      </c>
      <c r="B70" s="711" t="str">
        <f>Insumos!B47</f>
        <v>Vassoura Material Cerdas: Piaçava, Aplicação: Limpeza, Material Cepa: Madeira, Comprimento Cepa: 40 CM, Comprimento Cerdas: 13 CM, Largura Cepa: 5 CM, Altura Cepa: 4 CM, Material Cabo: Madeira</v>
      </c>
      <c r="C70" s="711"/>
      <c r="D70" s="711"/>
      <c r="E70" s="276" t="str">
        <f>Insumos!C47</f>
        <v>unid.</v>
      </c>
      <c r="F70" s="276" t="str">
        <f>Insumos!D47</f>
        <v>Noviça</v>
      </c>
      <c r="G70" s="88">
        <f t="shared" si="4"/>
        <v>3.3333333333333335</v>
      </c>
      <c r="H70" s="89">
        <f>G70*Insumos!G47</f>
        <v>60.333333333333343</v>
      </c>
      <c r="I70" s="706" t="str">
        <f t="shared" si="5"/>
        <v>Fornecimento igual ao estimado mensalmente</v>
      </c>
      <c r="J70" s="706"/>
      <c r="K70" s="706"/>
      <c r="L70" s="90">
        <f t="shared" si="6"/>
        <v>3.3333333333333335</v>
      </c>
      <c r="M70" s="91">
        <f>Insumos!E47</f>
        <v>10</v>
      </c>
      <c r="N70" s="92" t="str">
        <f>Insumos!F47</f>
        <v>Trimestral</v>
      </c>
      <c r="O70" s="93">
        <f t="shared" si="7"/>
        <v>3</v>
      </c>
      <c r="V70" s="74"/>
    </row>
    <row r="71" spans="1:23" s="26" customFormat="1" ht="34.5" hidden="1" customHeight="1" x14ac:dyDescent="0.3">
      <c r="A71" s="86">
        <v>40</v>
      </c>
      <c r="B71" s="711" t="str">
        <f>Insumos!B48</f>
        <v>Limpa Carpetes e Estofados 5 litros, produto líquido para limpeza profunda e remoção de manchas e odores em tecidos como carpetes, tapetes, cortinas e estofados. Embalagem: Galão de 5L com rótulo completo</v>
      </c>
      <c r="C71" s="711"/>
      <c r="D71" s="711"/>
      <c r="E71" s="276" t="str">
        <f>Insumos!C48</f>
        <v>galão</v>
      </c>
      <c r="F71" s="276" t="str">
        <f>Insumos!D48</f>
        <v>Star Spartan</v>
      </c>
      <c r="G71" s="88">
        <f t="shared" si="4"/>
        <v>0.16666666666666666</v>
      </c>
      <c r="H71" s="89">
        <f>G71*Insumos!G48</f>
        <v>7.2166666666666659</v>
      </c>
      <c r="I71" s="706" t="str">
        <f t="shared" si="5"/>
        <v>Fornecimento igual ao estimado mensalmente</v>
      </c>
      <c r="J71" s="706"/>
      <c r="K71" s="706"/>
      <c r="L71" s="90">
        <f t="shared" si="6"/>
        <v>0.16666666666666666</v>
      </c>
      <c r="M71" s="91">
        <f>Insumos!E48</f>
        <v>1</v>
      </c>
      <c r="N71" s="92" t="str">
        <f>Insumos!F48</f>
        <v>Semestral</v>
      </c>
      <c r="O71" s="93">
        <f t="shared" si="7"/>
        <v>6</v>
      </c>
      <c r="V71" s="74"/>
    </row>
    <row r="72" spans="1:23" s="26" customFormat="1" ht="43.95" hidden="1" customHeight="1" x14ac:dyDescent="0.3">
      <c r="A72" s="86">
        <v>41</v>
      </c>
      <c r="B72" s="711" t="str">
        <f>Insumos!B49</f>
        <v>Saco plástico reforçado para lixo em polietileno, com capacidade de 200 litros, com estanqueidade suficiente para que não haja vazamento de lixo líquido. com espessura mínima de 10 micra, na cor preta. Pacote com 100 unidades.</v>
      </c>
      <c r="C72" s="711"/>
      <c r="D72" s="711"/>
      <c r="E72" s="276" t="str">
        <f>Insumos!C49</f>
        <v>pacote</v>
      </c>
      <c r="F72" s="276" t="str">
        <f>Insumos!D49</f>
        <v>Altaplast</v>
      </c>
      <c r="G72" s="88">
        <f t="shared" si="4"/>
        <v>2</v>
      </c>
      <c r="H72" s="89">
        <f>G72*Insumos!G49</f>
        <v>102.42</v>
      </c>
      <c r="I72" s="706" t="str">
        <f t="shared" si="5"/>
        <v>Fornecimento igual ao estimado mensalmente</v>
      </c>
      <c r="J72" s="706"/>
      <c r="K72" s="706"/>
      <c r="L72" s="90">
        <f t="shared" si="6"/>
        <v>2</v>
      </c>
      <c r="M72" s="91">
        <f>Insumos!E49</f>
        <v>2</v>
      </c>
      <c r="N72" s="92" t="str">
        <f>Insumos!F49</f>
        <v>Mensal</v>
      </c>
      <c r="O72" s="93">
        <f t="shared" si="7"/>
        <v>1</v>
      </c>
      <c r="V72" s="74"/>
    </row>
    <row r="73" spans="1:23" s="26" customFormat="1" hidden="1" x14ac:dyDescent="0.3">
      <c r="A73" s="86">
        <v>42</v>
      </c>
      <c r="B73" s="711" t="str">
        <f>Insumos!B50</f>
        <v>Fibra de limpeza multiuso: produto não tecido à base de fibras sintéticas e mineral abrasivo unidos por resina á prova dàgua.</v>
      </c>
      <c r="C73" s="711"/>
      <c r="D73" s="711"/>
      <c r="E73" s="276" t="str">
        <f>Insumos!C50</f>
        <v>unid.</v>
      </c>
      <c r="F73" s="276" t="str">
        <f>Insumos!D50</f>
        <v>Scotch Brite</v>
      </c>
      <c r="G73" s="88">
        <f t="shared" si="4"/>
        <v>60</v>
      </c>
      <c r="H73" s="89">
        <f>G73*Insumos!G50</f>
        <v>153</v>
      </c>
      <c r="I73" s="706" t="str">
        <f t="shared" si="5"/>
        <v>Fornecimento igual ao estimado mensalmente</v>
      </c>
      <c r="J73" s="706"/>
      <c r="K73" s="706"/>
      <c r="L73" s="90">
        <f t="shared" si="6"/>
        <v>60</v>
      </c>
      <c r="M73" s="91">
        <f>Insumos!E50</f>
        <v>60</v>
      </c>
      <c r="N73" s="92" t="str">
        <f>Insumos!F50</f>
        <v>Mensal</v>
      </c>
      <c r="O73" s="93">
        <f t="shared" si="7"/>
        <v>1</v>
      </c>
      <c r="V73" s="74"/>
    </row>
    <row r="74" spans="1:23" s="26" customFormat="1" ht="41.25" hidden="1" customHeight="1" x14ac:dyDescent="0.3">
      <c r="A74" s="86">
        <v>43</v>
      </c>
      <c r="B74" s="711" t="str">
        <f>Insumos!B51</f>
        <v>Detergente líquido para louça, neutro, embalagem de 5 litros. Deverá conter glicerina e ser testado e aprovado por dermatologistas. Com fórmula biodegradável. Deve possuir registro na Anvisa/Ministério da Saúde, o qual deverá estar impresso no rótulo.</v>
      </c>
      <c r="C74" s="711"/>
      <c r="D74" s="711"/>
      <c r="E74" s="276" t="str">
        <f>Insumos!C51</f>
        <v>galão</v>
      </c>
      <c r="F74" s="276" t="str">
        <f>Insumos!D51</f>
        <v>Ypê, Limpol</v>
      </c>
      <c r="G74" s="88">
        <f t="shared" si="4"/>
        <v>10</v>
      </c>
      <c r="H74" s="89">
        <f>G74*Insumos!G51</f>
        <v>221.6</v>
      </c>
      <c r="I74" s="706" t="str">
        <f t="shared" si="5"/>
        <v>Fornecimento igual ao estimado mensalmente</v>
      </c>
      <c r="J74" s="706"/>
      <c r="K74" s="706"/>
      <c r="L74" s="90">
        <f t="shared" si="6"/>
        <v>10</v>
      </c>
      <c r="M74" s="91">
        <f>Insumos!E51</f>
        <v>10</v>
      </c>
      <c r="N74" s="92" t="str">
        <f>Insumos!F51</f>
        <v>Mensal</v>
      </c>
      <c r="O74" s="93">
        <f t="shared" si="7"/>
        <v>1</v>
      </c>
      <c r="V74" s="74"/>
    </row>
    <row r="75" spans="1:23" s="26" customFormat="1" ht="87.75" hidden="1" customHeight="1" x14ac:dyDescent="0.3">
      <c r="A75" s="86">
        <v>44</v>
      </c>
      <c r="B75" s="711" t="str">
        <f>Insumos!B52</f>
        <v>Pulverizador plástico 500 ml com regulador no borrifador. características do produto: capacidade: 500 ml. material: corpo e bomba em plástico resistente de alta qualidade (como polietileno ou polipropileno), garantindo durabilidade e resistência ao uso contínuo. borrifador: bico ajustável com regulador de intensidade, permitindo escolha entre pulverização fina ou mais intensa, conforme a necessidade. mangueira: mangueira interna resistente à pressão, com comprimento adequado para facilitar o uso. tampa: tampa de fechamento com vedação segura para evitar vazamentos durante o armazenamento ou transporte.</v>
      </c>
      <c r="C75" s="711"/>
      <c r="D75" s="711"/>
      <c r="E75" s="276" t="str">
        <f>Insumos!C52</f>
        <v>Unid.</v>
      </c>
      <c r="F75" s="276" t="str">
        <f>Insumos!D52</f>
        <v>Vonder</v>
      </c>
      <c r="G75" s="88">
        <f t="shared" si="4"/>
        <v>10</v>
      </c>
      <c r="H75" s="89">
        <f>G75*Insumos!G52</f>
        <v>76.599999999999994</v>
      </c>
      <c r="I75" s="706" t="str">
        <f t="shared" si="5"/>
        <v>Fornecimento igual ao estimado mensalmente</v>
      </c>
      <c r="J75" s="706"/>
      <c r="K75" s="706"/>
      <c r="L75" s="90">
        <f t="shared" si="6"/>
        <v>10</v>
      </c>
      <c r="M75" s="91">
        <f>Insumos!E52</f>
        <v>10</v>
      </c>
      <c r="N75" s="92" t="str">
        <f>Insumos!F52</f>
        <v>Mensal</v>
      </c>
      <c r="O75" s="93">
        <f t="shared" si="7"/>
        <v>1</v>
      </c>
      <c r="V75" s="74"/>
    </row>
    <row r="76" spans="1:23" s="26" customFormat="1" ht="37.5" hidden="1" customHeight="1" x14ac:dyDescent="0.3">
      <c r="A76" s="86">
        <v>45</v>
      </c>
      <c r="B76" s="711" t="str">
        <f>Insumos!B53</f>
        <v xml:space="preserve">Cera Líquida 5 litros. Cera Líquida Autobrilhante. Aplicação: Pisos Cerâmicos, granitos, Mármores e Paviflex. Cores: Incolor/Amarela/Vermelha. Galão de 5 litros. A embalagem deverá conter externamente os dados de identificação, procedência, numero do lote, validade e número do registro no Ministério da saúde. Marca igual ou superior a Brilho Fácil, Inglesa ou Poliflor </v>
      </c>
      <c r="C76" s="711"/>
      <c r="D76" s="711"/>
      <c r="E76" s="276" t="str">
        <f>Insumos!C53</f>
        <v>galão</v>
      </c>
      <c r="F76" s="276" t="str">
        <f>Insumos!D53</f>
        <v>Brilho Fácil,  Inglesa ou Poliflor</v>
      </c>
      <c r="G76" s="88">
        <f t="shared" si="4"/>
        <v>3.3333333333333335</v>
      </c>
      <c r="H76" s="89">
        <f>G76*Insumos!G53</f>
        <v>140.36666666666667</v>
      </c>
      <c r="I76" s="706" t="str">
        <f t="shared" si="5"/>
        <v>Fornecimento igual ao estimado mensalmente</v>
      </c>
      <c r="J76" s="706"/>
      <c r="K76" s="706"/>
      <c r="L76" s="90">
        <f t="shared" si="6"/>
        <v>3.3333333333333335</v>
      </c>
      <c r="M76" s="91">
        <f>Insumos!E53</f>
        <v>10</v>
      </c>
      <c r="N76" s="92" t="str">
        <f>Insumos!F53</f>
        <v>Trimestral</v>
      </c>
      <c r="O76" s="93">
        <f t="shared" si="7"/>
        <v>3</v>
      </c>
      <c r="V76" s="74"/>
    </row>
    <row r="77" spans="1:23" s="26" customFormat="1" ht="17.25" hidden="1" customHeight="1" x14ac:dyDescent="0.3">
      <c r="A77" s="86">
        <v>46</v>
      </c>
      <c r="B77" s="711" t="str">
        <f>Insumos!B54</f>
        <v>Suporte para fibra abrasiva em polipropileno, com junção articulada e cabo em alumínio</v>
      </c>
      <c r="C77" s="711"/>
      <c r="D77" s="711"/>
      <c r="E77" s="276" t="str">
        <f>Insumos!C54</f>
        <v>Unid.</v>
      </c>
      <c r="F77" s="276">
        <f>Insumos!D54</f>
        <v>0</v>
      </c>
      <c r="G77" s="88">
        <f t="shared" si="4"/>
        <v>1.6666666666666667</v>
      </c>
      <c r="H77" s="89">
        <f>G77*Insumos!G54</f>
        <v>59.366666666666667</v>
      </c>
      <c r="I77" s="706" t="str">
        <f t="shared" si="5"/>
        <v>Fornecimento igual ao estimado mensalmente</v>
      </c>
      <c r="J77" s="706"/>
      <c r="K77" s="706"/>
      <c r="L77" s="90">
        <f t="shared" si="6"/>
        <v>1.6666666666666667</v>
      </c>
      <c r="M77" s="91">
        <f>Insumos!E54</f>
        <v>5</v>
      </c>
      <c r="N77" s="92" t="str">
        <f>Insumos!F54</f>
        <v>Trimestral</v>
      </c>
      <c r="O77" s="93">
        <f t="shared" si="7"/>
        <v>3</v>
      </c>
      <c r="V77" s="74"/>
    </row>
    <row r="78" spans="1:23" s="26" customFormat="1" ht="43.5" hidden="1" customHeight="1" x14ac:dyDescent="0.3">
      <c r="A78" s="86">
        <v>47</v>
      </c>
      <c r="B78" s="711" t="str">
        <f>Insumos!B55</f>
        <v>Limpa vidro 05 litros. Limpa Vidros líquido ou spray com álcool, cor: incolor/azul, embalagem de 05 litros. A embalagem deverá conter externamente os dados de identificação, procedência, número do lote, validade e número do registro no ministério da saúde. Marca igual ou superior Veja, Criviali ou Ypê</v>
      </c>
      <c r="C78" s="711"/>
      <c r="D78" s="711"/>
      <c r="E78" s="276" t="str">
        <f>Insumos!C55</f>
        <v>galão</v>
      </c>
      <c r="F78" s="276" t="str">
        <f>Insumos!D55</f>
        <v>Veja, Criviali ou Ypê</v>
      </c>
      <c r="G78" s="88">
        <f t="shared" si="4"/>
        <v>2</v>
      </c>
      <c r="H78" s="89">
        <f>G78*Insumos!G55</f>
        <v>77.44</v>
      </c>
      <c r="I78" s="706" t="str">
        <f t="shared" si="5"/>
        <v>Fornecimento igual ao estimado mensalmente</v>
      </c>
      <c r="J78" s="706"/>
      <c r="K78" s="706"/>
      <c r="L78" s="90">
        <f t="shared" si="6"/>
        <v>2</v>
      </c>
      <c r="M78" s="91">
        <f>Insumos!E55</f>
        <v>2</v>
      </c>
      <c r="N78" s="92" t="str">
        <f>Insumos!F55</f>
        <v>Mensal</v>
      </c>
      <c r="O78" s="93">
        <f t="shared" si="7"/>
        <v>1</v>
      </c>
      <c r="V78" s="74"/>
    </row>
    <row r="79" spans="1:23" s="26" customFormat="1" ht="55.5" hidden="1" customHeight="1" x14ac:dyDescent="0.3">
      <c r="A79" s="86">
        <v>48</v>
      </c>
      <c r="B79" s="711" t="str">
        <f>Insumos!B56</f>
        <v>Multiuso para limpeza diária 05 litros - Limpador Geral Multiuso, para remoção de gorduras, fuligem, poeira, marcas de dedos e de sapatos, riscos de lápis, etc. ingredientes: alquil benzeno sulfonato de sódio, álcool etoxilado, coadjuvantes, sequestrante, fragrância e água. Galão de 05 litros de produto (marca de referência: veja).</v>
      </c>
      <c r="C79" s="711"/>
      <c r="D79" s="711"/>
      <c r="E79" s="276" t="str">
        <f>Insumos!C56</f>
        <v>galão</v>
      </c>
      <c r="F79" s="276" t="str">
        <f>Insumos!D56</f>
        <v>Veja</v>
      </c>
      <c r="G79" s="88">
        <f t="shared" si="4"/>
        <v>7</v>
      </c>
      <c r="H79" s="89">
        <f>G79*Insumos!G56</f>
        <v>156.59</v>
      </c>
      <c r="I79" s="706" t="str">
        <f t="shared" si="5"/>
        <v>Fornecimento igual ao estimado mensalmente</v>
      </c>
      <c r="J79" s="706"/>
      <c r="K79" s="706"/>
      <c r="L79" s="90">
        <f t="shared" si="6"/>
        <v>7</v>
      </c>
      <c r="M79" s="91">
        <f>Insumos!E56</f>
        <v>7</v>
      </c>
      <c r="N79" s="92" t="str">
        <f>Insumos!F56</f>
        <v>Mensal</v>
      </c>
      <c r="O79" s="93">
        <f t="shared" si="7"/>
        <v>1</v>
      </c>
      <c r="V79" s="74"/>
    </row>
    <row r="80" spans="1:23" hidden="1" x14ac:dyDescent="0.3">
      <c r="A80" s="86">
        <v>49</v>
      </c>
      <c r="B80" s="711" t="str">
        <f>Insumos!B57</f>
        <v>Álcool gel para limpeza, 500 g. Álcool etílico hidratado em Gel 62,4º INPM, para limpeza, embalagem de 500 g, fragrância de lavanda</v>
      </c>
      <c r="C80" s="711"/>
      <c r="D80" s="711"/>
      <c r="E80" s="276" t="str">
        <f>Insumos!C57</f>
        <v>unid.</v>
      </c>
      <c r="F80" s="276" t="str">
        <f>Insumos!D57</f>
        <v>Start, Coperalcool</v>
      </c>
      <c r="G80" s="88">
        <f t="shared" si="4"/>
        <v>24</v>
      </c>
      <c r="H80" s="89">
        <f>G80*Insumos!G57</f>
        <v>235.44</v>
      </c>
      <c r="I80" s="706" t="str">
        <f t="shared" si="5"/>
        <v>Fornecimento igual ao estimado mensalmente</v>
      </c>
      <c r="J80" s="706"/>
      <c r="K80" s="706"/>
      <c r="L80" s="90">
        <f t="shared" si="6"/>
        <v>24</v>
      </c>
      <c r="M80" s="91">
        <f>Insumos!E57</f>
        <v>24</v>
      </c>
      <c r="N80" s="92" t="str">
        <f>Insumos!F57</f>
        <v>Mensal</v>
      </c>
      <c r="O80" s="93">
        <f t="shared" si="7"/>
        <v>1</v>
      </c>
      <c r="R80" s="26"/>
      <c r="S80" s="26"/>
      <c r="T80" s="26"/>
      <c r="U80" s="26"/>
      <c r="V80" s="74"/>
      <c r="W80" s="26"/>
    </row>
    <row r="81" spans="1:23" ht="68.25" hidden="1" customHeight="1" x14ac:dyDescent="0.3">
      <c r="A81" s="86">
        <v>50</v>
      </c>
      <c r="B81" s="711" t="str">
        <f>Insumos!B58</f>
        <v>Removedor de cera e película – tenso ativo não iônico, baixo teor espumante, biodegradável, de alto teor de solubilização, com agentes conservantes e veículos, para remover cera, acondicionado em bombona plástica (material opaco e resistente) contendo 05 litros, com validade mínima de 12 meses a contar da data de entrega. O produto deve conter impresso em sua embalagem todas as informações do produto e estar com registro vigente na ANVISA</v>
      </c>
      <c r="C81" s="711"/>
      <c r="D81" s="711"/>
      <c r="E81" s="276" t="str">
        <f>Insumos!C58</f>
        <v>galão</v>
      </c>
      <c r="F81" s="276" t="str">
        <f>Insumos!D58</f>
        <v>Audax Start</v>
      </c>
      <c r="G81" s="88">
        <f t="shared" si="4"/>
        <v>1.6666666666666667</v>
      </c>
      <c r="H81" s="89">
        <f>G81*Insumos!G58</f>
        <v>72.983333333333334</v>
      </c>
      <c r="I81" s="706" t="str">
        <f t="shared" si="5"/>
        <v>Fornecimento igual ao estimado mensalmente</v>
      </c>
      <c r="J81" s="706"/>
      <c r="K81" s="706"/>
      <c r="L81" s="90">
        <f t="shared" si="6"/>
        <v>1.6666666666666667</v>
      </c>
      <c r="M81" s="91">
        <f>Insumos!E58</f>
        <v>5</v>
      </c>
      <c r="N81" s="92" t="str">
        <f>Insumos!F58</f>
        <v>Trimestral</v>
      </c>
      <c r="O81" s="93">
        <f t="shared" si="7"/>
        <v>3</v>
      </c>
      <c r="R81" s="26"/>
      <c r="S81" s="26"/>
      <c r="T81" s="26"/>
      <c r="U81" s="26"/>
      <c r="V81" s="74"/>
      <c r="W81" s="26"/>
    </row>
    <row r="82" spans="1:23" ht="74.25" hidden="1" customHeight="1" x14ac:dyDescent="0.3">
      <c r="A82" s="86">
        <v>51</v>
      </c>
      <c r="B82" s="711" t="str">
        <f>Insumos!B59</f>
        <v>Selador brilho acrílico antiderrapante, aplicado na manutenção de pisos, dando brilho proporciona maior durabilidade, formando filme transparente e resistente a altas rotações, produto não inflamável pronto para uso. em sua composição possuir resina acrílica com aspecto líquido compacto, cor branco leitoso e ph de 7,5 a 9. rendimento mínimo de 80 m² por litro de selador em embalagens de 5 litros (lacrado, inviolável, contendo o número e registro do químico responsável pela empresa e em embalagem própria exclusivamente branca leitosa nunca antes utilizada).</v>
      </c>
      <c r="C82" s="711"/>
      <c r="D82" s="711"/>
      <c r="E82" s="276" t="str">
        <f>Insumos!C59</f>
        <v>galão</v>
      </c>
      <c r="F82" s="276" t="str">
        <f>Insumos!D59</f>
        <v>Start</v>
      </c>
      <c r="G82" s="88">
        <f t="shared" si="4"/>
        <v>1</v>
      </c>
      <c r="H82" s="89">
        <f>G82*Insumos!G59</f>
        <v>85.97</v>
      </c>
      <c r="I82" s="706" t="str">
        <f t="shared" si="5"/>
        <v>Fornecimento igual ao estimado mensalmente</v>
      </c>
      <c r="J82" s="706"/>
      <c r="K82" s="706"/>
      <c r="L82" s="90">
        <f t="shared" si="6"/>
        <v>1</v>
      </c>
      <c r="M82" s="91">
        <f>Insumos!E59</f>
        <v>3</v>
      </c>
      <c r="N82" s="92" t="str">
        <f>Insumos!F59</f>
        <v>Trimestral</v>
      </c>
      <c r="O82" s="93">
        <f t="shared" si="7"/>
        <v>3</v>
      </c>
      <c r="R82" s="26"/>
      <c r="S82" s="26"/>
      <c r="T82" s="26"/>
      <c r="U82" s="26"/>
      <c r="V82" s="74"/>
      <c r="W82" s="26"/>
    </row>
    <row r="83" spans="1:23" hidden="1" x14ac:dyDescent="0.3">
      <c r="A83" s="86">
        <v>52</v>
      </c>
      <c r="B83" s="711" t="str">
        <f>Insumos!B60</f>
        <v>Álcool liquido 70%. Galão 05 litros. Álcool etílico hidratado liquido 70% (70º INPM).</v>
      </c>
      <c r="C83" s="711"/>
      <c r="D83" s="711"/>
      <c r="E83" s="276" t="str">
        <f>Insumos!C60</f>
        <v>galão</v>
      </c>
      <c r="F83" s="276" t="str">
        <f>Insumos!D60</f>
        <v>Start, Asseptgel</v>
      </c>
      <c r="G83" s="88">
        <f t="shared" si="4"/>
        <v>10</v>
      </c>
      <c r="H83" s="89">
        <f>G83*Insumos!G60</f>
        <v>403.2</v>
      </c>
      <c r="I83" s="706" t="str">
        <f t="shared" si="5"/>
        <v>Fornecimento igual ao estimado mensalmente</v>
      </c>
      <c r="J83" s="706"/>
      <c r="K83" s="706"/>
      <c r="L83" s="90">
        <f t="shared" si="6"/>
        <v>10</v>
      </c>
      <c r="M83" s="91">
        <f>Insumos!E60</f>
        <v>10</v>
      </c>
      <c r="N83" s="92" t="str">
        <f>Insumos!F60</f>
        <v>Mensal</v>
      </c>
      <c r="O83" s="93">
        <f t="shared" si="7"/>
        <v>1</v>
      </c>
      <c r="R83" s="26"/>
      <c r="S83" s="26"/>
      <c r="T83" s="26"/>
      <c r="U83" s="26"/>
      <c r="V83" s="74"/>
      <c r="W83" s="26"/>
    </row>
    <row r="84" spans="1:23" hidden="1" x14ac:dyDescent="0.3">
      <c r="A84" s="86">
        <v>53</v>
      </c>
      <c r="B84" s="711" t="str">
        <f>Insumos!B61</f>
        <v>Naftalina. Pacotes 50 gramas. Especificação: pedra de naftalina, aspecto físico esferas brancas, peso molecular 128,17 g/mol, fórmula química c10h8, grau de pureza em torno de 95. pacote de 50g.</v>
      </c>
      <c r="C84" s="711"/>
      <c r="D84" s="711"/>
      <c r="E84" s="276" t="str">
        <f>Insumos!C61</f>
        <v>pacote 50g</v>
      </c>
      <c r="F84" s="276" t="str">
        <f>Insumos!D61</f>
        <v>Politriz</v>
      </c>
      <c r="G84" s="88">
        <f t="shared" si="4"/>
        <v>3.3333333333333335</v>
      </c>
      <c r="H84" s="89">
        <f>G84*Insumos!G61</f>
        <v>10.600000000000001</v>
      </c>
      <c r="I84" s="706" t="str">
        <f t="shared" si="5"/>
        <v>Fornecimento igual ao estimado mensalmente</v>
      </c>
      <c r="J84" s="706"/>
      <c r="K84" s="706"/>
      <c r="L84" s="90">
        <f t="shared" si="6"/>
        <v>3.3333333333333335</v>
      </c>
      <c r="M84" s="91">
        <f>Insumos!E61</f>
        <v>10</v>
      </c>
      <c r="N84" s="92" t="str">
        <f>Insumos!F61</f>
        <v>Trimestral</v>
      </c>
      <c r="O84" s="93">
        <f t="shared" si="7"/>
        <v>3</v>
      </c>
      <c r="R84" s="26"/>
      <c r="S84" s="26"/>
      <c r="T84" s="26"/>
      <c r="U84" s="26"/>
      <c r="V84" s="74"/>
      <c r="W84" s="26"/>
    </row>
    <row r="85" spans="1:23" s="26" customFormat="1" ht="15" hidden="1" customHeight="1" x14ac:dyDescent="0.3">
      <c r="A85" s="712" t="s">
        <v>115</v>
      </c>
      <c r="B85" s="712"/>
      <c r="C85" s="712"/>
      <c r="D85" s="712"/>
      <c r="E85" s="712"/>
      <c r="F85" s="712"/>
      <c r="G85" s="712"/>
      <c r="H85" s="95">
        <f>ROUND(SUM(H32:H84),2)</f>
        <v>11188.31</v>
      </c>
      <c r="I85" s="96"/>
      <c r="J85" s="96"/>
      <c r="N85" s="4"/>
      <c r="O85" s="79"/>
      <c r="P85" s="4"/>
      <c r="R85" s="28"/>
      <c r="S85" s="28"/>
      <c r="T85" s="28"/>
      <c r="U85" s="28"/>
      <c r="V85" s="28"/>
      <c r="W85" s="28"/>
    </row>
    <row r="86" spans="1:23" s="26" customFormat="1" ht="15" hidden="1" customHeight="1" x14ac:dyDescent="0.3">
      <c r="A86" s="702" t="s">
        <v>116</v>
      </c>
      <c r="B86" s="702"/>
      <c r="C86" s="702"/>
      <c r="D86" s="702"/>
      <c r="E86" s="702"/>
      <c r="F86" s="702"/>
      <c r="G86" s="97">
        <f>Dados!$G$49</f>
        <v>7.0000000000000007E-2</v>
      </c>
      <c r="H86" s="98">
        <f>ROUND((H85*G86),2)</f>
        <v>783.18</v>
      </c>
      <c r="I86" s="96"/>
      <c r="J86" s="96"/>
      <c r="N86" s="4"/>
      <c r="O86" s="79"/>
      <c r="P86" s="4"/>
      <c r="R86" s="28"/>
      <c r="S86" s="28"/>
      <c r="T86" s="28"/>
      <c r="U86" s="28"/>
      <c r="V86" s="28"/>
      <c r="W86" s="28"/>
    </row>
    <row r="87" spans="1:23" s="26" customFormat="1" ht="15" hidden="1" customHeight="1" x14ac:dyDescent="0.3">
      <c r="A87" s="702" t="s">
        <v>117</v>
      </c>
      <c r="B87" s="702"/>
      <c r="C87" s="702"/>
      <c r="D87" s="702"/>
      <c r="E87" s="702"/>
      <c r="F87" s="702"/>
      <c r="G87" s="97">
        <f>Dados!$G$50</f>
        <v>3.6900000000000002E-2</v>
      </c>
      <c r="H87" s="98">
        <f>ROUND((SUM(H85:H86)*G87),2)</f>
        <v>441.75</v>
      </c>
      <c r="I87" s="96"/>
      <c r="J87" s="99"/>
      <c r="N87" s="4"/>
      <c r="O87" s="79"/>
      <c r="P87" s="4"/>
      <c r="R87" s="28"/>
      <c r="S87" s="28"/>
      <c r="T87" s="28"/>
      <c r="U87" s="28"/>
      <c r="V87" s="28"/>
      <c r="W87" s="28"/>
    </row>
    <row r="88" spans="1:23" s="26" customFormat="1" ht="15" hidden="1" customHeight="1" x14ac:dyDescent="0.3">
      <c r="A88" s="702" t="s">
        <v>118</v>
      </c>
      <c r="B88" s="702"/>
      <c r="C88" s="702"/>
      <c r="D88" s="702"/>
      <c r="E88" s="702"/>
      <c r="F88" s="702"/>
      <c r="G88" s="97">
        <f>Dados!$G$61</f>
        <v>0.1125</v>
      </c>
      <c r="H88" s="98">
        <f>ROUND((H89*G88),2)</f>
        <v>1573.51</v>
      </c>
      <c r="I88" s="96"/>
      <c r="J88" s="99"/>
      <c r="N88" s="4"/>
      <c r="O88" s="79"/>
      <c r="P88" s="4"/>
      <c r="R88" s="28"/>
      <c r="S88" s="28"/>
      <c r="T88" s="28"/>
      <c r="U88" s="28"/>
      <c r="V88" s="28"/>
      <c r="W88" s="28"/>
    </row>
    <row r="89" spans="1:23" s="26" customFormat="1" ht="15.75" hidden="1" customHeight="1" thickBot="1" x14ac:dyDescent="0.35">
      <c r="A89" s="703" t="s">
        <v>119</v>
      </c>
      <c r="B89" s="703"/>
      <c r="C89" s="703"/>
      <c r="D89" s="703"/>
      <c r="E89" s="703"/>
      <c r="F89" s="703"/>
      <c r="G89" s="703"/>
      <c r="H89" s="100">
        <f>ROUND((SUM(H85:H87)/(1-G88)),2)</f>
        <v>13986.75</v>
      </c>
      <c r="I89" s="96"/>
      <c r="J89" s="96"/>
      <c r="N89" s="4"/>
      <c r="O89" s="79"/>
      <c r="P89" s="4"/>
      <c r="R89" s="28"/>
      <c r="S89" s="28"/>
      <c r="T89" s="28"/>
      <c r="U89" s="28"/>
      <c r="V89" s="28"/>
      <c r="W89" s="28"/>
    </row>
    <row r="90" spans="1:23" ht="15" hidden="1" thickBot="1" x14ac:dyDescent="0.35">
      <c r="A90" s="101"/>
      <c r="B90" s="79"/>
      <c r="C90" s="79"/>
      <c r="D90" s="79"/>
      <c r="E90" s="662"/>
      <c r="F90" s="662"/>
      <c r="G90" s="101"/>
      <c r="H90" s="79"/>
      <c r="I90" s="4"/>
      <c r="J90" s="4"/>
      <c r="K90" s="26"/>
      <c r="L90" s="26"/>
      <c r="M90" s="26"/>
      <c r="N90" s="79"/>
      <c r="O90" s="79"/>
      <c r="P90" s="79"/>
    </row>
    <row r="91" spans="1:23" s="26" customFormat="1" ht="40.5" hidden="1" customHeight="1" thickBot="1" x14ac:dyDescent="0.35">
      <c r="A91" s="707" t="s">
        <v>103</v>
      </c>
      <c r="B91" s="708" t="s">
        <v>672</v>
      </c>
      <c r="C91" s="708"/>
      <c r="D91" s="708"/>
      <c r="E91" s="708"/>
      <c r="F91" s="709" t="s">
        <v>104</v>
      </c>
      <c r="G91" s="709"/>
      <c r="H91" s="709"/>
      <c r="I91" s="710" t="s">
        <v>105</v>
      </c>
      <c r="J91" s="710"/>
      <c r="K91" s="710"/>
      <c r="L91" s="700" t="s">
        <v>106</v>
      </c>
      <c r="M91" s="700"/>
      <c r="N91" s="700"/>
      <c r="O91" s="700"/>
    </row>
    <row r="92" spans="1:23" s="26" customFormat="1" ht="51" hidden="1" customHeight="1" x14ac:dyDescent="0.3">
      <c r="A92" s="707"/>
      <c r="B92" s="701" t="s">
        <v>669</v>
      </c>
      <c r="C92" s="701"/>
      <c r="D92" s="701"/>
      <c r="E92" s="73" t="s">
        <v>107</v>
      </c>
      <c r="F92" s="73" t="s">
        <v>108</v>
      </c>
      <c r="G92" s="73" t="s">
        <v>109</v>
      </c>
      <c r="H92" s="84" t="s">
        <v>110</v>
      </c>
      <c r="I92" s="710"/>
      <c r="J92" s="710"/>
      <c r="K92" s="710"/>
      <c r="L92" s="80" t="s">
        <v>111</v>
      </c>
      <c r="M92" s="81" t="s">
        <v>112</v>
      </c>
      <c r="N92" s="81" t="s">
        <v>113</v>
      </c>
      <c r="O92" s="82" t="s">
        <v>114</v>
      </c>
    </row>
    <row r="93" spans="1:23" ht="41.25" hidden="1" customHeight="1" x14ac:dyDescent="0.3">
      <c r="A93" s="102">
        <v>1</v>
      </c>
      <c r="B93" s="705" t="str">
        <f>Insumos!B68</f>
        <v>Balde plástico em polietileno de alta densidade, alta resistência a impacto, com paredes e fundo reforçados, com reforço no encaixe da alça de aço zincado constando no corpo a marcado fabricante, capacidade de 20 litros.</v>
      </c>
      <c r="C93" s="705"/>
      <c r="D93" s="705"/>
      <c r="E93" s="372" t="str">
        <f>Insumos!C68</f>
        <v>unid.</v>
      </c>
      <c r="F93" s="372" t="str">
        <f>Insumos!D68</f>
        <v>Arqplast</v>
      </c>
      <c r="G93" s="88">
        <f>L93</f>
        <v>0.16666666666666666</v>
      </c>
      <c r="H93" s="89">
        <f>G93*Insumos!G68</f>
        <v>4.3966666666666665</v>
      </c>
      <c r="I93" s="706" t="str">
        <f t="shared" ref="I93:I96" si="8">IF(G93&lt;L93,"Fornecimento inferior ao estimado mensalmente",IF(G93=L93,"Fornecimento igual ao estimado mensalmente",IF(G93&gt;L93,"Fornecimento superior ao estimado mensalmente",)))</f>
        <v>Fornecimento igual ao estimado mensalmente</v>
      </c>
      <c r="J93" s="706"/>
      <c r="K93" s="706"/>
      <c r="L93" s="104">
        <f t="shared" ref="L93:L107" si="9">M93/O93</f>
        <v>0.16666666666666666</v>
      </c>
      <c r="M93" s="105">
        <f>Insumos!E68</f>
        <v>1</v>
      </c>
      <c r="N93" s="106" t="str">
        <f>Insumos!F68</f>
        <v>Semestral</v>
      </c>
      <c r="O93" s="93">
        <f t="shared" ref="O93:O107" si="10">IF(N93="MENSAL",1,IF(N93="BIMESTRAL",2,IF(N93="TRIMESTRAL",3,IF(N93="QUADRIMESTRAL",4,IF(N93="SEMESTRAL",6,IF(N93="ANUAL",12,IF(N93="BIENAL",24,"")))))))</f>
        <v>6</v>
      </c>
      <c r="R93" s="26"/>
      <c r="S93" s="26"/>
      <c r="T93" s="26"/>
      <c r="U93" s="26"/>
      <c r="W93" s="26"/>
    </row>
    <row r="94" spans="1:23" ht="39.75" hidden="1" customHeight="1" x14ac:dyDescent="0.3">
      <c r="A94" s="102">
        <v>2</v>
      </c>
      <c r="B94" s="705" t="str">
        <f>Insumos!B69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94" s="705"/>
      <c r="D94" s="705"/>
      <c r="E94" s="372" t="str">
        <f>Insumos!C69</f>
        <v>unid.</v>
      </c>
      <c r="F94" s="372" t="str">
        <f>Insumos!D69</f>
        <v>Limpol ou similar</v>
      </c>
      <c r="G94" s="88">
        <f t="shared" ref="G94:G107" si="11">L94</f>
        <v>10</v>
      </c>
      <c r="H94" s="89">
        <f>G94*Insumos!G69</f>
        <v>29.900000000000002</v>
      </c>
      <c r="I94" s="706" t="str">
        <f t="shared" si="8"/>
        <v>Fornecimento igual ao estimado mensalmente</v>
      </c>
      <c r="J94" s="706"/>
      <c r="K94" s="706"/>
      <c r="L94" s="104">
        <f t="shared" si="9"/>
        <v>10</v>
      </c>
      <c r="M94" s="105">
        <f>Insumos!E69</f>
        <v>10</v>
      </c>
      <c r="N94" s="106" t="str">
        <f>Insumos!F69</f>
        <v>Mensal</v>
      </c>
      <c r="O94" s="93">
        <f t="shared" si="10"/>
        <v>1</v>
      </c>
      <c r="R94" s="26"/>
      <c r="S94" s="26"/>
      <c r="T94" s="26"/>
      <c r="U94" s="26"/>
      <c r="W94" s="26"/>
    </row>
    <row r="95" spans="1:23" ht="38.25" hidden="1" customHeight="1" x14ac:dyDescent="0.3">
      <c r="A95" s="102">
        <v>3</v>
      </c>
      <c r="B95" s="705" t="str">
        <f>Insumos!B70</f>
        <v>Escova para limpeza de mamadeira/garrafa, tipo redonda, base de arame galvanizado, com cerdas 100% polipropileno, medindo 15cm, cabo de arame duplo retorcido e ferro galvanizado, medindo 15cm, mínimo de 30 cerdas por tufos</v>
      </c>
      <c r="C95" s="705"/>
      <c r="D95" s="705"/>
      <c r="E95" s="372" t="str">
        <f>Insumos!C70</f>
        <v>Unid.</v>
      </c>
      <c r="F95" s="372" t="str">
        <f>Insumos!D70</f>
        <v>Dynasty</v>
      </c>
      <c r="G95" s="88">
        <f t="shared" si="11"/>
        <v>0.33333333333333331</v>
      </c>
      <c r="H95" s="89">
        <f>G95*Insumos!G70</f>
        <v>9.3566666666666656</v>
      </c>
      <c r="I95" s="706" t="str">
        <f t="shared" si="8"/>
        <v>Fornecimento igual ao estimado mensalmente</v>
      </c>
      <c r="J95" s="706"/>
      <c r="K95" s="706"/>
      <c r="L95" s="104">
        <f t="shared" si="9"/>
        <v>0.33333333333333331</v>
      </c>
      <c r="M95" s="105">
        <f>Insumos!E70</f>
        <v>2</v>
      </c>
      <c r="N95" s="106" t="str">
        <f>Insumos!F70</f>
        <v>Semestral</v>
      </c>
      <c r="O95" s="93">
        <f t="shared" si="10"/>
        <v>6</v>
      </c>
      <c r="R95" s="26"/>
      <c r="S95" s="26"/>
      <c r="T95" s="26"/>
      <c r="U95" s="26"/>
      <c r="W95" s="26"/>
    </row>
    <row r="96" spans="1:23" ht="37.5" hidden="1" customHeight="1" x14ac:dyDescent="0.3">
      <c r="A96" s="102">
        <v>4</v>
      </c>
      <c r="B96" s="705" t="str">
        <f>Insumos!B71</f>
        <v>Esponja Para Lavagem De Louças E Limpeza Em Geral, Dupla Face Sintética, Um Lado Em Espuma Poliuretano E Outro Em Fibra Sintética Abrasiva, Antibacteriana, Formato Retangular, Medindo Aproximadamente 110mm X 75mm X 20mm De Espessura. Pacote com 4 unidades.</v>
      </c>
      <c r="C96" s="705"/>
      <c r="D96" s="705"/>
      <c r="E96" s="372" t="str">
        <f>Insumos!C71</f>
        <v>pacote</v>
      </c>
      <c r="F96" s="372" t="str">
        <f>Insumos!D71</f>
        <v>Scotch-Brite</v>
      </c>
      <c r="G96" s="88">
        <f t="shared" si="11"/>
        <v>10</v>
      </c>
      <c r="H96" s="89">
        <f>G96*Insumos!G71</f>
        <v>64</v>
      </c>
      <c r="I96" s="706" t="str">
        <f t="shared" si="8"/>
        <v>Fornecimento igual ao estimado mensalmente</v>
      </c>
      <c r="J96" s="706"/>
      <c r="K96" s="706"/>
      <c r="L96" s="104">
        <f t="shared" si="9"/>
        <v>10</v>
      </c>
      <c r="M96" s="105">
        <f>Insumos!E71</f>
        <v>10</v>
      </c>
      <c r="N96" s="106" t="str">
        <f>Insumos!F71</f>
        <v>Mensal</v>
      </c>
      <c r="O96" s="93">
        <f t="shared" si="10"/>
        <v>1</v>
      </c>
      <c r="R96" s="26"/>
      <c r="S96" s="26"/>
      <c r="T96" s="26"/>
      <c r="U96" s="26"/>
      <c r="W96" s="26"/>
    </row>
    <row r="97" spans="1:23" ht="76.5" hidden="1" customHeight="1" x14ac:dyDescent="0.3">
      <c r="A97" s="102">
        <v>5</v>
      </c>
      <c r="B97" s="705" t="str">
        <f>Insumos!B72</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97" s="705"/>
      <c r="D97" s="705"/>
      <c r="E97" s="372" t="str">
        <f>Insumos!C72</f>
        <v>unid.</v>
      </c>
      <c r="F97" s="372" t="str">
        <f>Insumos!D72</f>
        <v>Santa Margarida</v>
      </c>
      <c r="G97" s="88">
        <f t="shared" si="11"/>
        <v>2</v>
      </c>
      <c r="H97" s="89">
        <f>G97*Insumos!G72</f>
        <v>8.56</v>
      </c>
      <c r="I97" s="706" t="str">
        <f t="shared" ref="I97:I107" si="12">IF(G97&lt;L97,"Fornecimento inferior ao estimado mensalmente",IF(G97=L97,"Fornecimento igual ao estimado mensalmente",IF(G97&gt;L97,"Fornecimento superior ao estimado mensalmente",)))</f>
        <v>Fornecimento igual ao estimado mensalmente</v>
      </c>
      <c r="J97" s="706"/>
      <c r="K97" s="706"/>
      <c r="L97" s="104">
        <f t="shared" si="9"/>
        <v>2</v>
      </c>
      <c r="M97" s="105">
        <f>Insumos!E72</f>
        <v>2</v>
      </c>
      <c r="N97" s="106" t="str">
        <f>Insumos!F72</f>
        <v>Mensal</v>
      </c>
      <c r="O97" s="93">
        <f t="shared" si="10"/>
        <v>1</v>
      </c>
      <c r="R97" s="26"/>
      <c r="S97" s="26"/>
      <c r="T97" s="26"/>
      <c r="U97" s="26"/>
      <c r="W97" s="26"/>
    </row>
    <row r="98" spans="1:23" ht="53.25" hidden="1" customHeight="1" x14ac:dyDescent="0.3">
      <c r="A98" s="102">
        <v>6</v>
      </c>
      <c r="B98" s="705" t="str">
        <f>Insumos!B73</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v>
      </c>
      <c r="C98" s="705"/>
      <c r="D98" s="705"/>
      <c r="E98" s="372" t="str">
        <f>Insumos!C73</f>
        <v>Pacote</v>
      </c>
      <c r="F98" s="372" t="str">
        <f>Insumos!D73</f>
        <v>Santepel</v>
      </c>
      <c r="G98" s="88">
        <f t="shared" si="11"/>
        <v>1</v>
      </c>
      <c r="H98" s="89">
        <f>G98*Insumos!G73</f>
        <v>6.48</v>
      </c>
      <c r="I98" s="706" t="str">
        <f t="shared" si="12"/>
        <v>Fornecimento igual ao estimado mensalmente</v>
      </c>
      <c r="J98" s="706"/>
      <c r="K98" s="706"/>
      <c r="L98" s="104">
        <f t="shared" si="9"/>
        <v>1</v>
      </c>
      <c r="M98" s="105">
        <f>Insumos!E73</f>
        <v>3</v>
      </c>
      <c r="N98" s="106" t="str">
        <f>Insumos!F73</f>
        <v>Trimestral</v>
      </c>
      <c r="O98" s="93">
        <f t="shared" si="10"/>
        <v>3</v>
      </c>
      <c r="R98" s="26"/>
      <c r="S98" s="26"/>
      <c r="T98" s="26"/>
      <c r="U98" s="26"/>
      <c r="W98" s="26"/>
    </row>
    <row r="99" spans="1:23" ht="51.75" hidden="1" customHeight="1" x14ac:dyDescent="0.3">
      <c r="A99" s="102">
        <v>7</v>
      </c>
      <c r="B99" s="705" t="str">
        <f>Insumos!B74</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99" s="705"/>
      <c r="D99" s="705"/>
      <c r="E99" s="372" t="str">
        <f>Insumos!C74</f>
        <v>Unid.</v>
      </c>
      <c r="F99" s="372" t="str">
        <f>Insumos!D74</f>
        <v>Veja</v>
      </c>
      <c r="G99" s="88">
        <f t="shared" si="11"/>
        <v>5</v>
      </c>
      <c r="H99" s="89">
        <f>G99*Insumos!G74</f>
        <v>25.4</v>
      </c>
      <c r="I99" s="706" t="str">
        <f t="shared" si="12"/>
        <v>Fornecimento igual ao estimado mensalmente</v>
      </c>
      <c r="J99" s="706"/>
      <c r="K99" s="706"/>
      <c r="L99" s="104">
        <f t="shared" si="9"/>
        <v>5</v>
      </c>
      <c r="M99" s="105">
        <f>Insumos!E74</f>
        <v>5</v>
      </c>
      <c r="N99" s="106" t="str">
        <f>Insumos!F74</f>
        <v>Mensal</v>
      </c>
      <c r="O99" s="93">
        <f t="shared" si="10"/>
        <v>1</v>
      </c>
      <c r="R99" s="26"/>
      <c r="S99" s="26"/>
      <c r="T99" s="26"/>
      <c r="U99" s="26"/>
      <c r="W99" s="26"/>
    </row>
    <row r="100" spans="1:23" ht="24" hidden="1" customHeight="1" x14ac:dyDescent="0.3">
      <c r="A100" s="102">
        <v>8</v>
      </c>
      <c r="B100" s="705" t="str">
        <f>Insumos!B75</f>
        <v>Pá para lixo, material: plástico com cabo, material cabo: madeira, comprimento cabo: 60cm, tamanho:24x16,5x7cm.</v>
      </c>
      <c r="C100" s="705"/>
      <c r="D100" s="705"/>
      <c r="E100" s="372" t="str">
        <f>Insumos!C75</f>
        <v>Unid.</v>
      </c>
      <c r="F100" s="372" t="str">
        <f>Insumos!D75</f>
        <v>Bettanin</v>
      </c>
      <c r="G100" s="88">
        <f t="shared" si="11"/>
        <v>0.16666666666666666</v>
      </c>
      <c r="H100" s="89">
        <f>G100*Insumos!G75</f>
        <v>2.1816666666666666</v>
      </c>
      <c r="I100" s="706" t="str">
        <f t="shared" si="12"/>
        <v>Fornecimento igual ao estimado mensalmente</v>
      </c>
      <c r="J100" s="706"/>
      <c r="K100" s="706"/>
      <c r="L100" s="104">
        <f t="shared" si="9"/>
        <v>0.16666666666666666</v>
      </c>
      <c r="M100" s="105">
        <f>Insumos!E75</f>
        <v>1</v>
      </c>
      <c r="N100" s="106" t="str">
        <f>Insumos!F75</f>
        <v>Semestral</v>
      </c>
      <c r="O100" s="93">
        <f t="shared" si="10"/>
        <v>6</v>
      </c>
      <c r="R100" s="26"/>
      <c r="S100" s="26"/>
      <c r="T100" s="26"/>
      <c r="U100" s="26"/>
      <c r="W100" s="26"/>
    </row>
    <row r="101" spans="1:23" hidden="1" x14ac:dyDescent="0.3">
      <c r="A101" s="102">
        <v>9</v>
      </c>
      <c r="B101" s="705" t="str">
        <f>Insumos!B76</f>
        <v>Pano de copa aberto 100% dimensões mínimas 40x60cm</v>
      </c>
      <c r="C101" s="705"/>
      <c r="D101" s="705"/>
      <c r="E101" s="372" t="str">
        <f>Insumos!C76</f>
        <v>Unid.</v>
      </c>
      <c r="F101" s="372" t="str">
        <f>Insumos!D76</f>
        <v>Karsten</v>
      </c>
      <c r="G101" s="88">
        <f t="shared" si="11"/>
        <v>5</v>
      </c>
      <c r="H101" s="89">
        <f>G101*Insumos!G76</f>
        <v>50</v>
      </c>
      <c r="I101" s="706" t="str">
        <f t="shared" si="12"/>
        <v>Fornecimento igual ao estimado mensalmente</v>
      </c>
      <c r="J101" s="706"/>
      <c r="K101" s="706"/>
      <c r="L101" s="104">
        <f t="shared" si="9"/>
        <v>5</v>
      </c>
      <c r="M101" s="105">
        <f>Insumos!E76</f>
        <v>5</v>
      </c>
      <c r="N101" s="106" t="str">
        <f>Insumos!F76</f>
        <v>Mensal</v>
      </c>
      <c r="O101" s="93">
        <f t="shared" si="10"/>
        <v>1</v>
      </c>
      <c r="R101" s="26"/>
      <c r="S101" s="26"/>
      <c r="T101" s="26"/>
      <c r="U101" s="26"/>
      <c r="W101" s="26"/>
    </row>
    <row r="102" spans="1:23" ht="28.5" hidden="1" customHeight="1" x14ac:dyDescent="0.3">
      <c r="A102" s="102">
        <v>10</v>
      </c>
      <c r="B102" s="705" t="str">
        <f>Insumos!B77</f>
        <v>Rodo Plástico e borracha dupla expandida de 40cm de largura, acompanha cabo de madeira plastificado de aproximadamente 1,26m, com garras pontiagudas nas laterais para melhor fixar panos de chão.</v>
      </c>
      <c r="C102" s="705"/>
      <c r="D102" s="705"/>
      <c r="E102" s="372" t="str">
        <f>Insumos!C77</f>
        <v>Unid.</v>
      </c>
      <c r="F102" s="372" t="str">
        <f>Insumos!D77</f>
        <v>Brubalar</v>
      </c>
      <c r="G102" s="88">
        <f t="shared" si="11"/>
        <v>0.33333333333333331</v>
      </c>
      <c r="H102" s="89">
        <f>G102*Insumos!G77</f>
        <v>6.6333333333333329</v>
      </c>
      <c r="I102" s="706" t="str">
        <f t="shared" si="12"/>
        <v>Fornecimento igual ao estimado mensalmente</v>
      </c>
      <c r="J102" s="706"/>
      <c r="K102" s="706"/>
      <c r="L102" s="104">
        <f t="shared" si="9"/>
        <v>0.33333333333333331</v>
      </c>
      <c r="M102" s="105">
        <f>Insumos!E77</f>
        <v>1</v>
      </c>
      <c r="N102" s="106" t="str">
        <f>Insumos!F77</f>
        <v>Trimestral</v>
      </c>
      <c r="O102" s="93">
        <f t="shared" si="10"/>
        <v>3</v>
      </c>
      <c r="R102" s="26"/>
      <c r="S102" s="26"/>
      <c r="T102" s="26"/>
      <c r="U102" s="26"/>
      <c r="W102" s="26"/>
    </row>
    <row r="103" spans="1:23" hidden="1" x14ac:dyDescent="0.3">
      <c r="A103" s="102">
        <v>11</v>
      </c>
      <c r="B103" s="705" t="str">
        <f>Insumos!B78</f>
        <v>Sabão em barra glicerinado - cor neutra. Pacote com 5 de 200g cada unidade</v>
      </c>
      <c r="C103" s="705"/>
      <c r="D103" s="705"/>
      <c r="E103" s="372" t="str">
        <f>Insumos!C78</f>
        <v>pacote</v>
      </c>
      <c r="F103" s="372" t="str">
        <f>Insumos!D78</f>
        <v>Minuano</v>
      </c>
      <c r="G103" s="88">
        <f t="shared" si="11"/>
        <v>1</v>
      </c>
      <c r="H103" s="89">
        <f>G103*Insumos!G78</f>
        <v>12</v>
      </c>
      <c r="I103" s="706" t="str">
        <f t="shared" si="12"/>
        <v>Fornecimento igual ao estimado mensalmente</v>
      </c>
      <c r="J103" s="706"/>
      <c r="K103" s="706"/>
      <c r="L103" s="104">
        <f t="shared" si="9"/>
        <v>1</v>
      </c>
      <c r="M103" s="105">
        <f>Insumos!E78</f>
        <v>1</v>
      </c>
      <c r="N103" s="106" t="str">
        <f>Insumos!F78</f>
        <v>Mensal</v>
      </c>
      <c r="O103" s="93">
        <f t="shared" si="10"/>
        <v>1</v>
      </c>
      <c r="R103" s="26"/>
      <c r="S103" s="26"/>
      <c r="T103" s="26"/>
      <c r="U103" s="26"/>
      <c r="W103" s="26"/>
    </row>
    <row r="104" spans="1:23" ht="13.5" hidden="1" customHeight="1" x14ac:dyDescent="0.3">
      <c r="A104" s="102">
        <v>12</v>
      </c>
      <c r="B104" s="705" t="str">
        <f>Insumos!B79</f>
        <v>Saco De Algodão Tipo: Alvejado, Tamanho: 60 X 80 CM, Cor: Branco, Características Adicionais: Dupla Face</v>
      </c>
      <c r="C104" s="705"/>
      <c r="D104" s="705"/>
      <c r="E104" s="372" t="str">
        <f>Insumos!C79</f>
        <v>Unid.</v>
      </c>
      <c r="F104" s="372" t="str">
        <f>Insumos!D79</f>
        <v>Uzzilim</v>
      </c>
      <c r="G104" s="88">
        <f t="shared" si="11"/>
        <v>2</v>
      </c>
      <c r="H104" s="89">
        <f>G104*Insumos!G79</f>
        <v>16.46</v>
      </c>
      <c r="I104" s="706" t="str">
        <f t="shared" si="12"/>
        <v>Fornecimento igual ao estimado mensalmente</v>
      </c>
      <c r="J104" s="706"/>
      <c r="K104" s="706"/>
      <c r="L104" s="104">
        <f t="shared" si="9"/>
        <v>2</v>
      </c>
      <c r="M104" s="105">
        <f>Insumos!E79</f>
        <v>2</v>
      </c>
      <c r="N104" s="106" t="str">
        <f>Insumos!F79</f>
        <v>Mensal</v>
      </c>
      <c r="O104" s="93">
        <f t="shared" si="10"/>
        <v>1</v>
      </c>
      <c r="R104" s="26"/>
      <c r="S104" s="26"/>
      <c r="T104" s="26"/>
      <c r="U104" s="26"/>
      <c r="W104" s="26"/>
    </row>
    <row r="105" spans="1:23" ht="39.75" hidden="1" customHeight="1" x14ac:dyDescent="0.3">
      <c r="A105" s="102">
        <v>13</v>
      </c>
      <c r="B105" s="705" t="str">
        <f>Insumos!B80</f>
        <v>Saco plástico reforçado para lixo em polietileno, com capacidade de 100 litros, com estanqueidade suficiente para que não haja vazamento de lixo líquido. com espessura mínima de 10 micra, na cor preta. Pacote com 100 unidades.</v>
      </c>
      <c r="C105" s="705"/>
      <c r="D105" s="705"/>
      <c r="E105" s="372" t="str">
        <f>Insumos!C80</f>
        <v>Pacote</v>
      </c>
      <c r="F105" s="372" t="str">
        <f>Insumos!D80</f>
        <v>Polisac</v>
      </c>
      <c r="G105" s="88">
        <f t="shared" si="11"/>
        <v>0.5</v>
      </c>
      <c r="H105" s="89">
        <f>G105*Insumos!G80</f>
        <v>30.08</v>
      </c>
      <c r="I105" s="706" t="str">
        <f t="shared" si="12"/>
        <v>Fornecimento igual ao estimado mensalmente</v>
      </c>
      <c r="J105" s="706"/>
      <c r="K105" s="706"/>
      <c r="L105" s="104">
        <f t="shared" si="9"/>
        <v>0.5</v>
      </c>
      <c r="M105" s="105">
        <f>Insumos!E80</f>
        <v>1</v>
      </c>
      <c r="N105" s="106" t="str">
        <f>Insumos!F80</f>
        <v>Bimestral</v>
      </c>
      <c r="O105" s="93">
        <f t="shared" si="10"/>
        <v>2</v>
      </c>
      <c r="R105" s="26"/>
      <c r="S105" s="26"/>
      <c r="T105" s="26"/>
      <c r="U105" s="26"/>
      <c r="W105" s="26"/>
    </row>
    <row r="106" spans="1:23" ht="25.5" hidden="1" customHeight="1" x14ac:dyDescent="0.3">
      <c r="A106" s="102">
        <v>14</v>
      </c>
      <c r="B106" s="705" t="str">
        <f>Insumos!B81</f>
        <v>Vassoura de nylon, cerdas c/ ponta desfiada, corpo de madeira medindo aproximadamente 25 x 05cm, c/ cabo de no mínimo 1,50m de comprimento</v>
      </c>
      <c r="C106" s="705"/>
      <c r="D106" s="705"/>
      <c r="E106" s="372" t="str">
        <f>Insumos!C81</f>
        <v>Unid.</v>
      </c>
      <c r="F106" s="372" t="str">
        <f>Insumos!D81</f>
        <v>Oliveira e Azevedo</v>
      </c>
      <c r="G106" s="88">
        <f t="shared" si="11"/>
        <v>0.16666666666666666</v>
      </c>
      <c r="H106" s="89">
        <f>G106*Insumos!G81</f>
        <v>2.7433333333333332</v>
      </c>
      <c r="I106" s="706" t="str">
        <f t="shared" si="12"/>
        <v>Fornecimento igual ao estimado mensalmente</v>
      </c>
      <c r="J106" s="706"/>
      <c r="K106" s="706"/>
      <c r="L106" s="104">
        <f t="shared" si="9"/>
        <v>0.16666666666666666</v>
      </c>
      <c r="M106" s="105">
        <f>Insumos!E81</f>
        <v>1</v>
      </c>
      <c r="N106" s="106" t="str">
        <f>Insumos!F81</f>
        <v>Semestral</v>
      </c>
      <c r="O106" s="93">
        <f t="shared" si="10"/>
        <v>6</v>
      </c>
      <c r="R106" s="26"/>
      <c r="S106" s="26"/>
      <c r="T106" s="26"/>
      <c r="U106" s="26"/>
      <c r="W106" s="26"/>
    </row>
    <row r="107" spans="1:23" ht="27.75" hidden="1" customHeight="1" thickBot="1" x14ac:dyDescent="0.35">
      <c r="A107" s="102">
        <v>15</v>
      </c>
      <c r="B107" s="705" t="str">
        <f>Insumos!B82</f>
        <v>Rodo, Material Cabo: Plástico , Material Suporte: Plástico , Comprimento Suporte: 13 Cm, Características Adicionais: Para Pia</v>
      </c>
      <c r="C107" s="705"/>
      <c r="D107" s="705"/>
      <c r="E107" s="372" t="str">
        <f>Insumos!C82</f>
        <v>Unid.</v>
      </c>
      <c r="F107" s="372" t="str">
        <f>Insumos!D82</f>
        <v>Plasutil</v>
      </c>
      <c r="G107" s="88">
        <f t="shared" si="11"/>
        <v>0.33333333333333331</v>
      </c>
      <c r="H107" s="89">
        <f>G107*Insumos!G82</f>
        <v>1.5533333333333332</v>
      </c>
      <c r="I107" s="706" t="str">
        <f t="shared" si="12"/>
        <v>Fornecimento igual ao estimado mensalmente</v>
      </c>
      <c r="J107" s="706"/>
      <c r="K107" s="706"/>
      <c r="L107" s="104">
        <f t="shared" si="9"/>
        <v>0.33333333333333331</v>
      </c>
      <c r="M107" s="105">
        <f>Insumos!E82</f>
        <v>2</v>
      </c>
      <c r="N107" s="106" t="str">
        <f>Insumos!F82</f>
        <v>Semestral</v>
      </c>
      <c r="O107" s="93">
        <f t="shared" si="10"/>
        <v>6</v>
      </c>
      <c r="R107" s="26"/>
      <c r="S107" s="26"/>
      <c r="T107" s="26"/>
      <c r="U107" s="26"/>
      <c r="W107" s="26"/>
    </row>
    <row r="108" spans="1:23" s="26" customFormat="1" ht="15" hidden="1" customHeight="1" x14ac:dyDescent="0.3">
      <c r="A108" s="707" t="s">
        <v>115</v>
      </c>
      <c r="B108" s="707"/>
      <c r="C108" s="707"/>
      <c r="D108" s="707"/>
      <c r="E108" s="707"/>
      <c r="F108" s="707"/>
      <c r="G108" s="707"/>
      <c r="H108" s="107">
        <f>SUM(H93:H107)</f>
        <v>269.745</v>
      </c>
      <c r="I108" s="96"/>
      <c r="J108" s="96"/>
      <c r="L108" s="4"/>
      <c r="M108" s="79"/>
      <c r="N108" s="4"/>
      <c r="P108" s="28"/>
      <c r="Q108" s="28"/>
      <c r="R108" s="28"/>
      <c r="S108" s="28"/>
      <c r="T108" s="28"/>
      <c r="U108" s="28"/>
    </row>
    <row r="109" spans="1:23" s="26" customFormat="1" ht="15" hidden="1" customHeight="1" x14ac:dyDescent="0.3">
      <c r="A109" s="702" t="s">
        <v>116</v>
      </c>
      <c r="B109" s="702"/>
      <c r="C109" s="702"/>
      <c r="D109" s="702"/>
      <c r="E109" s="702"/>
      <c r="F109" s="702"/>
      <c r="G109" s="97">
        <f>Dados!$G$49</f>
        <v>7.0000000000000007E-2</v>
      </c>
      <c r="H109" s="98">
        <f>ROUND((H108*G109),2)</f>
        <v>18.88</v>
      </c>
      <c r="I109" s="4"/>
      <c r="J109" s="4"/>
      <c r="L109" s="4"/>
      <c r="M109" s="4"/>
      <c r="N109" s="4"/>
      <c r="P109" s="28"/>
      <c r="Q109" s="28"/>
      <c r="R109" s="28"/>
      <c r="S109" s="28"/>
      <c r="T109" s="28"/>
      <c r="U109" s="28"/>
    </row>
    <row r="110" spans="1:23" s="26" customFormat="1" ht="15" hidden="1" customHeight="1" x14ac:dyDescent="0.3">
      <c r="A110" s="702" t="s">
        <v>117</v>
      </c>
      <c r="B110" s="702"/>
      <c r="C110" s="702"/>
      <c r="D110" s="702"/>
      <c r="E110" s="702"/>
      <c r="F110" s="702"/>
      <c r="G110" s="97">
        <f>Dados!$G$50</f>
        <v>3.6900000000000002E-2</v>
      </c>
      <c r="H110" s="98">
        <f>ROUND((SUM(H108:H109)*G110),2)</f>
        <v>10.65</v>
      </c>
      <c r="I110" s="4"/>
      <c r="J110" s="4"/>
      <c r="L110" s="4"/>
      <c r="M110" s="4"/>
      <c r="N110" s="4"/>
      <c r="P110" s="28"/>
      <c r="Q110" s="28"/>
      <c r="R110" s="28"/>
      <c r="S110" s="28"/>
      <c r="T110" s="28"/>
      <c r="U110" s="28"/>
    </row>
    <row r="111" spans="1:23" s="26" customFormat="1" ht="15" hidden="1" customHeight="1" x14ac:dyDescent="0.3">
      <c r="A111" s="702" t="s">
        <v>118</v>
      </c>
      <c r="B111" s="702"/>
      <c r="C111" s="702"/>
      <c r="D111" s="702"/>
      <c r="E111" s="702"/>
      <c r="F111" s="702"/>
      <c r="G111" s="97">
        <f>Dados!$G$61</f>
        <v>0.1125</v>
      </c>
      <c r="H111" s="98">
        <f>ROUND((H112*G111),2)</f>
        <v>37.94</v>
      </c>
      <c r="I111" s="4"/>
      <c r="J111" s="4"/>
      <c r="L111" s="4"/>
      <c r="M111" s="4"/>
      <c r="N111" s="4"/>
      <c r="P111" s="28"/>
      <c r="Q111" s="28"/>
      <c r="R111" s="28"/>
      <c r="S111" s="28"/>
      <c r="T111" s="28"/>
      <c r="U111" s="28"/>
    </row>
    <row r="112" spans="1:23" s="26" customFormat="1" ht="15.75" hidden="1" customHeight="1" thickBot="1" x14ac:dyDescent="0.35">
      <c r="A112" s="703" t="s">
        <v>122</v>
      </c>
      <c r="B112" s="703"/>
      <c r="C112" s="703"/>
      <c r="D112" s="703"/>
      <c r="E112" s="703"/>
      <c r="F112" s="703"/>
      <c r="G112" s="703"/>
      <c r="H112" s="100">
        <f>ROUND((SUM(H108:H110)/(1-G111)),2)</f>
        <v>337.21</v>
      </c>
      <c r="I112" s="4"/>
      <c r="J112" s="4"/>
      <c r="L112" s="4"/>
      <c r="M112" s="4"/>
      <c r="N112" s="4"/>
      <c r="P112" s="28"/>
      <c r="Q112" s="28"/>
      <c r="R112" s="28"/>
      <c r="S112" s="28"/>
      <c r="T112" s="28"/>
      <c r="U112" s="28"/>
    </row>
    <row r="113" spans="1:23" s="26" customFormat="1" ht="15" hidden="1" thickBot="1" x14ac:dyDescent="0.35">
      <c r="A113" s="101"/>
      <c r="B113" s="79"/>
      <c r="C113" s="79"/>
      <c r="D113" s="79"/>
      <c r="E113" s="662"/>
      <c r="F113" s="662"/>
      <c r="G113" s="101"/>
      <c r="H113" s="79"/>
      <c r="I113" s="4"/>
      <c r="J113" s="4"/>
      <c r="L113" s="4"/>
      <c r="M113" s="4"/>
      <c r="N113" s="4"/>
      <c r="P113" s="28"/>
      <c r="Q113" s="28"/>
      <c r="R113" s="28"/>
      <c r="S113" s="28"/>
      <c r="T113" s="28"/>
      <c r="U113" s="28"/>
    </row>
    <row r="114" spans="1:23" s="26" customFormat="1" ht="49.5" hidden="1" customHeight="1" thickBot="1" x14ac:dyDescent="0.35">
      <c r="A114" s="707" t="s">
        <v>103</v>
      </c>
      <c r="B114" s="708" t="s">
        <v>673</v>
      </c>
      <c r="C114" s="708"/>
      <c r="D114" s="708"/>
      <c r="E114" s="708"/>
      <c r="F114" s="709" t="s">
        <v>104</v>
      </c>
      <c r="G114" s="709"/>
      <c r="H114" s="709"/>
      <c r="I114" s="710" t="s">
        <v>105</v>
      </c>
      <c r="J114" s="710"/>
      <c r="K114" s="710"/>
      <c r="L114" s="700" t="s">
        <v>106</v>
      </c>
      <c r="M114" s="700"/>
      <c r="N114" s="700"/>
      <c r="O114" s="700"/>
    </row>
    <row r="115" spans="1:23" s="26" customFormat="1" ht="51" hidden="1" customHeight="1" x14ac:dyDescent="0.3">
      <c r="A115" s="707"/>
      <c r="B115" s="701" t="s">
        <v>669</v>
      </c>
      <c r="C115" s="701"/>
      <c r="D115" s="701"/>
      <c r="E115" s="73" t="s">
        <v>107</v>
      </c>
      <c r="F115" s="73" t="s">
        <v>108</v>
      </c>
      <c r="G115" s="73" t="s">
        <v>109</v>
      </c>
      <c r="H115" s="84" t="s">
        <v>110</v>
      </c>
      <c r="I115" s="710"/>
      <c r="J115" s="710"/>
      <c r="K115" s="710"/>
      <c r="L115" s="80" t="s">
        <v>111</v>
      </c>
      <c r="M115" s="81" t="s">
        <v>112</v>
      </c>
      <c r="N115" s="81" t="s">
        <v>113</v>
      </c>
      <c r="O115" s="82" t="s">
        <v>114</v>
      </c>
    </row>
    <row r="116" spans="1:23" s="26" customFormat="1" ht="54.6" hidden="1" customHeight="1" x14ac:dyDescent="0.3">
      <c r="A116" s="102">
        <v>1</v>
      </c>
      <c r="B116" s="705" t="str">
        <f>Insumos!B89</f>
        <v>Herbicida (mata mato) principio ativo glifosato, 01 litro, seletivo de ação sistêmica, com controle total de plantas daninhas, tanto das mono como das dicotiledôneas, atingidas pela ação herbicida não somente na parte aérea, como nas raízes. Possuindo registro no ministério da agricultura, pecuária e abastecimento (mapa).</v>
      </c>
      <c r="C116" s="705"/>
      <c r="D116" s="705"/>
      <c r="E116" s="372" t="str">
        <f>Insumos!C89</f>
        <v>unid. 1L</v>
      </c>
      <c r="F116" s="372" t="str">
        <f>Insumos!D89</f>
        <v>Randup Tordon</v>
      </c>
      <c r="G116" s="88">
        <f>L116</f>
        <v>0.33333333333333331</v>
      </c>
      <c r="H116" s="89">
        <f>G116*Insumos!G89</f>
        <v>10.559999999999999</v>
      </c>
      <c r="I116" s="706" t="str">
        <f t="shared" ref="I116:I125" si="13">IF(G116&lt;L116,"Fornecimento inferior ao estimado mensalmente",IF(G116=L116,"Fornecimento igual ao estimado mensalmente",IF(G116&gt;L116,"Fornecimento superior ao estimado mensalmente",)))</f>
        <v>Fornecimento igual ao estimado mensalmente</v>
      </c>
      <c r="J116" s="706"/>
      <c r="K116" s="706"/>
      <c r="L116" s="104">
        <f t="shared" ref="L116:L125" si="14">M116/O116</f>
        <v>0.33333333333333331</v>
      </c>
      <c r="M116" s="105">
        <f>Insumos!E89</f>
        <v>2</v>
      </c>
      <c r="N116" s="106" t="str">
        <f>Insumos!F89</f>
        <v>Semestral</v>
      </c>
      <c r="O116" s="93">
        <f t="shared" ref="O116:O125" si="15">IF(N116="MENSAL",1,IF(N116="BIMESTRAL",2,IF(N116="TRIMESTRAL",3,IF(N116="QUADRIMESTRAL",4,IF(N116="SEMESTRAL",6,IF(N116="ANUAL",12,IF(N116="BIENAL",24,"")))))))</f>
        <v>6</v>
      </c>
      <c r="V116" s="28"/>
    </row>
    <row r="117" spans="1:23" s="26" customFormat="1" ht="66" hidden="1" customHeight="1" x14ac:dyDescent="0.3">
      <c r="A117" s="102">
        <v>2</v>
      </c>
      <c r="B117" s="705" t="str">
        <f>Insumos!B90</f>
        <v>Inseticida agrícola para pragas em plantas, deltametrina, de contato e ingestão do grupo químico dos piretróides sintéticos; concentração do ingrediente ativo: 25g/l; tipo de formulação: concentração emulsionável, de contato e ingestão do grupo químico piretroide, indicado para o controle de diversas pragas nas culturas do algodão, amendoim, batata, cacau, café, feijão, milho, trigo, modo de ação: contato e ingestão.</v>
      </c>
      <c r="C117" s="705"/>
      <c r="D117" s="705"/>
      <c r="E117" s="372" t="str">
        <f>Insumos!C90</f>
        <v>unid. 1L</v>
      </c>
      <c r="F117" s="372" t="str">
        <f>Insumos!D90</f>
        <v>Decis</v>
      </c>
      <c r="G117" s="88">
        <f t="shared" ref="G117:G125" si="16">L117</f>
        <v>0.33333333333333331</v>
      </c>
      <c r="H117" s="89">
        <f>G117*Insumos!G90</f>
        <v>32.333333333333329</v>
      </c>
      <c r="I117" s="706" t="str">
        <f t="shared" si="13"/>
        <v>Fornecimento igual ao estimado mensalmente</v>
      </c>
      <c r="J117" s="706"/>
      <c r="K117" s="706"/>
      <c r="L117" s="104">
        <f t="shared" si="14"/>
        <v>0.33333333333333331</v>
      </c>
      <c r="M117" s="105">
        <f>Insumos!E90</f>
        <v>1</v>
      </c>
      <c r="N117" s="106" t="str">
        <f>Insumos!F90</f>
        <v>Trimestral</v>
      </c>
      <c r="O117" s="93">
        <f t="shared" si="15"/>
        <v>3</v>
      </c>
      <c r="V117" s="28"/>
    </row>
    <row r="118" spans="1:23" s="26" customFormat="1" ht="29.25" hidden="1" customHeight="1" x14ac:dyDescent="0.3">
      <c r="A118" s="102">
        <v>3</v>
      </c>
      <c r="B118" s="705" t="str">
        <f>Insumos!B91</f>
        <v>Inseticida Líquido. Composição Do Produto Ingrediente Ativo: Deltametrina Grupo Químico: Piretroides Formulação: Sc (Suspensão Concentrada) Embalagem: Frasco De 01 litro</v>
      </c>
      <c r="C118" s="705"/>
      <c r="D118" s="705"/>
      <c r="E118" s="372" t="str">
        <f>Insumos!C91</f>
        <v>unid. 1L</v>
      </c>
      <c r="F118" s="372" t="str">
        <f>Insumos!D91</f>
        <v>K-Othrine Sc25, Kelldrin Sc 25, Fipronil</v>
      </c>
      <c r="G118" s="88">
        <f t="shared" si="16"/>
        <v>0.33333333333333331</v>
      </c>
      <c r="H118" s="89">
        <f>G118*Insumos!G91</f>
        <v>50.336666666666659</v>
      </c>
      <c r="I118" s="706" t="str">
        <f t="shared" si="13"/>
        <v>Fornecimento igual ao estimado mensalmente</v>
      </c>
      <c r="J118" s="706"/>
      <c r="K118" s="706"/>
      <c r="L118" s="104">
        <f t="shared" si="14"/>
        <v>0.33333333333333331</v>
      </c>
      <c r="M118" s="105">
        <f>Insumos!E91</f>
        <v>1</v>
      </c>
      <c r="N118" s="106" t="str">
        <f>Insumos!F91</f>
        <v>Trimestral</v>
      </c>
      <c r="O118" s="93">
        <f t="shared" si="15"/>
        <v>3</v>
      </c>
      <c r="V118" s="28"/>
    </row>
    <row r="119" spans="1:23" s="26" customFormat="1" hidden="1" x14ac:dyDescent="0.3">
      <c r="A119" s="102">
        <v>4</v>
      </c>
      <c r="B119" s="705" t="str">
        <f>Insumos!B92</f>
        <v>Fertilizante (Adubo) NPK 20 05 20, aspecto físico granulado</v>
      </c>
      <c r="C119" s="705"/>
      <c r="D119" s="705"/>
      <c r="E119" s="372" t="str">
        <f>Insumos!C92</f>
        <v>saco 50kg</v>
      </c>
      <c r="F119" s="372" t="str">
        <f>Insumos!D92</f>
        <v>Itale</v>
      </c>
      <c r="G119" s="88">
        <f t="shared" si="16"/>
        <v>8.3333333333333329E-2</v>
      </c>
      <c r="H119" s="89">
        <f>G119*Insumos!G92</f>
        <v>16.21</v>
      </c>
      <c r="I119" s="706" t="str">
        <f t="shared" si="13"/>
        <v>Fornecimento igual ao estimado mensalmente</v>
      </c>
      <c r="J119" s="706"/>
      <c r="K119" s="706"/>
      <c r="L119" s="104">
        <f t="shared" si="14"/>
        <v>8.3333333333333329E-2</v>
      </c>
      <c r="M119" s="105">
        <f>Insumos!E92</f>
        <v>1</v>
      </c>
      <c r="N119" s="106" t="str">
        <f>Insumos!F92</f>
        <v>Anual</v>
      </c>
      <c r="O119" s="93">
        <f t="shared" si="15"/>
        <v>12</v>
      </c>
      <c r="V119" s="28"/>
    </row>
    <row r="120" spans="1:23" s="26" customFormat="1" hidden="1" x14ac:dyDescent="0.3">
      <c r="A120" s="102">
        <v>5</v>
      </c>
      <c r="B120" s="705" t="str">
        <f>Insumos!B93</f>
        <v>Substrato para plantas a base de casca de pinus, turfa, vermiculita expandida, enriquecido com macro e micronutrientes. Embalagem: saco de 25 kg.</v>
      </c>
      <c r="C120" s="705"/>
      <c r="D120" s="705"/>
      <c r="E120" s="372" t="str">
        <f>Insumos!C93</f>
        <v>Saco 25kg</v>
      </c>
      <c r="F120" s="372">
        <f>Insumos!D93</f>
        <v>0</v>
      </c>
      <c r="G120" s="88">
        <f t="shared" si="16"/>
        <v>0.5</v>
      </c>
      <c r="H120" s="89">
        <f>G120*Insumos!G93</f>
        <v>15.095000000000001</v>
      </c>
      <c r="I120" s="706" t="str">
        <f t="shared" si="13"/>
        <v>Fornecimento igual ao estimado mensalmente</v>
      </c>
      <c r="J120" s="706"/>
      <c r="K120" s="706"/>
      <c r="L120" s="104">
        <f t="shared" si="14"/>
        <v>0.5</v>
      </c>
      <c r="M120" s="105">
        <f>Insumos!E93</f>
        <v>6</v>
      </c>
      <c r="N120" s="106" t="str">
        <f>Insumos!F93</f>
        <v>Anual</v>
      </c>
      <c r="O120" s="93">
        <f t="shared" si="15"/>
        <v>12</v>
      </c>
      <c r="V120" s="28"/>
    </row>
    <row r="121" spans="1:23" hidden="1" x14ac:dyDescent="0.3">
      <c r="A121" s="102">
        <v>6</v>
      </c>
      <c r="B121" s="705" t="str">
        <f>Insumos!B94</f>
        <v>Lâminas para Arco de Serra 12 polegadas, em aço bi-metal, com, no mínimo, 24 Dentes por Polegada , dentes reforçados e lâmina flexível.</v>
      </c>
      <c r="C121" s="705"/>
      <c r="D121" s="705"/>
      <c r="E121" s="372" t="str">
        <f>Insumos!C94</f>
        <v>unid.</v>
      </c>
      <c r="F121" s="372" t="str">
        <f>Insumos!D94</f>
        <v>Tramontina</v>
      </c>
      <c r="G121" s="88">
        <f t="shared" si="16"/>
        <v>0.33333333333333331</v>
      </c>
      <c r="H121" s="89">
        <f>G121*Insumos!G94</f>
        <v>5.2866666666666662</v>
      </c>
      <c r="I121" s="706" t="str">
        <f t="shared" si="13"/>
        <v>Fornecimento igual ao estimado mensalmente</v>
      </c>
      <c r="J121" s="706"/>
      <c r="K121" s="706"/>
      <c r="L121" s="104">
        <f t="shared" si="14"/>
        <v>0.33333333333333331</v>
      </c>
      <c r="M121" s="105">
        <f>Insumos!E94</f>
        <v>2</v>
      </c>
      <c r="N121" s="106" t="str">
        <f>Insumos!F94</f>
        <v>Semestral</v>
      </c>
      <c r="O121" s="93">
        <f t="shared" si="15"/>
        <v>6</v>
      </c>
      <c r="R121" s="26"/>
      <c r="S121" s="26"/>
      <c r="T121" s="26"/>
      <c r="U121" s="26"/>
      <c r="W121" s="26"/>
    </row>
    <row r="122" spans="1:23" hidden="1" x14ac:dyDescent="0.3">
      <c r="A122" s="102">
        <v>7</v>
      </c>
      <c r="B122" s="705" t="str">
        <f>Insumos!B95</f>
        <v>Bico para torneira/mangueira 3/4 x 1/2 em metal</v>
      </c>
      <c r="C122" s="705"/>
      <c r="D122" s="705"/>
      <c r="E122" s="372" t="str">
        <f>Insumos!C95</f>
        <v>unid.</v>
      </c>
      <c r="F122" s="372">
        <f>Insumos!D95</f>
        <v>0</v>
      </c>
      <c r="G122" s="88">
        <f t="shared" si="16"/>
        <v>0.41666666666666669</v>
      </c>
      <c r="H122" s="89">
        <f>G122*Insumos!G95</f>
        <v>1.5</v>
      </c>
      <c r="I122" s="706" t="str">
        <f t="shared" si="13"/>
        <v>Fornecimento igual ao estimado mensalmente</v>
      </c>
      <c r="J122" s="706"/>
      <c r="K122" s="706"/>
      <c r="L122" s="104">
        <f t="shared" si="14"/>
        <v>0.41666666666666669</v>
      </c>
      <c r="M122" s="105">
        <f>Insumos!E95</f>
        <v>5</v>
      </c>
      <c r="N122" s="106" t="str">
        <f>Insumos!F95</f>
        <v>Anual</v>
      </c>
      <c r="O122" s="93">
        <f t="shared" si="15"/>
        <v>12</v>
      </c>
      <c r="R122" s="26"/>
      <c r="S122" s="26"/>
      <c r="T122" s="26"/>
      <c r="U122" s="26"/>
      <c r="W122" s="26"/>
    </row>
    <row r="123" spans="1:23" hidden="1" x14ac:dyDescent="0.3">
      <c r="A123" s="102">
        <v>8</v>
      </c>
      <c r="B123" s="705" t="str">
        <f>Insumos!B96</f>
        <v>Esguicho jato regulável para mangueira 3/4 tipo pistola em metal</v>
      </c>
      <c r="C123" s="705"/>
      <c r="D123" s="705"/>
      <c r="E123" s="372" t="str">
        <f>Insumos!C96</f>
        <v>unid.</v>
      </c>
      <c r="F123" s="372">
        <f>Insumos!D96</f>
        <v>0</v>
      </c>
      <c r="G123" s="88">
        <f t="shared" si="16"/>
        <v>0.33333333333333331</v>
      </c>
      <c r="H123" s="89">
        <f>G123*Insumos!G96</f>
        <v>11.476666666666667</v>
      </c>
      <c r="I123" s="706" t="str">
        <f t="shared" si="13"/>
        <v>Fornecimento igual ao estimado mensalmente</v>
      </c>
      <c r="J123" s="706"/>
      <c r="K123" s="706"/>
      <c r="L123" s="104">
        <f t="shared" si="14"/>
        <v>0.33333333333333331</v>
      </c>
      <c r="M123" s="105">
        <f>Insumos!E96</f>
        <v>2</v>
      </c>
      <c r="N123" s="106" t="str">
        <f>Insumos!F96</f>
        <v>Semestral</v>
      </c>
      <c r="O123" s="93">
        <f t="shared" si="15"/>
        <v>6</v>
      </c>
      <c r="R123" s="26"/>
      <c r="S123" s="26"/>
      <c r="T123" s="26"/>
      <c r="U123" s="26"/>
      <c r="W123" s="26"/>
    </row>
    <row r="124" spans="1:23" ht="28.2" hidden="1" customHeight="1" x14ac:dyDescent="0.3">
      <c r="A124" s="102">
        <v>9</v>
      </c>
      <c r="B124" s="705" t="str">
        <f>Insumos!B97</f>
        <v>Abraçadeira Material: Aço Inoxidável, Tipo: Rosca Sem Fim, Largura: 9Mm, Aplicação: Fixação Mangueira, Diâmetro Amarração: 25 A 38 mm</v>
      </c>
      <c r="C124" s="705"/>
      <c r="D124" s="705"/>
      <c r="E124" s="372" t="str">
        <f>Insumos!C97</f>
        <v>unid.</v>
      </c>
      <c r="F124" s="372">
        <f>Insumos!D97</f>
        <v>0</v>
      </c>
      <c r="G124" s="88">
        <f t="shared" si="16"/>
        <v>0.41666666666666669</v>
      </c>
      <c r="H124" s="89">
        <f>G124*Insumos!G97</f>
        <v>1.3250000000000002</v>
      </c>
      <c r="I124" s="706" t="str">
        <f t="shared" si="13"/>
        <v>Fornecimento igual ao estimado mensalmente</v>
      </c>
      <c r="J124" s="706"/>
      <c r="K124" s="706"/>
      <c r="L124" s="104">
        <f t="shared" si="14"/>
        <v>0.41666666666666669</v>
      </c>
      <c r="M124" s="105">
        <f>Insumos!E97</f>
        <v>5</v>
      </c>
      <c r="N124" s="106" t="str">
        <f>Insumos!F97</f>
        <v>Anual</v>
      </c>
      <c r="O124" s="93">
        <f t="shared" si="15"/>
        <v>12</v>
      </c>
      <c r="R124" s="26"/>
      <c r="S124" s="26"/>
      <c r="T124" s="26"/>
      <c r="U124" s="26"/>
      <c r="W124" s="26"/>
    </row>
    <row r="125" spans="1:23" ht="15" hidden="1" thickBot="1" x14ac:dyDescent="0.35">
      <c r="A125" s="102">
        <v>10</v>
      </c>
      <c r="B125" s="705" t="str">
        <f>Insumos!B98</f>
        <v>Emenda de conexão / adaptador para mangueiras 3/4</v>
      </c>
      <c r="C125" s="705"/>
      <c r="D125" s="705"/>
      <c r="E125" s="372" t="str">
        <f>Insumos!C98</f>
        <v>unid.</v>
      </c>
      <c r="F125" s="372">
        <f>Insumos!D98</f>
        <v>0</v>
      </c>
      <c r="G125" s="88">
        <f t="shared" si="16"/>
        <v>0.16666666666666666</v>
      </c>
      <c r="H125" s="89">
        <f>G125*Insumos!G98</f>
        <v>0.39999999999999997</v>
      </c>
      <c r="I125" s="706" t="str">
        <f t="shared" si="13"/>
        <v>Fornecimento igual ao estimado mensalmente</v>
      </c>
      <c r="J125" s="706"/>
      <c r="K125" s="706"/>
      <c r="L125" s="104">
        <f t="shared" si="14"/>
        <v>0.16666666666666666</v>
      </c>
      <c r="M125" s="105">
        <f>Insumos!E98</f>
        <v>2</v>
      </c>
      <c r="N125" s="106" t="str">
        <f>Insumos!F98</f>
        <v>Anual</v>
      </c>
      <c r="O125" s="93">
        <f t="shared" si="15"/>
        <v>12</v>
      </c>
      <c r="R125" s="26"/>
      <c r="S125" s="26"/>
      <c r="T125" s="26"/>
      <c r="U125" s="26"/>
      <c r="W125" s="26"/>
    </row>
    <row r="126" spans="1:23" s="26" customFormat="1" ht="15" hidden="1" customHeight="1" x14ac:dyDescent="0.3">
      <c r="A126" s="707" t="s">
        <v>115</v>
      </c>
      <c r="B126" s="707"/>
      <c r="C126" s="707"/>
      <c r="D126" s="707"/>
      <c r="E126" s="707"/>
      <c r="F126" s="707"/>
      <c r="G126" s="707"/>
      <c r="H126" s="107">
        <f>SUM(H116:H125)</f>
        <v>144.52333333333331</v>
      </c>
      <c r="I126" s="96"/>
      <c r="J126" s="96"/>
      <c r="L126" s="4"/>
      <c r="M126" s="79"/>
      <c r="N126" s="4"/>
      <c r="P126" s="28"/>
      <c r="Q126" s="28"/>
      <c r="R126" s="28"/>
      <c r="S126" s="28"/>
      <c r="T126" s="28"/>
      <c r="U126" s="28"/>
    </row>
    <row r="127" spans="1:23" s="26" customFormat="1" ht="15" hidden="1" customHeight="1" x14ac:dyDescent="0.3">
      <c r="A127" s="702" t="s">
        <v>116</v>
      </c>
      <c r="B127" s="702"/>
      <c r="C127" s="702"/>
      <c r="D127" s="702"/>
      <c r="E127" s="702"/>
      <c r="F127" s="702"/>
      <c r="G127" s="97">
        <f>Dados!$G$49</f>
        <v>7.0000000000000007E-2</v>
      </c>
      <c r="H127" s="98">
        <f>ROUND((H126*G127),2)</f>
        <v>10.119999999999999</v>
      </c>
      <c r="I127" s="4"/>
      <c r="J127" s="4"/>
      <c r="L127" s="4"/>
      <c r="M127" s="4"/>
      <c r="N127" s="4"/>
      <c r="P127" s="28"/>
      <c r="Q127" s="28"/>
      <c r="R127" s="28"/>
      <c r="S127" s="28"/>
      <c r="T127" s="28"/>
      <c r="U127" s="28"/>
    </row>
    <row r="128" spans="1:23" ht="15" hidden="1" customHeight="1" x14ac:dyDescent="0.3">
      <c r="A128" s="702" t="s">
        <v>117</v>
      </c>
      <c r="B128" s="702"/>
      <c r="C128" s="702"/>
      <c r="D128" s="702"/>
      <c r="E128" s="702"/>
      <c r="F128" s="702"/>
      <c r="G128" s="97">
        <f>Dados!$G$50</f>
        <v>3.6900000000000002E-2</v>
      </c>
      <c r="H128" s="98">
        <f>ROUND((SUM(H126:H127)*G128),2)</f>
        <v>5.71</v>
      </c>
      <c r="I128" s="4"/>
      <c r="J128" s="4"/>
      <c r="K128" s="26"/>
      <c r="L128" s="4"/>
      <c r="M128" s="4"/>
      <c r="N128" s="4"/>
      <c r="P128" s="28"/>
      <c r="Q128" s="28"/>
      <c r="V128" s="26"/>
      <c r="W128" s="26"/>
    </row>
    <row r="129" spans="1:23" ht="15" hidden="1" customHeight="1" x14ac:dyDescent="0.3">
      <c r="A129" s="702" t="s">
        <v>118</v>
      </c>
      <c r="B129" s="702"/>
      <c r="C129" s="702"/>
      <c r="D129" s="702"/>
      <c r="E129" s="702"/>
      <c r="F129" s="702"/>
      <c r="G129" s="97">
        <f>Dados!$G$61</f>
        <v>0.1125</v>
      </c>
      <c r="H129" s="98">
        <f>ROUND((H130*G129),2)</f>
        <v>20.329999999999998</v>
      </c>
      <c r="I129" s="4"/>
      <c r="J129" s="4"/>
      <c r="K129" s="26"/>
      <c r="L129" s="4"/>
      <c r="M129" s="4"/>
      <c r="N129" s="4"/>
      <c r="P129" s="28"/>
      <c r="Q129" s="28"/>
      <c r="V129" s="26"/>
      <c r="W129" s="26"/>
    </row>
    <row r="130" spans="1:23" ht="15.75" hidden="1" customHeight="1" thickBot="1" x14ac:dyDescent="0.35">
      <c r="A130" s="703" t="s">
        <v>123</v>
      </c>
      <c r="B130" s="703"/>
      <c r="C130" s="703"/>
      <c r="D130" s="703"/>
      <c r="E130" s="703"/>
      <c r="F130" s="703"/>
      <c r="G130" s="703"/>
      <c r="H130" s="100">
        <f>ROUND((SUM(H126:H128)/(1-G129)),2)</f>
        <v>180.68</v>
      </c>
      <c r="I130" s="4"/>
      <c r="J130" s="4"/>
      <c r="K130" s="26"/>
      <c r="L130" s="4"/>
      <c r="M130" s="4"/>
      <c r="N130" s="4"/>
      <c r="P130" s="28"/>
      <c r="Q130" s="28"/>
      <c r="V130" s="26"/>
      <c r="W130" s="26"/>
    </row>
    <row r="131" spans="1:23" ht="15" hidden="1" thickBot="1" x14ac:dyDescent="0.35">
      <c r="A131" s="101"/>
      <c r="B131" s="79"/>
      <c r="C131" s="79"/>
      <c r="D131" s="79"/>
      <c r="E131" s="662"/>
      <c r="F131" s="662"/>
      <c r="G131" s="101"/>
      <c r="H131" s="79"/>
      <c r="I131" s="4"/>
      <c r="J131" s="4"/>
      <c r="K131" s="26"/>
      <c r="L131" s="4"/>
      <c r="M131" s="4"/>
      <c r="N131" s="4"/>
      <c r="P131" s="28"/>
      <c r="Q131" s="28"/>
      <c r="V131" s="26"/>
      <c r="W131" s="26"/>
    </row>
    <row r="132" spans="1:23" ht="42" hidden="1" customHeight="1" thickBot="1" x14ac:dyDescent="0.35">
      <c r="A132" s="707" t="s">
        <v>103</v>
      </c>
      <c r="B132" s="708" t="s">
        <v>674</v>
      </c>
      <c r="C132" s="708"/>
      <c r="D132" s="708"/>
      <c r="E132" s="708"/>
      <c r="F132" s="709" t="s">
        <v>104</v>
      </c>
      <c r="G132" s="709"/>
      <c r="H132" s="709"/>
      <c r="I132" s="710" t="s">
        <v>105</v>
      </c>
      <c r="J132" s="710"/>
      <c r="K132" s="710"/>
      <c r="L132" s="700" t="s">
        <v>106</v>
      </c>
      <c r="M132" s="700"/>
      <c r="N132" s="700"/>
      <c r="O132" s="700"/>
      <c r="R132" s="26"/>
      <c r="S132" s="26"/>
      <c r="T132" s="26"/>
      <c r="U132" s="26"/>
      <c r="V132" s="26"/>
      <c r="W132" s="26"/>
    </row>
    <row r="133" spans="1:23" ht="51" hidden="1" customHeight="1" x14ac:dyDescent="0.3">
      <c r="A133" s="707"/>
      <c r="B133" s="701" t="s">
        <v>669</v>
      </c>
      <c r="C133" s="701"/>
      <c r="D133" s="701"/>
      <c r="E133" s="73" t="s">
        <v>107</v>
      </c>
      <c r="F133" s="73" t="s">
        <v>108</v>
      </c>
      <c r="G133" s="73" t="s">
        <v>109</v>
      </c>
      <c r="H133" s="84" t="s">
        <v>110</v>
      </c>
      <c r="I133" s="710"/>
      <c r="J133" s="710"/>
      <c r="K133" s="710"/>
      <c r="L133" s="80" t="s">
        <v>111</v>
      </c>
      <c r="M133" s="81" t="s">
        <v>112</v>
      </c>
      <c r="N133" s="81" t="s">
        <v>113</v>
      </c>
      <c r="O133" s="82" t="s">
        <v>114</v>
      </c>
      <c r="R133" s="26"/>
      <c r="S133" s="26"/>
      <c r="T133" s="26"/>
      <c r="U133" s="26"/>
      <c r="V133" s="26"/>
      <c r="W133" s="26"/>
    </row>
    <row r="134" spans="1:23" ht="30" hidden="1" customHeight="1" x14ac:dyDescent="0.3">
      <c r="A134" s="102">
        <v>1</v>
      </c>
      <c r="B134" s="705" t="str">
        <f>Insumos!B105</f>
        <v>Cera Aplicação: Automóvel, Cor: Incolor Leitoso , Tipo: Pastosa , Características Adicionais: Diluível, Pulverizar Veículo Lavado , Composição: Cera Carnaúba E Poli- Tetrafluor-Etileno (Teflon) 200g</v>
      </c>
      <c r="C134" s="705"/>
      <c r="D134" s="705"/>
      <c r="E134" s="372" t="str">
        <f>Insumos!C105</f>
        <v>unid.</v>
      </c>
      <c r="F134" s="372" t="str">
        <f>Insumos!D105</f>
        <v>Norton</v>
      </c>
      <c r="G134" s="88">
        <f>L134</f>
        <v>0.83333333333333337</v>
      </c>
      <c r="H134" s="89">
        <f>G134*Insumos!G105</f>
        <v>26.45</v>
      </c>
      <c r="I134" s="706" t="str">
        <f>IF(G134&lt;L134,"Fornecimento inferior ao estimado mensalmente",IF(G134=L134,"Fornecimento igual ao estimado mensalmente",IF(G134&gt;L134,"Fornecimento superior ao estimado mensalmente",)))</f>
        <v>Fornecimento igual ao estimado mensalmente</v>
      </c>
      <c r="J134" s="706"/>
      <c r="K134" s="706"/>
      <c r="L134" s="104">
        <f>M134/O134</f>
        <v>0.83333333333333337</v>
      </c>
      <c r="M134" s="105">
        <f>Insumos!E105</f>
        <v>10</v>
      </c>
      <c r="N134" s="106" t="str">
        <f>Insumos!F105</f>
        <v>Anual</v>
      </c>
      <c r="O134" s="93">
        <f>IF(N134="MENSAL",1,IF(N134="BIMESTRAL",2,IF(N134="TRIMESTRAL",3,IF(N134="QUADRIMESTRAL",4,IF(N134="SEMESTRAL",6,IF(N134="ANUAL",12,IF(N134="BIENAL",24,"")))))))</f>
        <v>12</v>
      </c>
    </row>
    <row r="135" spans="1:23" ht="29.4" hidden="1" customHeight="1" x14ac:dyDescent="0.3">
      <c r="A135" s="102">
        <v>2</v>
      </c>
      <c r="B135" s="705" t="str">
        <f>Insumos!B106</f>
        <v>Estopa 150g para polimento - Estopa 150g para polimento - Estopa Material: Fio Algodão , Aplicação: Polimento E Limpeza Especial , Cor: Branca</v>
      </c>
      <c r="C135" s="705"/>
      <c r="D135" s="705"/>
      <c r="E135" s="372" t="str">
        <f>Insumos!C106</f>
        <v>pacote</v>
      </c>
      <c r="F135" s="372" t="str">
        <f>Insumos!D106</f>
        <v>Norton</v>
      </c>
      <c r="G135" s="88">
        <f t="shared" ref="G135:G139" si="17">L135</f>
        <v>6</v>
      </c>
      <c r="H135" s="89">
        <f>G135*Insumos!G106</f>
        <v>31.799999999999997</v>
      </c>
      <c r="I135" s="706" t="str">
        <f t="shared" ref="I135:I139" si="18">IF(G135&lt;L135,"Fornecimento inferior ao estimado mensalmente",IF(G135=L135,"Fornecimento igual ao estimado mensalmente",IF(G135&gt;L135,"Fornecimento superior ao estimado mensalmente",)))</f>
        <v>Fornecimento igual ao estimado mensalmente</v>
      </c>
      <c r="J135" s="706"/>
      <c r="K135" s="706"/>
      <c r="L135" s="104">
        <f t="shared" ref="L135:L139" si="19">M135/O135</f>
        <v>6</v>
      </c>
      <c r="M135" s="105">
        <f>Insumos!E106</f>
        <v>6</v>
      </c>
      <c r="N135" s="106" t="str">
        <f>Insumos!F106</f>
        <v>Mensal</v>
      </c>
      <c r="O135" s="93">
        <f>IF(N135="MENSAL",1,IF(N135="BIMESTRAL",2,IF(N135="TRIMESTRAL",3,IF(N135="QUADRIMESTRAL",4,IF(N135="SEMESTRAL",6,IF(N135="ANUAL",12,IF(N135="BIENAL",24,"")))))))</f>
        <v>1</v>
      </c>
    </row>
    <row r="136" spans="1:23" ht="40.5" hidden="1" customHeight="1" x14ac:dyDescent="0.3">
      <c r="A136" s="102">
        <v>3</v>
      </c>
      <c r="B136" s="705" t="str">
        <f>Insumos!B107</f>
        <v>Esponja Para Lavagem De Louças E Limpeza Em Geral, Dupla Face Sintética, Um Lado Em Espuma Poliuretano E Outro Em Fibra Sintética Abrasiva, Antibacteriana, Formato Retangular, Medindo Aproximadamente 110mm X 75mm X 20mm De Espessura. Pacote com 4 unidades.</v>
      </c>
      <c r="C136" s="705"/>
      <c r="D136" s="705"/>
      <c r="E136" s="372" t="str">
        <f>Insumos!C107</f>
        <v>pacote</v>
      </c>
      <c r="F136" s="372" t="str">
        <f>Insumos!D107</f>
        <v>Detailer</v>
      </c>
      <c r="G136" s="88">
        <f t="shared" si="17"/>
        <v>1</v>
      </c>
      <c r="H136" s="89">
        <f>G136*Insumos!G107</f>
        <v>6.4</v>
      </c>
      <c r="I136" s="706" t="str">
        <f t="shared" si="18"/>
        <v>Fornecimento igual ao estimado mensalmente</v>
      </c>
      <c r="J136" s="706"/>
      <c r="K136" s="706"/>
      <c r="L136" s="104">
        <f t="shared" si="19"/>
        <v>1</v>
      </c>
      <c r="M136" s="105">
        <f>Insumos!E107</f>
        <v>1</v>
      </c>
      <c r="N136" s="106" t="str">
        <f>Insumos!F107</f>
        <v>Mensal</v>
      </c>
      <c r="O136" s="93">
        <f>IF(N136="MENSAL",1,IF(N136="BIMESTRAL",2,IF(N136="TRIMESTRAL",3,IF(N136="QUADRIMESTRAL",4,IF(N136="SEMESTRAL",6,IF(N136="ANUAL",12,IF(N136="BIENAL",24,"")))))))</f>
        <v>1</v>
      </c>
    </row>
    <row r="137" spans="1:23" ht="28.2" hidden="1" customHeight="1" x14ac:dyDescent="0.3">
      <c r="A137" s="102">
        <v>4</v>
      </c>
      <c r="B137" s="705" t="str">
        <f>Insumos!B108</f>
        <v>Limpa Pneu - aspecto físico líquido, composição glicerina, tensoativos, pigmentos, água, aplicação em superfícies emborrachadas e similares, frasco 500ml</v>
      </c>
      <c r="C137" s="705"/>
      <c r="D137" s="705"/>
      <c r="E137" s="372" t="str">
        <f>Insumos!C108</f>
        <v>Unid.</v>
      </c>
      <c r="F137" s="372" t="str">
        <f>Insumos!D108</f>
        <v>Tecbril</v>
      </c>
      <c r="G137" s="88">
        <f t="shared" si="17"/>
        <v>1.6666666666666667</v>
      </c>
      <c r="H137" s="89">
        <f>G137*Insumos!G108</f>
        <v>18.583333333333336</v>
      </c>
      <c r="I137" s="706" t="str">
        <f t="shared" si="18"/>
        <v>Fornecimento igual ao estimado mensalmente</v>
      </c>
      <c r="J137" s="706"/>
      <c r="K137" s="706"/>
      <c r="L137" s="104">
        <f t="shared" si="19"/>
        <v>1.6666666666666667</v>
      </c>
      <c r="M137" s="105">
        <f>Insumos!E108</f>
        <v>10</v>
      </c>
      <c r="N137" s="106" t="str">
        <f>Insumos!F108</f>
        <v>Semestral</v>
      </c>
      <c r="O137" s="93">
        <f t="shared" ref="O137:O139" si="20">IF(N137="MENSAL",1,IF(N137="BIMESTRAL",2,IF(N137="TRIMESTRAL",3,IF(N137="QUADRIMESTRAL",4,IF(N137="SEMESTRAL",6,IF(N137="ANUAL",12,IF(N137="BIENAL",24,"")))))))</f>
        <v>6</v>
      </c>
    </row>
    <row r="138" spans="1:23" ht="45.6" hidden="1" customHeight="1" x14ac:dyDescent="0.3">
      <c r="A138" s="102">
        <v>5</v>
      </c>
      <c r="B138" s="705" t="str">
        <f>Insumos!B109</f>
        <v>Shampoo Automotivo - 5 LITROS Especificações Mínimas: tipo neutro; produto concentrado 1 x 40; composto de tensoativo aniônico, coadjuvante, conservante, corante e veículo; produto com validade de 12 (doze) meses. Produto com registro/notificação/isenção na ANVISA/MS.</v>
      </c>
      <c r="C138" s="705"/>
      <c r="D138" s="705"/>
      <c r="E138" s="372" t="str">
        <f>Insumos!C109</f>
        <v>galão</v>
      </c>
      <c r="F138" s="372" t="str">
        <f>Insumos!D109</f>
        <v>Detersid</v>
      </c>
      <c r="G138" s="88">
        <f t="shared" si="17"/>
        <v>0.33333333333333331</v>
      </c>
      <c r="H138" s="89">
        <f>G138*Insumos!G109</f>
        <v>8.8333333333333321</v>
      </c>
      <c r="I138" s="706" t="str">
        <f t="shared" si="18"/>
        <v>Fornecimento igual ao estimado mensalmente</v>
      </c>
      <c r="J138" s="706"/>
      <c r="K138" s="706"/>
      <c r="L138" s="104">
        <f t="shared" si="19"/>
        <v>0.33333333333333331</v>
      </c>
      <c r="M138" s="105">
        <f>Insumos!E109</f>
        <v>1</v>
      </c>
      <c r="N138" s="106" t="str">
        <f>Insumos!F109</f>
        <v>Trimestral</v>
      </c>
      <c r="O138" s="93">
        <f t="shared" si="20"/>
        <v>3</v>
      </c>
    </row>
    <row r="139" spans="1:23" ht="30" hidden="1" customHeight="1" thickBot="1" x14ac:dyDescent="0.35">
      <c r="A139" s="102">
        <v>6</v>
      </c>
      <c r="B139" s="705" t="str">
        <f>Insumos!B110</f>
        <v>Toalha Mágica - Pano Limpeza Material: Microfibra. Aplicação: Uso Geral, Comprimento aprox. 66cm x 43cm, Tipo: Toalha, Características Adicionais: Alto Grau Absorção.</v>
      </c>
      <c r="C139" s="705"/>
      <c r="D139" s="705"/>
      <c r="E139" s="372" t="str">
        <f>Insumos!C110</f>
        <v>unid.</v>
      </c>
      <c r="F139" s="372" t="str">
        <f>Insumos!D110</f>
        <v>Detailer</v>
      </c>
      <c r="G139" s="88">
        <f t="shared" si="17"/>
        <v>3</v>
      </c>
      <c r="H139" s="89">
        <f>G139*Insumos!G110</f>
        <v>63.75</v>
      </c>
      <c r="I139" s="706" t="str">
        <f t="shared" si="18"/>
        <v>Fornecimento igual ao estimado mensalmente</v>
      </c>
      <c r="J139" s="706"/>
      <c r="K139" s="706"/>
      <c r="L139" s="104">
        <f t="shared" si="19"/>
        <v>3</v>
      </c>
      <c r="M139" s="105">
        <f>Insumos!E110</f>
        <v>3</v>
      </c>
      <c r="N139" s="106" t="str">
        <f>Insumos!F110</f>
        <v>Mensal</v>
      </c>
      <c r="O139" s="93">
        <f t="shared" si="20"/>
        <v>1</v>
      </c>
    </row>
    <row r="140" spans="1:23" ht="15" hidden="1" customHeight="1" x14ac:dyDescent="0.3">
      <c r="A140" s="707" t="s">
        <v>115</v>
      </c>
      <c r="B140" s="707"/>
      <c r="C140" s="707"/>
      <c r="D140" s="707"/>
      <c r="E140" s="707"/>
      <c r="F140" s="707"/>
      <c r="G140" s="707"/>
      <c r="H140" s="107">
        <f>SUM(H134:H139)</f>
        <v>155.81666666666666</v>
      </c>
      <c r="I140" s="96"/>
      <c r="J140" s="96"/>
      <c r="K140" s="26"/>
      <c r="L140" s="4"/>
      <c r="M140" s="79"/>
      <c r="N140" s="4"/>
      <c r="P140" s="28"/>
      <c r="Q140" s="28"/>
      <c r="V140" s="26"/>
    </row>
    <row r="141" spans="1:23" ht="15" hidden="1" customHeight="1" x14ac:dyDescent="0.3">
      <c r="A141" s="702" t="s">
        <v>116</v>
      </c>
      <c r="B141" s="702"/>
      <c r="C141" s="702"/>
      <c r="D141" s="702"/>
      <c r="E141" s="702"/>
      <c r="F141" s="702"/>
      <c r="G141" s="97">
        <f>Dados!$G$49</f>
        <v>7.0000000000000007E-2</v>
      </c>
      <c r="H141" s="98">
        <f>ROUND((H140*G141),2)</f>
        <v>10.91</v>
      </c>
      <c r="I141" s="4"/>
      <c r="J141" s="4"/>
      <c r="K141" s="26"/>
      <c r="L141" s="4"/>
      <c r="M141" s="4"/>
      <c r="N141" s="4"/>
      <c r="P141" s="28"/>
      <c r="Q141" s="28"/>
      <c r="V141" s="26"/>
    </row>
    <row r="142" spans="1:23" ht="15" hidden="1" customHeight="1" x14ac:dyDescent="0.3">
      <c r="A142" s="702" t="s">
        <v>117</v>
      </c>
      <c r="B142" s="702"/>
      <c r="C142" s="702"/>
      <c r="D142" s="702"/>
      <c r="E142" s="702"/>
      <c r="F142" s="702"/>
      <c r="G142" s="97">
        <f>Dados!$G$50</f>
        <v>3.6900000000000002E-2</v>
      </c>
      <c r="H142" s="98">
        <f>ROUND((SUM(H140:H141)*G142),2)</f>
        <v>6.15</v>
      </c>
      <c r="I142" s="4"/>
      <c r="J142" s="4"/>
      <c r="K142" s="26"/>
      <c r="L142" s="4"/>
      <c r="M142" s="4"/>
      <c r="N142" s="4"/>
      <c r="P142" s="28"/>
      <c r="Q142" s="28"/>
      <c r="V142" s="26"/>
    </row>
    <row r="143" spans="1:23" ht="15" hidden="1" customHeight="1" x14ac:dyDescent="0.3">
      <c r="A143" s="702" t="s">
        <v>118</v>
      </c>
      <c r="B143" s="702"/>
      <c r="C143" s="702"/>
      <c r="D143" s="702"/>
      <c r="E143" s="702"/>
      <c r="F143" s="702"/>
      <c r="G143" s="97">
        <f>Dados!$G$61</f>
        <v>0.1125</v>
      </c>
      <c r="H143" s="98">
        <f>ROUND((H144*G143),2)</f>
        <v>21.91</v>
      </c>
      <c r="I143" s="4"/>
      <c r="J143" s="4"/>
      <c r="K143" s="26"/>
      <c r="L143" s="4"/>
      <c r="M143" s="4"/>
      <c r="N143" s="4"/>
      <c r="P143" s="28"/>
      <c r="Q143" s="28"/>
      <c r="V143" s="26"/>
    </row>
    <row r="144" spans="1:23" ht="15.75" hidden="1" customHeight="1" thickBot="1" x14ac:dyDescent="0.35">
      <c r="A144" s="703" t="s">
        <v>124</v>
      </c>
      <c r="B144" s="703"/>
      <c r="C144" s="703"/>
      <c r="D144" s="703"/>
      <c r="E144" s="703"/>
      <c r="F144" s="703"/>
      <c r="G144" s="703"/>
      <c r="H144" s="100">
        <f>ROUND((SUM(H140:H142)/(1-G143)),2)</f>
        <v>194.79</v>
      </c>
      <c r="I144" s="4"/>
      <c r="J144" s="4"/>
      <c r="K144" s="26"/>
      <c r="L144" s="4"/>
      <c r="M144" s="4"/>
      <c r="N144" s="4"/>
      <c r="P144" s="28"/>
      <c r="Q144" s="28"/>
      <c r="V144" s="26"/>
    </row>
    <row r="145" spans="1:22" x14ac:dyDescent="0.3">
      <c r="A145" s="101"/>
      <c r="B145" s="79"/>
      <c r="C145" s="79"/>
      <c r="D145" s="79"/>
      <c r="E145" s="662"/>
      <c r="F145" s="662"/>
      <c r="G145" s="101"/>
      <c r="H145" s="79"/>
      <c r="I145" s="4"/>
      <c r="J145" s="4"/>
      <c r="K145" s="26"/>
      <c r="L145" s="4"/>
      <c r="M145" s="4"/>
      <c r="N145" s="4"/>
      <c r="P145" s="28"/>
      <c r="Q145" s="28"/>
      <c r="V145" s="26"/>
    </row>
    <row r="146" spans="1:22" x14ac:dyDescent="0.3">
      <c r="A146" s="101"/>
      <c r="B146" s="79"/>
      <c r="C146" s="79"/>
      <c r="D146" s="79"/>
      <c r="E146" s="662"/>
      <c r="F146" s="662"/>
      <c r="G146" s="101"/>
      <c r="H146" s="79"/>
      <c r="I146" s="4"/>
      <c r="J146" s="4"/>
      <c r="K146" s="26"/>
      <c r="L146" s="4"/>
      <c r="M146" s="4"/>
      <c r="N146" s="4"/>
      <c r="P146" s="28"/>
      <c r="Q146" s="28"/>
      <c r="V146" s="26"/>
    </row>
    <row r="147" spans="1:22" hidden="1" x14ac:dyDescent="0.3"/>
    <row r="148" spans="1:22" hidden="1" x14ac:dyDescent="0.3">
      <c r="B148" s="704" t="s">
        <v>125</v>
      </c>
      <c r="C148" s="704"/>
    </row>
    <row r="149" spans="1:22" hidden="1" x14ac:dyDescent="0.3">
      <c r="B149" s="109" t="s">
        <v>126</v>
      </c>
      <c r="C149" s="110">
        <v>22</v>
      </c>
      <c r="D149" s="26" t="s">
        <v>127</v>
      </c>
    </row>
    <row r="150" spans="1:22" hidden="1" x14ac:dyDescent="0.3">
      <c r="B150" s="109" t="s">
        <v>53</v>
      </c>
      <c r="C150" s="111">
        <v>30</v>
      </c>
      <c r="D150" s="26" t="s">
        <v>128</v>
      </c>
    </row>
    <row r="151" spans="1:22" hidden="1" x14ac:dyDescent="0.3">
      <c r="B151" s="109" t="s">
        <v>129</v>
      </c>
      <c r="C151" s="111" t="s">
        <v>130</v>
      </c>
      <c r="D151" s="26" t="s">
        <v>131</v>
      </c>
    </row>
    <row r="152" spans="1:22" hidden="1" x14ac:dyDescent="0.3"/>
    <row r="153" spans="1:22" hidden="1" x14ac:dyDescent="0.3">
      <c r="B153" s="109" t="s">
        <v>132</v>
      </c>
      <c r="C153" s="109" t="s">
        <v>133</v>
      </c>
    </row>
    <row r="154" spans="1:22" hidden="1" x14ac:dyDescent="0.3">
      <c r="B154" s="109">
        <v>220</v>
      </c>
      <c r="C154" s="109">
        <v>8.8000000000000007</v>
      </c>
    </row>
    <row r="155" spans="1:22" hidden="1" x14ac:dyDescent="0.3">
      <c r="B155" s="109">
        <v>200</v>
      </c>
      <c r="C155" s="109">
        <v>8</v>
      </c>
    </row>
    <row r="156" spans="1:22" hidden="1" x14ac:dyDescent="0.3">
      <c r="B156" s="109">
        <v>180</v>
      </c>
      <c r="C156" s="109">
        <v>7.2</v>
      </c>
    </row>
    <row r="157" spans="1:22" hidden="1" x14ac:dyDescent="0.3">
      <c r="B157" s="109">
        <v>150</v>
      </c>
      <c r="C157" s="109">
        <v>6</v>
      </c>
    </row>
    <row r="158" spans="1:22" hidden="1" x14ac:dyDescent="0.3">
      <c r="B158" s="109">
        <v>120</v>
      </c>
      <c r="C158" s="109">
        <v>4.8</v>
      </c>
    </row>
    <row r="159" spans="1:22" hidden="1" x14ac:dyDescent="0.3">
      <c r="B159" s="109">
        <v>100</v>
      </c>
      <c r="C159" s="109">
        <v>4</v>
      </c>
    </row>
    <row r="160" spans="1:22" hidden="1" x14ac:dyDescent="0.3">
      <c r="B160" s="109">
        <v>75</v>
      </c>
      <c r="C160" s="109">
        <v>3</v>
      </c>
    </row>
    <row r="161" spans="2:2" hidden="1" x14ac:dyDescent="0.3"/>
    <row r="162" spans="2:2" hidden="1" x14ac:dyDescent="0.3">
      <c r="B162" s="109" t="s">
        <v>134</v>
      </c>
    </row>
    <row r="163" spans="2:2" hidden="1" x14ac:dyDescent="0.3">
      <c r="B163" s="112">
        <v>0</v>
      </c>
    </row>
    <row r="164" spans="2:2" hidden="1" x14ac:dyDescent="0.3">
      <c r="B164" s="112">
        <v>1</v>
      </c>
    </row>
    <row r="165" spans="2:2" hidden="1" x14ac:dyDescent="0.3">
      <c r="B165" s="112">
        <v>2</v>
      </c>
    </row>
    <row r="166" spans="2:2" hidden="1" x14ac:dyDescent="0.3"/>
  </sheetData>
  <sheetProtection algorithmName="SHA-512" hashValue="r3bsfECAyDYelHYGpk8I6UcUzsNvdAPOvx97ZOoczQ55QDwQoYmsTd/CaWjsOfppUDXgiT6vIp+HRc7Tj6oA3g==" saltValue="XQ0IvGfdYc8IX5hZMbArNg==" spinCount="100000" sheet="1" objects="1" scenarios="1"/>
  <mergeCells count="237">
    <mergeCell ref="B103:D103"/>
    <mergeCell ref="B104:D104"/>
    <mergeCell ref="B105:D105"/>
    <mergeCell ref="B106:D106"/>
    <mergeCell ref="B107:D107"/>
    <mergeCell ref="I97:K97"/>
    <mergeCell ref="I98:K98"/>
    <mergeCell ref="I99:K99"/>
    <mergeCell ref="I100:K100"/>
    <mergeCell ref="I101:K101"/>
    <mergeCell ref="I102:K102"/>
    <mergeCell ref="I103:K103"/>
    <mergeCell ref="I104:K104"/>
    <mergeCell ref="I105:K105"/>
    <mergeCell ref="I106:K106"/>
    <mergeCell ref="I107:K107"/>
    <mergeCell ref="B97:D97"/>
    <mergeCell ref="B98:D98"/>
    <mergeCell ref="B99:D99"/>
    <mergeCell ref="B100:D100"/>
    <mergeCell ref="B101:D101"/>
    <mergeCell ref="B102:D102"/>
    <mergeCell ref="S7:U9"/>
    <mergeCell ref="C2:S2"/>
    <mergeCell ref="C3:S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A21:G21"/>
    <mergeCell ref="I21:J21"/>
    <mergeCell ref="A24:B25"/>
    <mergeCell ref="A26:F27"/>
    <mergeCell ref="A30:A31"/>
    <mergeCell ref="B30:E30"/>
    <mergeCell ref="F30:H30"/>
    <mergeCell ref="I30:K31"/>
    <mergeCell ref="L30:O30"/>
    <mergeCell ref="B31:D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52:D52"/>
    <mergeCell ref="I52:K52"/>
    <mergeCell ref="B53:D53"/>
    <mergeCell ref="I53:K53"/>
    <mergeCell ref="B54:D54"/>
    <mergeCell ref="I54:K54"/>
    <mergeCell ref="B55:D55"/>
    <mergeCell ref="I55:K55"/>
    <mergeCell ref="B47:D47"/>
    <mergeCell ref="I47:K47"/>
    <mergeCell ref="B48:D48"/>
    <mergeCell ref="I48:K48"/>
    <mergeCell ref="B49:D49"/>
    <mergeCell ref="I49:K49"/>
    <mergeCell ref="B50:D50"/>
    <mergeCell ref="I50:K50"/>
    <mergeCell ref="B51:D51"/>
    <mergeCell ref="I51:K51"/>
    <mergeCell ref="B56:D56"/>
    <mergeCell ref="I56:K56"/>
    <mergeCell ref="B57:D57"/>
    <mergeCell ref="I57:K57"/>
    <mergeCell ref="B58:D58"/>
    <mergeCell ref="I58:K58"/>
    <mergeCell ref="B59:D59"/>
    <mergeCell ref="I59:K59"/>
    <mergeCell ref="B60:D60"/>
    <mergeCell ref="I60:K60"/>
    <mergeCell ref="B61:D61"/>
    <mergeCell ref="I61:K61"/>
    <mergeCell ref="B62:D62"/>
    <mergeCell ref="I62:K62"/>
    <mergeCell ref="B63:D63"/>
    <mergeCell ref="I63:K63"/>
    <mergeCell ref="B64:D64"/>
    <mergeCell ref="I64:K64"/>
    <mergeCell ref="B65:D65"/>
    <mergeCell ref="I65:K65"/>
    <mergeCell ref="B66:D66"/>
    <mergeCell ref="I66:K66"/>
    <mergeCell ref="B67:D67"/>
    <mergeCell ref="I67:K67"/>
    <mergeCell ref="B68:D68"/>
    <mergeCell ref="I68:K68"/>
    <mergeCell ref="B69:D69"/>
    <mergeCell ref="I69:K69"/>
    <mergeCell ref="B70:D70"/>
    <mergeCell ref="I70:K70"/>
    <mergeCell ref="B71:D71"/>
    <mergeCell ref="I71:K71"/>
    <mergeCell ref="B72:D72"/>
    <mergeCell ref="I72:K72"/>
    <mergeCell ref="B73:D73"/>
    <mergeCell ref="I73:K73"/>
    <mergeCell ref="B74:D74"/>
    <mergeCell ref="I74:K74"/>
    <mergeCell ref="B75:D75"/>
    <mergeCell ref="I75:K75"/>
    <mergeCell ref="B76:D76"/>
    <mergeCell ref="I76:K76"/>
    <mergeCell ref="B77:D77"/>
    <mergeCell ref="I77:K77"/>
    <mergeCell ref="B78:D78"/>
    <mergeCell ref="I78:K78"/>
    <mergeCell ref="B79:D79"/>
    <mergeCell ref="I79:K79"/>
    <mergeCell ref="B80:D80"/>
    <mergeCell ref="I80:K80"/>
    <mergeCell ref="B81:D81"/>
    <mergeCell ref="I81:K81"/>
    <mergeCell ref="B82:D82"/>
    <mergeCell ref="I82:K82"/>
    <mergeCell ref="B83:D83"/>
    <mergeCell ref="I83:K83"/>
    <mergeCell ref="B84:D84"/>
    <mergeCell ref="I84:K84"/>
    <mergeCell ref="A85:G85"/>
    <mergeCell ref="A86:F86"/>
    <mergeCell ref="A87:F87"/>
    <mergeCell ref="A88:F88"/>
    <mergeCell ref="A89:G89"/>
    <mergeCell ref="B94:D94"/>
    <mergeCell ref="A91:A92"/>
    <mergeCell ref="B91:E91"/>
    <mergeCell ref="F91:H91"/>
    <mergeCell ref="I91:K92"/>
    <mergeCell ref="L91:O91"/>
    <mergeCell ref="B92:D92"/>
    <mergeCell ref="B93:D93"/>
    <mergeCell ref="I93:K93"/>
    <mergeCell ref="I94:K94"/>
    <mergeCell ref="B95:D95"/>
    <mergeCell ref="I95:K95"/>
    <mergeCell ref="B96:D96"/>
    <mergeCell ref="I96:K96"/>
    <mergeCell ref="A108:G108"/>
    <mergeCell ref="A109:F109"/>
    <mergeCell ref="A110:F110"/>
    <mergeCell ref="A111:F111"/>
    <mergeCell ref="A112:G112"/>
    <mergeCell ref="A114:A115"/>
    <mergeCell ref="B114:E114"/>
    <mergeCell ref="F114:H114"/>
    <mergeCell ref="I114:K115"/>
    <mergeCell ref="L114:O114"/>
    <mergeCell ref="B115:D115"/>
    <mergeCell ref="B116:D116"/>
    <mergeCell ref="I116:K116"/>
    <mergeCell ref="B117:D117"/>
    <mergeCell ref="I117:K117"/>
    <mergeCell ref="B118:D118"/>
    <mergeCell ref="I118:K118"/>
    <mergeCell ref="B119:D119"/>
    <mergeCell ref="I119:K119"/>
    <mergeCell ref="B120:D120"/>
    <mergeCell ref="I120:K120"/>
    <mergeCell ref="B121:D121"/>
    <mergeCell ref="I121:K121"/>
    <mergeCell ref="B122:D122"/>
    <mergeCell ref="I122:K122"/>
    <mergeCell ref="B123:D123"/>
    <mergeCell ref="I123:K123"/>
    <mergeCell ref="B124:D124"/>
    <mergeCell ref="I124:K124"/>
    <mergeCell ref="B125:D125"/>
    <mergeCell ref="I125:K125"/>
    <mergeCell ref="A126:G126"/>
    <mergeCell ref="A127:F127"/>
    <mergeCell ref="A128:F128"/>
    <mergeCell ref="A129:F129"/>
    <mergeCell ref="A130:G130"/>
    <mergeCell ref="A132:A133"/>
    <mergeCell ref="B132:E132"/>
    <mergeCell ref="F132:H132"/>
    <mergeCell ref="I132:K133"/>
    <mergeCell ref="L132:O132"/>
    <mergeCell ref="B133:D133"/>
    <mergeCell ref="A141:F141"/>
    <mergeCell ref="A142:F142"/>
    <mergeCell ref="A143:F143"/>
    <mergeCell ref="A144:G144"/>
    <mergeCell ref="B148:C148"/>
    <mergeCell ref="B134:D134"/>
    <mergeCell ref="I134:K134"/>
    <mergeCell ref="B135:D135"/>
    <mergeCell ref="I135:K135"/>
    <mergeCell ref="B136:D136"/>
    <mergeCell ref="I136:K136"/>
    <mergeCell ref="B139:D139"/>
    <mergeCell ref="I139:K139"/>
    <mergeCell ref="A140:G140"/>
    <mergeCell ref="B137:D137"/>
    <mergeCell ref="B138:D138"/>
    <mergeCell ref="I137:K137"/>
    <mergeCell ref="I138:K138"/>
  </mergeCells>
  <conditionalFormatting sqref="I32:I84 I93:I107 I116:I125 I134:I139">
    <cfRule type="containsText" dxfId="1" priority="2" operator="containsText" text="inferior">
      <formula>NOT(ISERROR(SEARCH("inferior",I32)))</formula>
    </cfRule>
    <cfRule type="containsText" dxfId="0" priority="3" operator="containsText" text="superior">
      <formula>NOT(ISERROR(SEARCH("superior",I32)))</formula>
    </cfRule>
  </conditionalFormatting>
  <dataValidations count="4">
    <dataValidation type="list" allowBlank="1" showInputMessage="1" showErrorMessage="1" sqref="N93:N107 N116:N125 N134:N139 N32:N84" xr:uid="{00000000-0002-0000-0100-000000000000}">
      <formula1>"Mensal,Bimestral,Trimestral,Quadrimestral,Semestral,Anual,Bienal"</formula1>
      <formula2>0</formula2>
    </dataValidation>
    <dataValidation type="list" allowBlank="1" showInputMessage="1" showErrorMessage="1" sqref="C25" xr:uid="{00000000-0002-0000-0100-000001000000}">
      <formula1>$B$154:$B$160</formula1>
      <formula2>0</formula2>
    </dataValidation>
    <dataValidation type="list" allowBlank="1" showInputMessage="1" showErrorMessage="1" sqref="D5" xr:uid="{00000000-0002-0000-0100-000003000000}">
      <formula1>$B$149:$B$151</formula1>
      <formula2>0</formula2>
    </dataValidation>
    <dataValidation type="list" allowBlank="1" showInputMessage="1" showErrorMessage="1" sqref="E11:E20" xr:uid="{00000000-0002-0000-0100-000004000000}">
      <formula1>"SIM,NÃO"</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0">
    <tabColor theme="0" tint="-0.249977111117893"/>
    <pageSetUpPr fitToPage="1"/>
  </sheetPr>
  <dimension ref="A1:AMH34"/>
  <sheetViews>
    <sheetView showGridLines="0" zoomScaleNormal="100" workbookViewId="0"/>
  </sheetViews>
  <sheetFormatPr defaultColWidth="9.109375" defaultRowHeight="14.4" x14ac:dyDescent="0.3"/>
  <cols>
    <col min="1" max="1" width="7.33203125" style="470" customWidth="1"/>
    <col min="2" max="3" width="9.109375" style="470"/>
    <col min="4" max="4" width="33" style="470" customWidth="1"/>
    <col min="5" max="5" width="9.44140625" style="470" customWidth="1"/>
    <col min="6" max="7" width="12.44140625" style="470" customWidth="1"/>
    <col min="8" max="8" width="12.5546875" style="470" customWidth="1"/>
    <col min="9" max="12" width="9.109375" style="470"/>
    <col min="13" max="13" width="10.33203125" style="470" customWidth="1"/>
    <col min="14" max="14" width="13.44140625" style="470" customWidth="1"/>
    <col min="15" max="15" width="10" style="470" customWidth="1"/>
    <col min="16" max="1022" width="9.109375" style="470"/>
  </cols>
  <sheetData>
    <row r="1" spans="1:15" x14ac:dyDescent="0.3">
      <c r="A1" s="5"/>
      <c r="B1" s="6" t="str">
        <f>INSTRUÇÕES!B1</f>
        <v>Tribunal Regional Federal da 6ª Região</v>
      </c>
      <c r="C1" s="6"/>
      <c r="D1" s="6"/>
      <c r="E1" s="6"/>
      <c r="F1" s="6"/>
      <c r="G1" s="6"/>
      <c r="H1" s="6"/>
    </row>
    <row r="2" spans="1:15" x14ac:dyDescent="0.3">
      <c r="A2" s="7"/>
      <c r="B2" s="8" t="str">
        <f>INSTRUÇÕES!B2</f>
        <v>Seção Judiciária de Minas Gerais</v>
      </c>
      <c r="C2" s="8"/>
      <c r="D2" s="8"/>
      <c r="E2" s="8"/>
      <c r="F2" s="8"/>
      <c r="G2" s="8"/>
      <c r="H2" s="8"/>
    </row>
    <row r="3" spans="1:15" x14ac:dyDescent="0.3">
      <c r="A3" s="7"/>
      <c r="B3" s="9" t="str">
        <f>INSTRUÇÕES!B3</f>
        <v>Subseção Judiciária de Uberlândia</v>
      </c>
      <c r="C3" s="471"/>
      <c r="D3" s="471"/>
      <c r="E3" s="471"/>
      <c r="F3" s="471"/>
      <c r="G3" s="471"/>
      <c r="H3" s="471"/>
    </row>
    <row r="4" spans="1:15" s="472" customFormat="1" ht="32.25" customHeight="1" x14ac:dyDescent="0.3">
      <c r="A4" s="826" t="s">
        <v>431</v>
      </c>
      <c r="B4" s="826"/>
      <c r="C4" s="826"/>
      <c r="D4" s="826"/>
      <c r="E4" s="826"/>
      <c r="F4" s="826"/>
      <c r="G4" s="826"/>
      <c r="H4" s="826"/>
      <c r="I4" s="826"/>
      <c r="J4" s="826"/>
      <c r="K4" s="826"/>
      <c r="L4" s="826"/>
      <c r="M4" s="826"/>
      <c r="N4" s="826"/>
      <c r="O4" s="826"/>
    </row>
    <row r="5" spans="1:15" s="473" customFormat="1" ht="46.5" customHeight="1" x14ac:dyDescent="0.3">
      <c r="A5" s="827" t="s">
        <v>432</v>
      </c>
      <c r="B5" s="827"/>
      <c r="C5" s="827"/>
      <c r="D5" s="827"/>
      <c r="E5" s="828" t="s">
        <v>433</v>
      </c>
      <c r="F5" s="634" t="str">
        <f>Dados!C7</f>
        <v>Assistente Administrativo</v>
      </c>
      <c r="G5" s="634" t="s">
        <v>717</v>
      </c>
      <c r="H5" s="635" t="str">
        <f>Dados!C9</f>
        <v>Recepcionista</v>
      </c>
      <c r="I5" s="594" t="str">
        <f>Dados!C16</f>
        <v>Copeira</v>
      </c>
      <c r="J5" s="594" t="str">
        <f>Dados!C10</f>
        <v>Servente de Limpeza insalubridade (20%)</v>
      </c>
      <c r="K5" s="594" t="str">
        <f>Dados!C11</f>
        <v>Limpador de Vidro</v>
      </c>
      <c r="L5" s="594" t="str">
        <f>Dados!C12</f>
        <v>Servente de Limpeza</v>
      </c>
      <c r="M5" s="594" t="str">
        <f>Dados!C13</f>
        <v>Servente de Limpeza insalubridade (40%)</v>
      </c>
      <c r="N5" s="594" t="str">
        <f>Dados!C14</f>
        <v>Zelador acúmulo de função Lavador de Carro e Jardineiro</v>
      </c>
      <c r="O5" s="636" t="str">
        <f>Dados!C15</f>
        <v>Encarregado Geral</v>
      </c>
    </row>
    <row r="6" spans="1:15" s="475" customFormat="1" ht="22.5" customHeight="1" x14ac:dyDescent="0.3">
      <c r="A6" s="474" t="s">
        <v>434</v>
      </c>
      <c r="B6" s="829" t="s">
        <v>302</v>
      </c>
      <c r="C6" s="829"/>
      <c r="D6" s="829"/>
      <c r="E6" s="828"/>
      <c r="F6" s="830" t="s">
        <v>435</v>
      </c>
      <c r="G6" s="830"/>
      <c r="H6" s="830"/>
      <c r="I6" s="830"/>
      <c r="J6" s="830" t="s">
        <v>435</v>
      </c>
      <c r="K6" s="830"/>
      <c r="L6" s="830"/>
      <c r="M6" s="830"/>
      <c r="N6" s="830"/>
      <c r="O6" s="830"/>
    </row>
    <row r="7" spans="1:15" ht="14.25" customHeight="1" x14ac:dyDescent="0.3">
      <c r="A7" s="476">
        <v>1</v>
      </c>
      <c r="B7" s="823" t="s">
        <v>436</v>
      </c>
      <c r="C7" s="823"/>
      <c r="D7" s="823"/>
      <c r="E7" s="823"/>
      <c r="F7" s="477">
        <f>Dados!M7</f>
        <v>1654.5</v>
      </c>
      <c r="G7" s="477">
        <f>'Assistente Administrativo 200'!F11</f>
        <v>2206</v>
      </c>
      <c r="H7" s="477">
        <f>Dados!M9</f>
        <v>1930.21</v>
      </c>
      <c r="I7" s="477">
        <f>Dados!M16</f>
        <v>1499.2</v>
      </c>
      <c r="J7" s="477">
        <f>Dados!M10</f>
        <v>1802.8000000000002</v>
      </c>
      <c r="K7" s="477">
        <f>Dados!M11</f>
        <v>1641.76</v>
      </c>
      <c r="L7" s="477">
        <f>Dados!M12</f>
        <v>1499.2</v>
      </c>
      <c r="M7" s="477">
        <f>Dados!M13</f>
        <v>2106.4</v>
      </c>
      <c r="N7" s="477">
        <f>Dados!M14</f>
        <v>2319.9699999999998</v>
      </c>
      <c r="O7" s="477">
        <f>Dados!M15</f>
        <v>2239.35</v>
      </c>
    </row>
    <row r="8" spans="1:15" x14ac:dyDescent="0.3">
      <c r="A8" s="478" t="s">
        <v>437</v>
      </c>
      <c r="B8" s="824" t="s">
        <v>303</v>
      </c>
      <c r="C8" s="824"/>
      <c r="D8" s="824"/>
      <c r="E8" s="479">
        <f>Encargos!C39</f>
        <v>9.0899999999999995E-2</v>
      </c>
      <c r="F8" s="480">
        <f>ROUND(F7*$E$8,2)</f>
        <v>150.38999999999999</v>
      </c>
      <c r="G8" s="480">
        <f>ROUND(G7*$E$8,2)</f>
        <v>200.53</v>
      </c>
      <c r="H8" s="480">
        <f>ROUND(H7*$E$8,2)</f>
        <v>175.46</v>
      </c>
      <c r="I8" s="480">
        <f>ROUND(I7*$E$8,2)</f>
        <v>136.28</v>
      </c>
      <c r="J8" s="480">
        <f t="shared" ref="J8:O8" si="0">ROUND(J7*$E$8,2)</f>
        <v>163.87</v>
      </c>
      <c r="K8" s="480">
        <f t="shared" si="0"/>
        <v>149.24</v>
      </c>
      <c r="L8" s="480">
        <f t="shared" si="0"/>
        <v>136.28</v>
      </c>
      <c r="M8" s="480">
        <f t="shared" si="0"/>
        <v>191.47</v>
      </c>
      <c r="N8" s="480">
        <f t="shared" si="0"/>
        <v>210.89</v>
      </c>
      <c r="O8" s="480">
        <f t="shared" si="0"/>
        <v>203.56</v>
      </c>
    </row>
    <row r="9" spans="1:15" x14ac:dyDescent="0.3">
      <c r="A9" s="478" t="s">
        <v>438</v>
      </c>
      <c r="B9" s="824" t="s">
        <v>309</v>
      </c>
      <c r="C9" s="824"/>
      <c r="D9" s="824"/>
      <c r="E9" s="481">
        <f>E8*Encargos!C18</f>
        <v>3.6178200000000008E-2</v>
      </c>
      <c r="F9" s="480">
        <f>ROUND(F7*$E$9,2)</f>
        <v>59.86</v>
      </c>
      <c r="G9" s="480">
        <f>ROUND(G7*$E$9,2)</f>
        <v>79.81</v>
      </c>
      <c r="H9" s="480">
        <f>ROUND(H7*$E$9,2)</f>
        <v>69.83</v>
      </c>
      <c r="I9" s="480">
        <f>ROUND(I7*$E$9,2)</f>
        <v>54.24</v>
      </c>
      <c r="J9" s="480">
        <f t="shared" ref="J9:O9" si="1">ROUND(J7*$E$9,2)</f>
        <v>65.22</v>
      </c>
      <c r="K9" s="480">
        <f t="shared" si="1"/>
        <v>59.4</v>
      </c>
      <c r="L9" s="480">
        <f t="shared" si="1"/>
        <v>54.24</v>
      </c>
      <c r="M9" s="480">
        <f t="shared" si="1"/>
        <v>76.209999999999994</v>
      </c>
      <c r="N9" s="480">
        <f t="shared" si="1"/>
        <v>83.93</v>
      </c>
      <c r="O9" s="480">
        <f t="shared" si="1"/>
        <v>81.02</v>
      </c>
    </row>
    <row r="10" spans="1:15" ht="12.75" customHeight="1" x14ac:dyDescent="0.3">
      <c r="A10" s="825" t="s">
        <v>439</v>
      </c>
      <c r="B10" s="825"/>
      <c r="C10" s="825"/>
      <c r="D10" s="825"/>
      <c r="E10" s="482">
        <f t="shared" ref="E10:I10" si="2">SUM(E8:E9)</f>
        <v>0.1270782</v>
      </c>
      <c r="F10" s="483">
        <f t="shared" si="2"/>
        <v>210.25</v>
      </c>
      <c r="G10" s="483">
        <f>SUM(G8:G9)</f>
        <v>280.34000000000003</v>
      </c>
      <c r="H10" s="483">
        <f t="shared" si="2"/>
        <v>245.29000000000002</v>
      </c>
      <c r="I10" s="483">
        <f t="shared" si="2"/>
        <v>190.52</v>
      </c>
      <c r="J10" s="483">
        <f t="shared" ref="J10:O10" si="3">SUM(J8:J9)</f>
        <v>229.09</v>
      </c>
      <c r="K10" s="483">
        <f t="shared" si="3"/>
        <v>208.64000000000001</v>
      </c>
      <c r="L10" s="483">
        <f t="shared" si="3"/>
        <v>190.52</v>
      </c>
      <c r="M10" s="483">
        <f t="shared" si="3"/>
        <v>267.68</v>
      </c>
      <c r="N10" s="483">
        <f t="shared" si="3"/>
        <v>294.82</v>
      </c>
      <c r="O10" s="483">
        <f t="shared" si="3"/>
        <v>284.58</v>
      </c>
    </row>
    <row r="11" spans="1:15" ht="12.75" customHeight="1" x14ac:dyDescent="0.3">
      <c r="A11" s="825" t="s">
        <v>440</v>
      </c>
      <c r="B11" s="825"/>
      <c r="C11" s="825"/>
      <c r="D11" s="825"/>
      <c r="E11" s="825"/>
      <c r="F11" s="483">
        <f>F10*12</f>
        <v>2523</v>
      </c>
      <c r="G11" s="483">
        <f>G10*12</f>
        <v>3364.0800000000004</v>
      </c>
      <c r="H11" s="483">
        <f>H10*12</f>
        <v>2943.4800000000005</v>
      </c>
      <c r="I11" s="483">
        <f>I10*12</f>
        <v>2286.2400000000002</v>
      </c>
      <c r="J11" s="483">
        <f t="shared" ref="J11:O11" si="4">J10*12</f>
        <v>2749.08</v>
      </c>
      <c r="K11" s="483">
        <f t="shared" si="4"/>
        <v>2503.6800000000003</v>
      </c>
      <c r="L11" s="483">
        <f t="shared" si="4"/>
        <v>2286.2400000000002</v>
      </c>
      <c r="M11" s="483">
        <f t="shared" si="4"/>
        <v>3212.16</v>
      </c>
      <c r="N11" s="483">
        <f t="shared" si="4"/>
        <v>3537.84</v>
      </c>
      <c r="O11" s="483">
        <f t="shared" si="4"/>
        <v>3414.96</v>
      </c>
    </row>
    <row r="12" spans="1:15" x14ac:dyDescent="0.3">
      <c r="A12" s="484">
        <v>2</v>
      </c>
      <c r="B12" s="485" t="s">
        <v>441</v>
      </c>
      <c r="C12" s="485"/>
      <c r="D12" s="485"/>
      <c r="E12" s="485"/>
      <c r="F12" s="814" t="s">
        <v>340</v>
      </c>
      <c r="G12" s="814"/>
      <c r="H12" s="814"/>
      <c r="I12" s="814"/>
      <c r="J12" s="814" t="s">
        <v>435</v>
      </c>
      <c r="K12" s="814"/>
      <c r="L12" s="814"/>
      <c r="M12" s="814"/>
      <c r="N12" s="814"/>
      <c r="O12" s="814"/>
    </row>
    <row r="13" spans="1:15" x14ac:dyDescent="0.3">
      <c r="A13" s="486" t="s">
        <v>437</v>
      </c>
      <c r="B13" s="821" t="s">
        <v>442</v>
      </c>
      <c r="C13" s="821"/>
      <c r="D13" s="821"/>
      <c r="E13" s="487"/>
      <c r="F13" s="488">
        <f>'Assistente Administrativo 150'!F23</f>
        <v>387.79</v>
      </c>
      <c r="G13" s="488">
        <f>'Assistente Administrativo 200'!E23</f>
        <v>387.79</v>
      </c>
      <c r="H13" s="488">
        <f>'Recepcionista 150'!F23</f>
        <v>387.79</v>
      </c>
      <c r="I13" s="489">
        <f>'Copeira 200'!F23</f>
        <v>387.79</v>
      </c>
      <c r="J13" s="489">
        <f>'Servente Limpeza - Insal. (20%)'!F23</f>
        <v>387.79</v>
      </c>
      <c r="K13" s="489">
        <f>'Limpador de Vidro'!F23</f>
        <v>387.79</v>
      </c>
      <c r="L13" s="489">
        <f>'Servente Limpeza 200h'!F23</f>
        <v>387.79</v>
      </c>
      <c r="M13" s="489">
        <f>'Servente Limpeza - Insal (40%)'!F23</f>
        <v>387.79</v>
      </c>
      <c r="N13" s="489">
        <f>'Zelador acúmulo Lavador Jardin.'!F23</f>
        <v>387.79</v>
      </c>
      <c r="O13" s="489">
        <f>'Encarregado Geral'!F23</f>
        <v>387.79</v>
      </c>
    </row>
    <row r="14" spans="1:15" x14ac:dyDescent="0.3">
      <c r="A14" s="486" t="s">
        <v>443</v>
      </c>
      <c r="B14" s="821" t="s">
        <v>444</v>
      </c>
      <c r="C14" s="821"/>
      <c r="D14" s="821"/>
      <c r="E14" s="487"/>
      <c r="F14" s="488">
        <f>'Assistente Administrativo 150'!F22</f>
        <v>151.53</v>
      </c>
      <c r="G14" s="488">
        <f>'Assistente Administrativo 200'!F22</f>
        <v>118.44</v>
      </c>
      <c r="H14" s="488">
        <f>'Recepcionista 150'!F22</f>
        <v>134.99</v>
      </c>
      <c r="I14" s="489">
        <f>'Copeira 200'!F22</f>
        <v>160.85</v>
      </c>
      <c r="J14" s="489">
        <f>'Servente Limpeza - Insal. (20%)'!F22</f>
        <v>160.85</v>
      </c>
      <c r="K14" s="489">
        <f>'Limpador de Vidro'!F22</f>
        <v>152.29</v>
      </c>
      <c r="L14" s="489">
        <f>'Servente Limpeza 200h'!F22</f>
        <v>160.85</v>
      </c>
      <c r="M14" s="489">
        <f>'Servente Limpeza - Insal (40%)'!F22</f>
        <v>160.85</v>
      </c>
      <c r="N14" s="489">
        <f>'Zelador acúmulo Lavador Jardin.'!F22</f>
        <v>116.44</v>
      </c>
      <c r="O14" s="489">
        <f>'Encarregado Geral'!F22</f>
        <v>116.44</v>
      </c>
    </row>
    <row r="15" spans="1:15" x14ac:dyDescent="0.3">
      <c r="A15" s="486" t="s">
        <v>445</v>
      </c>
      <c r="B15" s="487" t="s">
        <v>446</v>
      </c>
      <c r="C15" s="487"/>
      <c r="D15" s="487"/>
      <c r="E15" s="487"/>
      <c r="F15" s="488">
        <v>0</v>
      </c>
      <c r="G15" s="488">
        <v>0</v>
      </c>
      <c r="H15" s="488">
        <v>0</v>
      </c>
      <c r="I15" s="488">
        <v>0</v>
      </c>
      <c r="J15" s="488">
        <v>0</v>
      </c>
      <c r="K15" s="488">
        <v>0</v>
      </c>
      <c r="L15" s="488">
        <v>0</v>
      </c>
      <c r="M15" s="488">
        <v>0</v>
      </c>
      <c r="N15" s="488">
        <v>0</v>
      </c>
      <c r="O15" s="488">
        <v>0</v>
      </c>
    </row>
    <row r="16" spans="1:15" x14ac:dyDescent="0.3">
      <c r="A16" s="822" t="s">
        <v>447</v>
      </c>
      <c r="B16" s="822"/>
      <c r="C16" s="822"/>
      <c r="D16" s="822"/>
      <c r="E16" s="822"/>
      <c r="F16" s="490">
        <f>SUM(F13:F15)</f>
        <v>539.32000000000005</v>
      </c>
      <c r="G16" s="490">
        <f>SUM(G13:G15)</f>
        <v>506.23</v>
      </c>
      <c r="H16" s="490">
        <f>SUM(H13:H15)</f>
        <v>522.78</v>
      </c>
      <c r="I16" s="490">
        <f>SUM(I13:I15)</f>
        <v>548.64</v>
      </c>
      <c r="J16" s="490">
        <f t="shared" ref="J16:O16" si="5">SUM(J13:J15)</f>
        <v>548.64</v>
      </c>
      <c r="K16" s="490">
        <f t="shared" si="5"/>
        <v>540.08000000000004</v>
      </c>
      <c r="L16" s="490">
        <f t="shared" si="5"/>
        <v>548.64</v>
      </c>
      <c r="M16" s="490">
        <f t="shared" si="5"/>
        <v>548.64</v>
      </c>
      <c r="N16" s="490">
        <f t="shared" si="5"/>
        <v>504.23</v>
      </c>
      <c r="O16" s="490">
        <f t="shared" si="5"/>
        <v>504.23</v>
      </c>
    </row>
    <row r="17" spans="1:15" ht="12.75" customHeight="1" x14ac:dyDescent="0.3">
      <c r="A17" s="484">
        <v>5</v>
      </c>
      <c r="B17" s="819" t="s">
        <v>448</v>
      </c>
      <c r="C17" s="819"/>
      <c r="D17" s="819"/>
      <c r="E17" s="491" t="s">
        <v>433</v>
      </c>
      <c r="F17" s="492" t="s">
        <v>340</v>
      </c>
      <c r="G17" s="493"/>
      <c r="H17" s="493"/>
      <c r="I17" s="493"/>
      <c r="J17" s="493"/>
      <c r="K17" s="493"/>
      <c r="L17" s="493"/>
      <c r="M17" s="493"/>
      <c r="N17" s="493"/>
      <c r="O17" s="493"/>
    </row>
    <row r="18" spans="1:15" ht="12.75" customHeight="1" x14ac:dyDescent="0.3">
      <c r="A18" s="486" t="s">
        <v>437</v>
      </c>
      <c r="B18" s="816" t="s">
        <v>449</v>
      </c>
      <c r="C18" s="816"/>
      <c r="D18" s="816"/>
      <c r="E18" s="494">
        <f>Dados!$G$49</f>
        <v>7.0000000000000007E-2</v>
      </c>
      <c r="F18" s="495">
        <f>ROUND(($E$18*F32),2)</f>
        <v>214.36</v>
      </c>
      <c r="G18" s="495">
        <f>ROUND(($E$18*G32),2)</f>
        <v>270.92</v>
      </c>
      <c r="H18" s="495">
        <f>ROUND(($E$18*H32),2)</f>
        <v>242.64</v>
      </c>
      <c r="I18" s="495">
        <f>ROUND(($E$18*I32),2)</f>
        <v>198.44</v>
      </c>
      <c r="J18" s="495">
        <f>ROUND((E18*J32),2)</f>
        <v>230.84</v>
      </c>
      <c r="K18" s="495">
        <f>ROUND((E18*K32),2)</f>
        <v>213.06</v>
      </c>
      <c r="L18" s="495">
        <f>ROUND((E18*L32),2)</f>
        <v>198.44</v>
      </c>
      <c r="M18" s="495">
        <f>ROUND((E18*M32),2)</f>
        <v>263.26</v>
      </c>
      <c r="N18" s="495">
        <f>ROUND((E18*N32),2)</f>
        <v>282.94</v>
      </c>
      <c r="O18" s="495">
        <f>ROUND((E18*O32),2)</f>
        <v>274.33999999999997</v>
      </c>
    </row>
    <row r="19" spans="1:15" ht="12.75" customHeight="1" x14ac:dyDescent="0.3">
      <c r="A19" s="486" t="s">
        <v>443</v>
      </c>
      <c r="B19" s="816" t="s">
        <v>212</v>
      </c>
      <c r="C19" s="816"/>
      <c r="D19" s="816"/>
      <c r="E19" s="494">
        <f>Dados!$G$50</f>
        <v>3.6900000000000002E-2</v>
      </c>
      <c r="F19" s="495">
        <f>ROUND(($E$19*(F18+F32)),2)</f>
        <v>120.91</v>
      </c>
      <c r="G19" s="495">
        <f>ROUND(($E$19*(G18+G32)),2)</f>
        <v>152.81</v>
      </c>
      <c r="H19" s="495">
        <f>ROUND(($E$19*(H18+H32)),2)</f>
        <v>136.86000000000001</v>
      </c>
      <c r="I19" s="495">
        <f>ROUND(($E$19*(I18+I32)),2)</f>
        <v>111.93</v>
      </c>
      <c r="J19" s="495">
        <f>ROUND((E19*(J18+J32)),2)</f>
        <v>130.19999999999999</v>
      </c>
      <c r="K19" s="495">
        <f>ROUND((E19*(K18+K32)),2)</f>
        <v>120.18</v>
      </c>
      <c r="L19" s="495">
        <f>ROUND((E19*(L18+L32)),2)</f>
        <v>111.93</v>
      </c>
      <c r="M19" s="495">
        <f>ROUND((E19*(M18+M32)),2)</f>
        <v>148.49</v>
      </c>
      <c r="N19" s="495">
        <f>ROUND((E19*(N18+N32)),2)</f>
        <v>159.59</v>
      </c>
      <c r="O19" s="495">
        <f>ROUND((E19*(O18+O32)),2)</f>
        <v>154.74</v>
      </c>
    </row>
    <row r="20" spans="1:15" ht="12.75" customHeight="1" x14ac:dyDescent="0.3">
      <c r="A20" s="496" t="s">
        <v>445</v>
      </c>
      <c r="B20" s="820" t="s">
        <v>722</v>
      </c>
      <c r="C20" s="820"/>
      <c r="D20" s="820"/>
      <c r="E20" s="497">
        <f>SUM(E22:E24)</f>
        <v>0.1225</v>
      </c>
      <c r="F20" s="498"/>
      <c r="G20" s="498"/>
      <c r="H20" s="498"/>
      <c r="I20" s="498">
        <f>ROUND((((I32+I18+I19)/(1-$E$20))-(I32+I18+I19)),2)</f>
        <v>439.08</v>
      </c>
      <c r="J20" s="498">
        <f>ROUND((((J32+J18+J19)/(1-E20))-(J32+J18+J19)),2)</f>
        <v>510.77</v>
      </c>
      <c r="K20" s="498">
        <f>ROUND((((K32+K18+K19)/(1-E20))-(K32+K18+K19)),2)</f>
        <v>471.43</v>
      </c>
      <c r="L20" s="498">
        <f>ROUND((((L32+L18+L19)/(1-E20))-(L32+L18+L19)),2)</f>
        <v>439.08</v>
      </c>
      <c r="M20" s="498">
        <f>ROUND((((M32+M18+M19)/(1-E20))-(M32+M18+M19)),2)</f>
        <v>582.49</v>
      </c>
      <c r="N20" s="498">
        <f>ROUND((((N32+N18+N19)/(1-E20))-(N32+N18+N19)),2)</f>
        <v>626.05999999999995</v>
      </c>
      <c r="O20" s="498"/>
    </row>
    <row r="21" spans="1:15" ht="12.75" customHeight="1" x14ac:dyDescent="0.3">
      <c r="A21" s="496" t="s">
        <v>445</v>
      </c>
      <c r="B21" s="820" t="s">
        <v>723</v>
      </c>
      <c r="C21" s="820"/>
      <c r="D21" s="820"/>
      <c r="E21" s="497">
        <f>SUM(E22:E23)+E25</f>
        <v>0.1125</v>
      </c>
      <c r="F21" s="498">
        <f>ROUND((((F32+F18+F19)/(1-$E$21))-(F32+F18+F19)),2)</f>
        <v>430.68</v>
      </c>
      <c r="G21" s="498">
        <f t="shared" ref="G21:O21" si="6">ROUND((((G32+G18+G19)/(1-$E$21))-(G32+G18+G19)),2)</f>
        <v>544.30999999999995</v>
      </c>
      <c r="H21" s="498">
        <f t="shared" si="6"/>
        <v>487.49</v>
      </c>
      <c r="I21" s="498"/>
      <c r="J21" s="498"/>
      <c r="K21" s="498"/>
      <c r="L21" s="498"/>
      <c r="M21" s="498"/>
      <c r="N21" s="498"/>
      <c r="O21" s="498">
        <f t="shared" si="6"/>
        <v>551.19000000000005</v>
      </c>
    </row>
    <row r="22" spans="1:15" ht="12.75" customHeight="1" x14ac:dyDescent="0.3">
      <c r="A22" s="499" t="s">
        <v>450</v>
      </c>
      <c r="B22" s="816" t="s">
        <v>451</v>
      </c>
      <c r="C22" s="816"/>
      <c r="D22" s="816"/>
      <c r="E22" s="494">
        <f>Dados!G57+Dados!G58</f>
        <v>9.2499999999999999E-2</v>
      </c>
      <c r="F22" s="495">
        <f>ROUND($E$22*F34,2)</f>
        <v>354.11</v>
      </c>
      <c r="G22" s="495">
        <f>ROUND($E$22*G34,2)</f>
        <v>447.55</v>
      </c>
      <c r="H22" s="495">
        <f>ROUND($E$22*H34,2)</f>
        <v>400.83</v>
      </c>
      <c r="I22" s="495">
        <f>ROUND($E$22*I34,2)</f>
        <v>331.55</v>
      </c>
      <c r="J22" s="495">
        <f>ROUND(E22*J34,2)</f>
        <v>385.68</v>
      </c>
      <c r="K22" s="495">
        <f>ROUND(E22*K34,2)</f>
        <v>355.98</v>
      </c>
      <c r="L22" s="495">
        <f>ROUND(E22*L34,2)</f>
        <v>331.55</v>
      </c>
      <c r="M22" s="495">
        <f>ROUND(E22*M34,2)</f>
        <v>439.84</v>
      </c>
      <c r="N22" s="495">
        <f>ROUND(E22*N34,2)</f>
        <v>472.74</v>
      </c>
      <c r="O22" s="495">
        <f>ROUND(E22*O34,2)</f>
        <v>453.2</v>
      </c>
    </row>
    <row r="23" spans="1:15" ht="12.75" customHeight="1" x14ac:dyDescent="0.3">
      <c r="A23" s="486" t="s">
        <v>452</v>
      </c>
      <c r="B23" s="816" t="s">
        <v>453</v>
      </c>
      <c r="C23" s="816"/>
      <c r="D23" s="816"/>
      <c r="E23" s="494">
        <v>0</v>
      </c>
      <c r="F23" s="495">
        <f>ROUND($E$23*F34,2)</f>
        <v>0</v>
      </c>
      <c r="G23" s="495">
        <f>ROUND($E$23*G34,2)</f>
        <v>0</v>
      </c>
      <c r="H23" s="495">
        <f>ROUND($E$23*H34,2)</f>
        <v>0</v>
      </c>
      <c r="I23" s="495">
        <f>ROUND($E$23*I34,2)</f>
        <v>0</v>
      </c>
      <c r="J23" s="495">
        <f>ROUND(E23*J34,2)</f>
        <v>0</v>
      </c>
      <c r="K23" s="495">
        <f>ROUND(E23*K34,2)</f>
        <v>0</v>
      </c>
      <c r="L23" s="495">
        <f>ROUND(E23*L34,2)</f>
        <v>0</v>
      </c>
      <c r="M23" s="495">
        <f>ROUND(E23*M34,2)</f>
        <v>0</v>
      </c>
      <c r="N23" s="495">
        <f>ROUND(E23*N34,2)</f>
        <v>0</v>
      </c>
      <c r="O23" s="495">
        <f>ROUND(E23*O34,2)</f>
        <v>0</v>
      </c>
    </row>
    <row r="24" spans="1:15" ht="12.75" customHeight="1" x14ac:dyDescent="0.3">
      <c r="A24" s="486" t="s">
        <v>454</v>
      </c>
      <c r="B24" s="816" t="str">
        <f>Dados!B59</f>
        <v>ISSQN 7.10 - Limpeza</v>
      </c>
      <c r="C24" s="816"/>
      <c r="D24" s="816"/>
      <c r="E24" s="494">
        <f>Dados!G59</f>
        <v>0.03</v>
      </c>
      <c r="F24" s="495">
        <v>0</v>
      </c>
      <c r="G24" s="495">
        <v>0</v>
      </c>
      <c r="H24" s="495">
        <v>0</v>
      </c>
      <c r="I24" s="495">
        <f>ROUND($E$24*I34,2)</f>
        <v>107.53</v>
      </c>
      <c r="J24" s="495">
        <f>ROUND(E24*J34,2)</f>
        <v>125.09</v>
      </c>
      <c r="K24" s="495">
        <f>ROUND(E24*K34,2)</f>
        <v>115.45</v>
      </c>
      <c r="L24" s="495">
        <f>ROUND(E24*L34,2)</f>
        <v>107.53</v>
      </c>
      <c r="M24" s="495">
        <f>ROUND(E24*M34,2)</f>
        <v>142.65</v>
      </c>
      <c r="N24" s="495">
        <f>ROUND(E24*N34,2)</f>
        <v>153.32</v>
      </c>
      <c r="O24" s="495">
        <v>0</v>
      </c>
    </row>
    <row r="25" spans="1:15" x14ac:dyDescent="0.3">
      <c r="A25" s="486" t="s">
        <v>455</v>
      </c>
      <c r="B25" s="816" t="str">
        <f>Dados!B60</f>
        <v>ISSQN 17.05 - Fornecimento de mão-de-obra</v>
      </c>
      <c r="C25" s="816"/>
      <c r="D25" s="816"/>
      <c r="E25" s="494">
        <f>Dados!G60</f>
        <v>0.02</v>
      </c>
      <c r="F25" s="495">
        <f>ROUND($E$25*F34,2)</f>
        <v>76.569999999999993</v>
      </c>
      <c r="G25" s="495">
        <f>ROUND($E$25*G34,2)</f>
        <v>96.77</v>
      </c>
      <c r="H25" s="495">
        <f>ROUND($E$25*H34,2)</f>
        <v>86.67</v>
      </c>
      <c r="I25" s="495">
        <v>0</v>
      </c>
      <c r="J25" s="495">
        <v>0</v>
      </c>
      <c r="K25" s="495">
        <v>0</v>
      </c>
      <c r="L25" s="495">
        <v>0</v>
      </c>
      <c r="M25" s="495">
        <v>0</v>
      </c>
      <c r="N25" s="495">
        <v>0</v>
      </c>
      <c r="O25" s="495">
        <f>ROUND(E25*O34,2)</f>
        <v>97.99</v>
      </c>
    </row>
    <row r="26" spans="1:15" x14ac:dyDescent="0.3">
      <c r="A26" s="500" t="s">
        <v>456</v>
      </c>
      <c r="B26" s="487"/>
      <c r="C26" s="487"/>
      <c r="D26" s="487"/>
      <c r="E26" s="487"/>
      <c r="F26" s="501">
        <f>SUM(F18:F21)</f>
        <v>765.95</v>
      </c>
      <c r="G26" s="501">
        <f t="shared" ref="G26:O26" si="7">SUM(G18:G21)</f>
        <v>968.04</v>
      </c>
      <c r="H26" s="501">
        <f t="shared" si="7"/>
        <v>866.99</v>
      </c>
      <c r="I26" s="501">
        <f t="shared" si="7"/>
        <v>749.45</v>
      </c>
      <c r="J26" s="501">
        <f t="shared" si="7"/>
        <v>871.81</v>
      </c>
      <c r="K26" s="501">
        <f t="shared" si="7"/>
        <v>804.67000000000007</v>
      </c>
      <c r="L26" s="501">
        <f t="shared" si="7"/>
        <v>749.45</v>
      </c>
      <c r="M26" s="501">
        <f t="shared" si="7"/>
        <v>994.24</v>
      </c>
      <c r="N26" s="501">
        <f t="shared" si="7"/>
        <v>1068.5899999999999</v>
      </c>
      <c r="O26" s="501">
        <f t="shared" si="7"/>
        <v>980.27</v>
      </c>
    </row>
    <row r="27" spans="1:15" ht="19.5" customHeight="1" x14ac:dyDescent="0.3">
      <c r="A27" s="817" t="s">
        <v>457</v>
      </c>
      <c r="B27" s="817"/>
      <c r="C27" s="817"/>
      <c r="D27" s="817"/>
      <c r="E27" s="817"/>
      <c r="F27" s="817"/>
      <c r="G27" s="817"/>
      <c r="H27" s="817"/>
      <c r="I27" s="817"/>
      <c r="J27" s="817"/>
      <c r="K27" s="817"/>
      <c r="L27" s="817"/>
      <c r="M27" s="817"/>
      <c r="N27" s="817"/>
      <c r="O27" s="817"/>
    </row>
    <row r="28" spans="1:15" ht="18" customHeight="1" x14ac:dyDescent="0.3">
      <c r="A28" s="818" t="s">
        <v>458</v>
      </c>
      <c r="B28" s="818"/>
      <c r="C28" s="818"/>
      <c r="D28" s="818"/>
      <c r="E28" s="818"/>
      <c r="F28" s="818"/>
      <c r="G28" s="818"/>
      <c r="H28" s="818"/>
      <c r="I28" s="818"/>
      <c r="J28" s="818"/>
      <c r="K28" s="818"/>
      <c r="L28" s="818"/>
      <c r="M28" s="818"/>
      <c r="N28" s="818"/>
      <c r="O28" s="818"/>
    </row>
    <row r="29" spans="1:15" ht="14.25" customHeight="1" x14ac:dyDescent="0.3">
      <c r="A29" s="502" t="s">
        <v>459</v>
      </c>
      <c r="B29" s="502"/>
      <c r="C29" s="502"/>
      <c r="D29" s="502"/>
      <c r="E29" s="502"/>
      <c r="F29" s="814" t="s">
        <v>340</v>
      </c>
      <c r="G29" s="814"/>
      <c r="H29" s="814"/>
      <c r="I29" s="814"/>
      <c r="J29" s="814"/>
      <c r="K29" s="814"/>
      <c r="L29" s="814"/>
      <c r="M29" s="814"/>
      <c r="N29" s="814"/>
      <c r="O29" s="814"/>
    </row>
    <row r="30" spans="1:15" x14ac:dyDescent="0.3">
      <c r="A30" s="478" t="s">
        <v>437</v>
      </c>
      <c r="B30" s="503" t="s">
        <v>460</v>
      </c>
      <c r="C30" s="503"/>
      <c r="D30" s="503"/>
      <c r="E30" s="503"/>
      <c r="F30" s="504">
        <f>F11</f>
        <v>2523</v>
      </c>
      <c r="G30" s="504">
        <f>G11</f>
        <v>3364.0800000000004</v>
      </c>
      <c r="H30" s="504">
        <f>H11</f>
        <v>2943.4800000000005</v>
      </c>
      <c r="I30" s="504">
        <f>I11</f>
        <v>2286.2400000000002</v>
      </c>
      <c r="J30" s="504">
        <f t="shared" ref="J30:O30" si="8">J11</f>
        <v>2749.08</v>
      </c>
      <c r="K30" s="504">
        <f t="shared" si="8"/>
        <v>2503.6800000000003</v>
      </c>
      <c r="L30" s="504">
        <f t="shared" si="8"/>
        <v>2286.2400000000002</v>
      </c>
      <c r="M30" s="504">
        <f t="shared" si="8"/>
        <v>3212.16</v>
      </c>
      <c r="N30" s="504">
        <f t="shared" si="8"/>
        <v>3537.84</v>
      </c>
      <c r="O30" s="504">
        <f t="shared" si="8"/>
        <v>3414.96</v>
      </c>
    </row>
    <row r="31" spans="1:15" x14ac:dyDescent="0.3">
      <c r="A31" s="478" t="s">
        <v>443</v>
      </c>
      <c r="B31" s="503" t="s">
        <v>441</v>
      </c>
      <c r="C31" s="503"/>
      <c r="D31" s="503"/>
      <c r="E31" s="503"/>
      <c r="F31" s="504">
        <f>F16</f>
        <v>539.32000000000005</v>
      </c>
      <c r="G31" s="504">
        <f>G16</f>
        <v>506.23</v>
      </c>
      <c r="H31" s="504">
        <f>H16</f>
        <v>522.78</v>
      </c>
      <c r="I31" s="504">
        <f>I16</f>
        <v>548.64</v>
      </c>
      <c r="J31" s="504">
        <f t="shared" ref="J31:O31" si="9">J16</f>
        <v>548.64</v>
      </c>
      <c r="K31" s="504">
        <f t="shared" si="9"/>
        <v>540.08000000000004</v>
      </c>
      <c r="L31" s="504">
        <f t="shared" si="9"/>
        <v>548.64</v>
      </c>
      <c r="M31" s="504">
        <f t="shared" si="9"/>
        <v>548.64</v>
      </c>
      <c r="N31" s="504">
        <f t="shared" si="9"/>
        <v>504.23</v>
      </c>
      <c r="O31" s="504">
        <f t="shared" si="9"/>
        <v>504.23</v>
      </c>
    </row>
    <row r="32" spans="1:15" x14ac:dyDescent="0.3">
      <c r="A32" s="815" t="s">
        <v>461</v>
      </c>
      <c r="B32" s="815"/>
      <c r="C32" s="815"/>
      <c r="D32" s="815"/>
      <c r="E32" s="505"/>
      <c r="F32" s="506">
        <f>SUM(F30:F31)</f>
        <v>3062.32</v>
      </c>
      <c r="G32" s="506">
        <f>SUM(G30:G31)</f>
        <v>3870.3100000000004</v>
      </c>
      <c r="H32" s="506">
        <f>SUM(H30:H31)</f>
        <v>3466.26</v>
      </c>
      <c r="I32" s="506">
        <f>SUM(I30:I31)</f>
        <v>2834.88</v>
      </c>
      <c r="J32" s="506">
        <f t="shared" ref="J32:O32" si="10">SUM(J30:J31)</f>
        <v>3297.72</v>
      </c>
      <c r="K32" s="506">
        <f t="shared" si="10"/>
        <v>3043.76</v>
      </c>
      <c r="L32" s="506">
        <f t="shared" si="10"/>
        <v>2834.88</v>
      </c>
      <c r="M32" s="506">
        <f t="shared" si="10"/>
        <v>3760.7999999999997</v>
      </c>
      <c r="N32" s="506">
        <f t="shared" si="10"/>
        <v>4042.07</v>
      </c>
      <c r="O32" s="506">
        <f t="shared" si="10"/>
        <v>3919.19</v>
      </c>
    </row>
    <row r="33" spans="1:15" x14ac:dyDescent="0.3">
      <c r="A33" s="478" t="s">
        <v>462</v>
      </c>
      <c r="B33" s="503" t="s">
        <v>463</v>
      </c>
      <c r="C33" s="503"/>
      <c r="D33" s="503"/>
      <c r="E33" s="503"/>
      <c r="F33" s="504">
        <f>F26</f>
        <v>765.95</v>
      </c>
      <c r="G33" s="504">
        <f>G26</f>
        <v>968.04</v>
      </c>
      <c r="H33" s="504">
        <f>H26</f>
        <v>866.99</v>
      </c>
      <c r="I33" s="504">
        <f>I26</f>
        <v>749.45</v>
      </c>
      <c r="J33" s="504">
        <f t="shared" ref="J33:O33" si="11">J26</f>
        <v>871.81</v>
      </c>
      <c r="K33" s="504">
        <f t="shared" si="11"/>
        <v>804.67000000000007</v>
      </c>
      <c r="L33" s="504">
        <f t="shared" si="11"/>
        <v>749.45</v>
      </c>
      <c r="M33" s="504">
        <f t="shared" si="11"/>
        <v>994.24</v>
      </c>
      <c r="N33" s="504">
        <f t="shared" si="11"/>
        <v>1068.5899999999999</v>
      </c>
      <c r="O33" s="504">
        <f t="shared" si="11"/>
        <v>980.27</v>
      </c>
    </row>
    <row r="34" spans="1:15" ht="19.5" customHeight="1" x14ac:dyDescent="0.3">
      <c r="A34" s="502" t="s">
        <v>464</v>
      </c>
      <c r="B34" s="502"/>
      <c r="C34" s="502"/>
      <c r="D34" s="502"/>
      <c r="E34" s="502"/>
      <c r="F34" s="507">
        <f>SUM(F32:F33)</f>
        <v>3828.2700000000004</v>
      </c>
      <c r="G34" s="507">
        <f>SUM(G32:G33)</f>
        <v>4838.3500000000004</v>
      </c>
      <c r="H34" s="507">
        <f>SUM(H32:H33)</f>
        <v>4333.25</v>
      </c>
      <c r="I34" s="507">
        <f>SUM(I32:I33)</f>
        <v>3584.33</v>
      </c>
      <c r="J34" s="507">
        <f t="shared" ref="J34:O34" si="12">SUM(J32:J33)</f>
        <v>4169.53</v>
      </c>
      <c r="K34" s="507">
        <f t="shared" si="12"/>
        <v>3848.4300000000003</v>
      </c>
      <c r="L34" s="507">
        <f t="shared" si="12"/>
        <v>3584.33</v>
      </c>
      <c r="M34" s="507">
        <f t="shared" si="12"/>
        <v>4755.04</v>
      </c>
      <c r="N34" s="507">
        <f t="shared" si="12"/>
        <v>5110.66</v>
      </c>
      <c r="O34" s="507">
        <f t="shared" si="12"/>
        <v>4899.46</v>
      </c>
    </row>
  </sheetData>
  <sheetProtection algorithmName="SHA-512" hashValue="pLqygFPbSq3AA6nTP5wa5GrVO4b4/TC0BSSCOnEtpkvxCwSayCfft4iAm0wvScLUKDpDZPunzoFu23d1oXH4TA==" saltValue="f+0vVve+ZeEu7PdT5OKUlg==" spinCount="100000" sheet="1" objects="1" scenarios="1"/>
  <mergeCells count="29">
    <mergeCell ref="A4:O4"/>
    <mergeCell ref="A5:D5"/>
    <mergeCell ref="E5:E6"/>
    <mergeCell ref="B6:D6"/>
    <mergeCell ref="F6:I6"/>
    <mergeCell ref="J6:O6"/>
    <mergeCell ref="B7:E7"/>
    <mergeCell ref="B8:D8"/>
    <mergeCell ref="B9:D9"/>
    <mergeCell ref="A10:D10"/>
    <mergeCell ref="A11:E11"/>
    <mergeCell ref="F12:I12"/>
    <mergeCell ref="J12:O12"/>
    <mergeCell ref="B13:D13"/>
    <mergeCell ref="B14:D14"/>
    <mergeCell ref="A16:E16"/>
    <mergeCell ref="B17:D17"/>
    <mergeCell ref="B18:D18"/>
    <mergeCell ref="B19:D19"/>
    <mergeCell ref="B20:D20"/>
    <mergeCell ref="B22:D22"/>
    <mergeCell ref="B21:D21"/>
    <mergeCell ref="F29:O29"/>
    <mergeCell ref="A32:D32"/>
    <mergeCell ref="B23:D23"/>
    <mergeCell ref="B24:D24"/>
    <mergeCell ref="B25:D25"/>
    <mergeCell ref="A27:O27"/>
    <mergeCell ref="A28:O28"/>
  </mergeCells>
  <pageMargins left="0.51180555555555596" right="0.51180555555555596" top="0.78749999999999998" bottom="0.78749999999999998" header="0.511811023622047" footer="0.511811023622047"/>
  <pageSetup paperSize="9" scale="77"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1">
    <tabColor theme="0" tint="-0.249977111117893"/>
  </sheetPr>
  <dimension ref="A1:AMJ47"/>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Dados!C7</f>
        <v>Assistente Administrativo</v>
      </c>
      <c r="B7" s="859"/>
      <c r="C7" s="859"/>
      <c r="D7" s="859"/>
      <c r="E7" s="859"/>
      <c r="F7" s="860" t="s">
        <v>466</v>
      </c>
      <c r="G7" s="860" t="s">
        <v>467</v>
      </c>
      <c r="H7" s="860" t="s">
        <v>468</v>
      </c>
      <c r="I7" s="860" t="s">
        <v>469</v>
      </c>
      <c r="J7" s="860" t="s">
        <v>470</v>
      </c>
    </row>
    <row r="8" spans="1:10" ht="19.5" customHeight="1" x14ac:dyDescent="0.3">
      <c r="A8" s="861" t="s">
        <v>471</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2" t="str">
        <f>A7</f>
        <v>Assistente Administrativo</v>
      </c>
      <c r="C11" s="852"/>
      <c r="D11" s="522">
        <f>Dados!D7</f>
        <v>150</v>
      </c>
      <c r="E11" s="523">
        <f>Dados!$E$7</f>
        <v>2426.6</v>
      </c>
      <c r="F11" s="524">
        <f>ROUND(E11/220*D11,2)</f>
        <v>1654.5</v>
      </c>
      <c r="G11" s="524">
        <f>F11</f>
        <v>1654.5</v>
      </c>
      <c r="H11" s="524"/>
      <c r="I11" s="524"/>
      <c r="J11" s="525"/>
    </row>
    <row r="12" spans="1:10" ht="19.5" customHeight="1" x14ac:dyDescent="0.3">
      <c r="A12" s="851"/>
      <c r="B12" s="853" t="s">
        <v>476</v>
      </c>
      <c r="C12" s="853"/>
      <c r="D12" s="526">
        <f>Dados!G7</f>
        <v>0</v>
      </c>
      <c r="E12" s="523">
        <f>Dados!$G$33</f>
        <v>1518</v>
      </c>
      <c r="F12" s="524">
        <f>D12*E12</f>
        <v>0</v>
      </c>
      <c r="G12" s="524">
        <f>F12</f>
        <v>0</v>
      </c>
      <c r="H12" s="524"/>
      <c r="I12" s="524"/>
      <c r="J12" s="525">
        <f>F12</f>
        <v>0</v>
      </c>
    </row>
    <row r="13" spans="1:10" ht="22.5" customHeight="1" x14ac:dyDescent="0.3">
      <c r="A13" s="851"/>
      <c r="B13" s="527" t="s">
        <v>477</v>
      </c>
      <c r="C13" s="528">
        <f>Dados!$I$7</f>
        <v>0</v>
      </c>
      <c r="D13" s="528">
        <f>Dados!$J$7</f>
        <v>0</v>
      </c>
      <c r="E13" s="529">
        <f>Dados!$K$7</f>
        <v>0</v>
      </c>
      <c r="F13" s="530">
        <f>ROUND((E13*D13*C13),2)</f>
        <v>0</v>
      </c>
      <c r="G13" s="530">
        <f>F13</f>
        <v>0</v>
      </c>
      <c r="H13" s="530"/>
      <c r="I13" s="530"/>
      <c r="J13" s="531"/>
    </row>
    <row r="14" spans="1:10" ht="19.5" customHeight="1" x14ac:dyDescent="0.3">
      <c r="A14" s="851"/>
      <c r="B14" s="854" t="s">
        <v>478</v>
      </c>
      <c r="C14" s="854"/>
      <c r="D14" s="854"/>
      <c r="E14" s="854"/>
      <c r="F14" s="532">
        <f>SUM(F11:F13)</f>
        <v>1654.5</v>
      </c>
      <c r="G14" s="532">
        <f>SUM(G11:G13)</f>
        <v>1654.5</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1264.04</v>
      </c>
      <c r="G15" s="524">
        <f>F15</f>
        <v>1264.04</v>
      </c>
      <c r="H15" s="524"/>
      <c r="I15" s="524"/>
      <c r="J15" s="525">
        <f>ROUND((E15*J14),2)</f>
        <v>0</v>
      </c>
    </row>
    <row r="16" spans="1:10" ht="19.5" customHeight="1" x14ac:dyDescent="0.3">
      <c r="A16" s="845" t="s">
        <v>480</v>
      </c>
      <c r="B16" s="845"/>
      <c r="C16" s="845"/>
      <c r="D16" s="845"/>
      <c r="E16" s="845"/>
      <c r="F16" s="535">
        <f>SUM(F14:F15)</f>
        <v>2918.54</v>
      </c>
      <c r="G16" s="535">
        <f>SUM(G14:G15)</f>
        <v>2918.54</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Dados!N7</f>
        <v>49.96</v>
      </c>
      <c r="G19" s="524">
        <f t="shared" ref="G19:G25" si="0">F19</f>
        <v>49.96</v>
      </c>
      <c r="H19" s="524"/>
      <c r="I19" s="524"/>
      <c r="J19" s="525"/>
    </row>
    <row r="20" spans="1:12" ht="19.5" customHeight="1" x14ac:dyDescent="0.3">
      <c r="A20" s="832" t="s">
        <v>485</v>
      </c>
      <c r="B20" s="832"/>
      <c r="C20" s="539"/>
      <c r="D20" s="539"/>
      <c r="E20" s="539"/>
      <c r="F20" s="524">
        <f>Dados!G36</f>
        <v>5.27</v>
      </c>
      <c r="G20" s="524">
        <f t="shared" si="0"/>
        <v>5.27</v>
      </c>
      <c r="H20" s="524"/>
      <c r="I20" s="524"/>
      <c r="J20" s="525"/>
    </row>
    <row r="21" spans="1:12" ht="23.25" customHeight="1" x14ac:dyDescent="0.3">
      <c r="A21" s="844" t="s">
        <v>195</v>
      </c>
      <c r="B21" s="844"/>
      <c r="C21" s="539"/>
      <c r="D21" s="539"/>
      <c r="E21" s="539"/>
      <c r="F21" s="524">
        <f>Dados!G37</f>
        <v>0</v>
      </c>
      <c r="G21" s="524">
        <f t="shared" si="0"/>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151.53</v>
      </c>
      <c r="G22" s="524">
        <f t="shared" si="0"/>
        <v>151.53</v>
      </c>
      <c r="H22" s="524"/>
      <c r="I22" s="524">
        <f>F22</f>
        <v>151.53</v>
      </c>
      <c r="J22" s="525"/>
    </row>
    <row r="23" spans="1:12" ht="19.5" customHeight="1" x14ac:dyDescent="0.3">
      <c r="A23" s="832" t="s">
        <v>205</v>
      </c>
      <c r="B23" s="832"/>
      <c r="C23" s="540">
        <f>Dados!G43</f>
        <v>1</v>
      </c>
      <c r="D23" s="542">
        <f>Dados!G44</f>
        <v>0</v>
      </c>
      <c r="E23" s="541">
        <f>Dados!G42</f>
        <v>387.79</v>
      </c>
      <c r="F23" s="543">
        <f>E23*C23*(100%-D23)</f>
        <v>387.79</v>
      </c>
      <c r="G23" s="524">
        <f t="shared" si="0"/>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si="0"/>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32" t="s">
        <v>486</v>
      </c>
      <c r="B26" s="832"/>
      <c r="C26" s="540"/>
      <c r="D26" s="541"/>
      <c r="E26" s="541"/>
      <c r="F26" s="524"/>
      <c r="G26" s="524"/>
      <c r="H26" s="524"/>
      <c r="I26" s="524"/>
      <c r="J26" s="525"/>
      <c r="L26" s="544"/>
    </row>
    <row r="27" spans="1:12" ht="19.5" customHeight="1" x14ac:dyDescent="0.3">
      <c r="A27" s="538" t="s">
        <v>487</v>
      </c>
      <c r="B27" s="545"/>
      <c r="C27" s="540"/>
      <c r="D27" s="541"/>
      <c r="E27" s="541"/>
      <c r="F27" s="524">
        <f>Dados!R7</f>
        <v>0</v>
      </c>
      <c r="G27" s="524"/>
      <c r="H27" s="524"/>
      <c r="I27" s="524"/>
      <c r="J27" s="525"/>
    </row>
    <row r="28" spans="1:12" ht="19.5" customHeight="1" x14ac:dyDescent="0.3">
      <c r="A28" s="843" t="s">
        <v>488</v>
      </c>
      <c r="B28" s="843"/>
      <c r="C28" s="546"/>
      <c r="D28" s="547"/>
      <c r="E28" s="547"/>
      <c r="F28" s="530">
        <f>Dados!U7</f>
        <v>0</v>
      </c>
      <c r="G28" s="530">
        <f>F28</f>
        <v>0</v>
      </c>
      <c r="H28" s="530"/>
      <c r="I28" s="530"/>
      <c r="J28" s="531"/>
    </row>
    <row r="29" spans="1:12" ht="19.5" customHeight="1" x14ac:dyDescent="0.3">
      <c r="A29" s="838" t="s">
        <v>489</v>
      </c>
      <c r="B29" s="838"/>
      <c r="C29" s="838"/>
      <c r="D29" s="838"/>
      <c r="E29" s="838"/>
      <c r="F29" s="535">
        <f>SUM(F19:F28)</f>
        <v>637.52</v>
      </c>
      <c r="G29" s="535">
        <f>SUM(G19:G28)</f>
        <v>637.52</v>
      </c>
      <c r="H29" s="535">
        <f>SUM(H19:H28)</f>
        <v>387.79</v>
      </c>
      <c r="I29" s="535">
        <f>SUM(I19:I28)</f>
        <v>151.53</v>
      </c>
      <c r="J29" s="536">
        <f>SUM(J19:J28)</f>
        <v>0</v>
      </c>
    </row>
    <row r="30" spans="1:12" ht="19.5" customHeight="1" x14ac:dyDescent="0.3">
      <c r="A30" s="838" t="s">
        <v>490</v>
      </c>
      <c r="B30" s="838"/>
      <c r="C30" s="838"/>
      <c r="D30" s="838"/>
      <c r="E30" s="838"/>
      <c r="F30" s="535">
        <f>F16+F29</f>
        <v>3556.06</v>
      </c>
      <c r="G30" s="535">
        <f>G16+G29</f>
        <v>3556.06</v>
      </c>
      <c r="H30" s="535">
        <f>H16+H29</f>
        <v>387.79</v>
      </c>
      <c r="I30" s="535">
        <f>I16+I29</f>
        <v>151.53</v>
      </c>
      <c r="J30" s="536">
        <f>J16+J29</f>
        <v>0</v>
      </c>
    </row>
    <row r="31" spans="1:12" ht="19.5" customHeight="1" x14ac:dyDescent="0.3">
      <c r="A31" s="839" t="s">
        <v>491</v>
      </c>
      <c r="B31" s="839"/>
      <c r="C31" s="839"/>
      <c r="D31" s="839"/>
      <c r="E31" s="839"/>
      <c r="F31" s="839"/>
      <c r="G31" s="839"/>
      <c r="H31" s="839"/>
      <c r="I31" s="839"/>
      <c r="J31" s="839"/>
    </row>
    <row r="32" spans="1:12" ht="19.5" customHeight="1" x14ac:dyDescent="0.3">
      <c r="A32" s="840" t="s">
        <v>492</v>
      </c>
      <c r="B32" s="840"/>
      <c r="C32" s="840"/>
      <c r="D32" s="548" t="s">
        <v>433</v>
      </c>
      <c r="E32" s="841" t="s">
        <v>344</v>
      </c>
      <c r="F32" s="841"/>
      <c r="G32" s="841"/>
      <c r="H32" s="841"/>
      <c r="I32" s="841"/>
      <c r="J32" s="841"/>
    </row>
    <row r="33" spans="1:12" ht="19.5" customHeight="1" x14ac:dyDescent="0.3">
      <c r="A33" s="549" t="s">
        <v>493</v>
      </c>
      <c r="B33" s="550"/>
      <c r="C33" s="550"/>
      <c r="D33" s="551">
        <f>Dados!$G$49</f>
        <v>7.0000000000000007E-2</v>
      </c>
      <c r="E33" s="552"/>
      <c r="F33" s="524">
        <f>ROUND((F30*$D$33),2)</f>
        <v>248.92</v>
      </c>
      <c r="G33" s="524">
        <f>ROUND((G30*$D$33),2)</f>
        <v>248.92</v>
      </c>
      <c r="H33" s="524">
        <f>ROUND((H30*$D$33),2)</f>
        <v>27.15</v>
      </c>
      <c r="I33" s="524">
        <f>ROUND((I30*$D$33),2)</f>
        <v>10.61</v>
      </c>
      <c r="J33" s="525">
        <f>ROUND((J30*$D$33),2)</f>
        <v>0</v>
      </c>
    </row>
    <row r="34" spans="1:12" ht="19.5" customHeight="1" x14ac:dyDescent="0.3">
      <c r="A34" s="842" t="s">
        <v>494</v>
      </c>
      <c r="B34" s="842"/>
      <c r="C34" s="842"/>
      <c r="D34" s="551"/>
      <c r="E34" s="552"/>
      <c r="F34" s="524">
        <f>F30+F33</f>
        <v>3804.98</v>
      </c>
      <c r="G34" s="524">
        <f>G30+G33</f>
        <v>3804.98</v>
      </c>
      <c r="H34" s="524">
        <f>H30+H33</f>
        <v>414.94</v>
      </c>
      <c r="I34" s="524">
        <f>I30+I33</f>
        <v>162.13999999999999</v>
      </c>
      <c r="J34" s="525">
        <f>J30+J33</f>
        <v>0</v>
      </c>
    </row>
    <row r="35" spans="1:12" ht="19.5" customHeight="1" x14ac:dyDescent="0.3">
      <c r="A35" s="553" t="s">
        <v>212</v>
      </c>
      <c r="B35" s="554"/>
      <c r="C35" s="554"/>
      <c r="D35" s="555">
        <f>Dados!$G$50</f>
        <v>3.6900000000000002E-2</v>
      </c>
      <c r="E35" s="556"/>
      <c r="F35" s="530">
        <f>ROUND((F34*$D$35),2)</f>
        <v>140.4</v>
      </c>
      <c r="G35" s="530">
        <f>ROUND((G34*$D$35),2)</f>
        <v>140.4</v>
      </c>
      <c r="H35" s="530">
        <f>ROUND((H34*$D$35),2)</f>
        <v>15.31</v>
      </c>
      <c r="I35" s="530">
        <f>ROUND((I34*$D$35),2)</f>
        <v>5.98</v>
      </c>
      <c r="J35" s="531">
        <f>ROUND((J34*$D$35),2)</f>
        <v>0</v>
      </c>
    </row>
    <row r="36" spans="1:12" ht="19.5" customHeight="1" x14ac:dyDescent="0.3">
      <c r="A36" s="557" t="s">
        <v>495</v>
      </c>
      <c r="B36" s="558"/>
      <c r="C36" s="558"/>
      <c r="D36" s="559">
        <f>SUM(D33:D35)</f>
        <v>0.10690000000000001</v>
      </c>
      <c r="E36" s="560"/>
      <c r="F36" s="535">
        <f>F33+F35</f>
        <v>389.32</v>
      </c>
      <c r="G36" s="535">
        <f>G33+G35</f>
        <v>389.32</v>
      </c>
      <c r="H36" s="535">
        <f>H33+H35</f>
        <v>42.46</v>
      </c>
      <c r="I36" s="535">
        <f>I33+I35</f>
        <v>16.59</v>
      </c>
      <c r="J36" s="536">
        <f>J33+J35</f>
        <v>0</v>
      </c>
    </row>
    <row r="37" spans="1:12" ht="19.5" customHeight="1" x14ac:dyDescent="0.3">
      <c r="A37" s="836" t="s">
        <v>496</v>
      </c>
      <c r="B37" s="836"/>
      <c r="C37" s="836"/>
      <c r="D37" s="836"/>
      <c r="E37" s="836"/>
      <c r="F37" s="561">
        <f>F30+F36</f>
        <v>3945.38</v>
      </c>
      <c r="G37" s="561">
        <f>G30+G36</f>
        <v>3945.38</v>
      </c>
      <c r="H37" s="561">
        <f>H30+H36</f>
        <v>430.25</v>
      </c>
      <c r="I37" s="561">
        <f>I30+I36</f>
        <v>168.12</v>
      </c>
      <c r="J37" s="562">
        <f>J30+J36</f>
        <v>0</v>
      </c>
    </row>
    <row r="38" spans="1:12" ht="19.5" customHeight="1" x14ac:dyDescent="0.3">
      <c r="A38" s="837" t="s">
        <v>497</v>
      </c>
      <c r="B38" s="837"/>
      <c r="C38" s="837"/>
      <c r="D38" s="837"/>
      <c r="E38" s="837"/>
      <c r="F38" s="837"/>
      <c r="G38" s="837"/>
      <c r="H38" s="837"/>
      <c r="I38" s="837"/>
      <c r="J38" s="837"/>
    </row>
    <row r="39" spans="1:12" ht="19.5" customHeight="1" x14ac:dyDescent="0.3">
      <c r="A39" s="832" t="s">
        <v>218</v>
      </c>
      <c r="B39" s="832"/>
      <c r="C39" s="832"/>
      <c r="D39" s="551">
        <f>Dados!G57</f>
        <v>7.5999999999999998E-2</v>
      </c>
      <c r="E39" s="563"/>
      <c r="F39" s="524">
        <f>ROUND(($F$45*D39),2)</f>
        <v>337.86</v>
      </c>
      <c r="G39" s="524">
        <f>ROUND((G45*$D$39),2)</f>
        <v>337.86</v>
      </c>
      <c r="H39" s="524">
        <f>ROUND((H45*$D$39),2)</f>
        <v>36.840000000000003</v>
      </c>
      <c r="I39" s="524">
        <f>ROUND((I45*$D$39),2)</f>
        <v>14.4</v>
      </c>
      <c r="J39" s="525">
        <f>ROUND((J45*$D$39),2)</f>
        <v>0</v>
      </c>
    </row>
    <row r="40" spans="1:12" ht="19.5" customHeight="1" x14ac:dyDescent="0.3">
      <c r="A40" s="832" t="s">
        <v>220</v>
      </c>
      <c r="B40" s="832"/>
      <c r="C40" s="832"/>
      <c r="D40" s="551">
        <f>Dados!G58</f>
        <v>1.6500000000000001E-2</v>
      </c>
      <c r="E40" s="563"/>
      <c r="F40" s="524">
        <f>ROUND((F45*$D$40),2)</f>
        <v>73.349999999999994</v>
      </c>
      <c r="G40" s="524">
        <f>ROUND((G45*$D$40),2)</f>
        <v>73.349999999999994</v>
      </c>
      <c r="H40" s="524">
        <f>ROUND((H45*$D$40),2)</f>
        <v>8</v>
      </c>
      <c r="I40" s="524">
        <f>ROUND((I45*$D$40),2)</f>
        <v>3.13</v>
      </c>
      <c r="J40" s="525">
        <f>ROUND((J45*$D$40),2)</f>
        <v>0</v>
      </c>
    </row>
    <row r="41" spans="1:12" ht="19.5" customHeight="1" x14ac:dyDescent="0.3">
      <c r="A41" s="832" t="str">
        <f>Dados!B59</f>
        <v>ISSQN 7.10 - Limpeza</v>
      </c>
      <c r="B41" s="832"/>
      <c r="C41" s="832"/>
      <c r="D41" s="551">
        <v>0</v>
      </c>
      <c r="E41" s="563"/>
      <c r="F41" s="524">
        <f>ROUND((F45*$D$41),2)</f>
        <v>0</v>
      </c>
      <c r="G41" s="524">
        <f>ROUND((G45*$D$41),2)</f>
        <v>0</v>
      </c>
      <c r="H41" s="524">
        <f>ROUND((H45*$D$41),2)</f>
        <v>0</v>
      </c>
      <c r="I41" s="524">
        <f>ROUND((I45*$D$41),2)</f>
        <v>0</v>
      </c>
      <c r="J41" s="525">
        <f>ROUND((J45*$D$41),2)</f>
        <v>0</v>
      </c>
    </row>
    <row r="42" spans="1:12" ht="19.5" customHeight="1" x14ac:dyDescent="0.3">
      <c r="A42" s="832" t="str">
        <f>Dados!B60</f>
        <v>ISSQN 17.05 - Fornecimento de mão-de-obra</v>
      </c>
      <c r="B42" s="832"/>
      <c r="C42" s="832"/>
      <c r="D42" s="551">
        <f>Dados!G60</f>
        <v>0.02</v>
      </c>
      <c r="E42" s="563"/>
      <c r="F42" s="524">
        <f>ROUND((F45*$D$42),2)</f>
        <v>88.91</v>
      </c>
      <c r="G42" s="524">
        <f>ROUND((G45*$D$42),2)</f>
        <v>88.91</v>
      </c>
      <c r="H42" s="524">
        <f>ROUND((H45*$D$42),2)</f>
        <v>9.6999999999999993</v>
      </c>
      <c r="I42" s="524">
        <f>ROUND((I45*$D$42),2)</f>
        <v>3.79</v>
      </c>
      <c r="J42" s="525">
        <f>ROUND((J45*$D$42),2)</f>
        <v>0</v>
      </c>
    </row>
    <row r="43" spans="1:12" ht="19.5" customHeight="1" x14ac:dyDescent="0.3">
      <c r="A43" s="833" t="s">
        <v>498</v>
      </c>
      <c r="B43" s="833"/>
      <c r="C43" s="833"/>
      <c r="D43" s="564">
        <f>SUM(D39:D42)</f>
        <v>0.1125</v>
      </c>
      <c r="E43" s="565"/>
      <c r="F43" s="566">
        <f>SUM(F39:F42)</f>
        <v>500.12</v>
      </c>
      <c r="G43" s="566">
        <f>SUM(G39:G42)</f>
        <v>500.12</v>
      </c>
      <c r="H43" s="566">
        <f>SUM(H39:H42)</f>
        <v>54.540000000000006</v>
      </c>
      <c r="I43" s="566">
        <f>SUM(I39:I42)</f>
        <v>21.32</v>
      </c>
      <c r="J43" s="567">
        <f>SUM(J39:J41)</f>
        <v>0</v>
      </c>
    </row>
    <row r="44" spans="1:12" ht="19.5" customHeight="1" x14ac:dyDescent="0.3">
      <c r="A44" s="834" t="str">
        <f>CONCATENATE("Custo Mensal - ",A7)</f>
        <v>Custo Mensal - Assistente Administrativo</v>
      </c>
      <c r="B44" s="834"/>
      <c r="C44" s="834"/>
      <c r="D44" s="834"/>
      <c r="E44" s="834"/>
      <c r="F44" s="568">
        <f>ROUND(F37/(1-D43),2)</f>
        <v>4445.5</v>
      </c>
      <c r="G44" s="568">
        <f>ROUND(G37/(1-D43),2)</f>
        <v>4445.5</v>
      </c>
      <c r="H44" s="568">
        <f>ROUND(H37/(1-D43),2)</f>
        <v>484.79</v>
      </c>
      <c r="I44" s="568">
        <f>ROUND(I37/(1-D43),2)</f>
        <v>189.43</v>
      </c>
      <c r="J44" s="569">
        <f>ROUND(J37/(1-D43),2)</f>
        <v>0</v>
      </c>
    </row>
    <row r="45" spans="1:12" ht="19.5" customHeight="1" x14ac:dyDescent="0.3">
      <c r="A45" s="834" t="str">
        <f>CONCATENATE("Valor do Custo Mensal - ",A7)</f>
        <v>Valor do Custo Mensal - Assistente Administrativo</v>
      </c>
      <c r="B45" s="834"/>
      <c r="C45" s="834"/>
      <c r="D45" s="834"/>
      <c r="E45" s="834"/>
      <c r="F45" s="568">
        <f>F44</f>
        <v>4445.5</v>
      </c>
      <c r="G45" s="568">
        <f>G44</f>
        <v>4445.5</v>
      </c>
      <c r="H45" s="568">
        <f>H44</f>
        <v>484.79</v>
      </c>
      <c r="I45" s="568">
        <f>I44</f>
        <v>189.43</v>
      </c>
      <c r="J45" s="569">
        <f>J44</f>
        <v>0</v>
      </c>
      <c r="K45" s="570"/>
      <c r="L45" s="570"/>
    </row>
    <row r="46" spans="1:12" ht="27.75" customHeight="1" x14ac:dyDescent="0.3">
      <c r="A46" s="835" t="s">
        <v>499</v>
      </c>
      <c r="B46" s="835"/>
      <c r="C46" s="835"/>
      <c r="D46" s="835"/>
      <c r="E46" s="835"/>
      <c r="F46" s="571">
        <f>(F45/F14)</f>
        <v>2.6869144756724084</v>
      </c>
      <c r="G46" s="571">
        <f>(G45/G14)</f>
        <v>2.6869144756724084</v>
      </c>
      <c r="H46" s="831" t="s">
        <v>500</v>
      </c>
      <c r="I46" s="831"/>
      <c r="J46" s="572">
        <v>0</v>
      </c>
    </row>
    <row r="47" spans="1:12" ht="19.5" customHeight="1" x14ac:dyDescent="0.3"/>
  </sheetData>
  <sheetProtection algorithmName="SHA-512" hashValue="cbc3eXhhptkt8AImPveeZjrIFZ5psk2g0jEJ6b8aNpEEo2/sWmah2tvFkvRwjO76QHNo2k8urQ35G1JqkGCP2Q==" saltValue="XhA9iYtssu5qaxwD0bDxE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2">
    <tabColor theme="0" tint="-0.249977111117893"/>
  </sheetPr>
  <dimension ref="A1:AMJ47"/>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Dados!C7</f>
        <v>Assistente Administrativo</v>
      </c>
      <c r="B7" s="859"/>
      <c r="C7" s="859"/>
      <c r="D7" s="859"/>
      <c r="E7" s="859"/>
      <c r="F7" s="860" t="s">
        <v>466</v>
      </c>
      <c r="G7" s="860" t="s">
        <v>467</v>
      </c>
      <c r="H7" s="860" t="s">
        <v>468</v>
      </c>
      <c r="I7" s="860" t="s">
        <v>469</v>
      </c>
      <c r="J7" s="860" t="s">
        <v>470</v>
      </c>
    </row>
    <row r="8" spans="1:10" ht="19.5" customHeight="1" x14ac:dyDescent="0.3">
      <c r="A8" s="861" t="s">
        <v>471</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2" t="str">
        <f>A7</f>
        <v>Assistente Administrativo</v>
      </c>
      <c r="C11" s="852"/>
      <c r="D11" s="522">
        <f>Dados!D8</f>
        <v>200</v>
      </c>
      <c r="E11" s="523">
        <f>Dados!$E$8</f>
        <v>2426.6</v>
      </c>
      <c r="F11" s="524">
        <f>ROUND(E11/220*D11,2)</f>
        <v>2206</v>
      </c>
      <c r="G11" s="524">
        <f>F11</f>
        <v>2206</v>
      </c>
      <c r="H11" s="524"/>
      <c r="I11" s="524"/>
      <c r="J11" s="525"/>
    </row>
    <row r="12" spans="1:10" ht="19.5" customHeight="1" x14ac:dyDescent="0.3">
      <c r="A12" s="851"/>
      <c r="B12" s="853" t="s">
        <v>476</v>
      </c>
      <c r="C12" s="853"/>
      <c r="D12" s="526">
        <f>Dados!G7</f>
        <v>0</v>
      </c>
      <c r="E12" s="523">
        <f>Dados!$G$33</f>
        <v>1518</v>
      </c>
      <c r="F12" s="524">
        <f>D12*E12</f>
        <v>0</v>
      </c>
      <c r="G12" s="524">
        <f>F12</f>
        <v>0</v>
      </c>
      <c r="H12" s="524"/>
      <c r="I12" s="524"/>
      <c r="J12" s="525">
        <f>F12</f>
        <v>0</v>
      </c>
    </row>
    <row r="13" spans="1:10" ht="22.5" customHeight="1" x14ac:dyDescent="0.3">
      <c r="A13" s="851"/>
      <c r="B13" s="527" t="s">
        <v>477</v>
      </c>
      <c r="C13" s="528">
        <f>Dados!$I$7</f>
        <v>0</v>
      </c>
      <c r="D13" s="528">
        <f>Dados!$J$7</f>
        <v>0</v>
      </c>
      <c r="E13" s="529">
        <f>Dados!$K$7</f>
        <v>0</v>
      </c>
      <c r="F13" s="530">
        <f>ROUND((E13*D13*C13),2)</f>
        <v>0</v>
      </c>
      <c r="G13" s="530">
        <f>F13</f>
        <v>0</v>
      </c>
      <c r="H13" s="530"/>
      <c r="I13" s="530"/>
      <c r="J13" s="531"/>
    </row>
    <row r="14" spans="1:10" ht="19.5" customHeight="1" x14ac:dyDescent="0.3">
      <c r="A14" s="851"/>
      <c r="B14" s="854" t="s">
        <v>478</v>
      </c>
      <c r="C14" s="854"/>
      <c r="D14" s="854"/>
      <c r="E14" s="854"/>
      <c r="F14" s="532">
        <f>SUM(F11:F13)</f>
        <v>2206</v>
      </c>
      <c r="G14" s="532">
        <f>SUM(G11:G13)</f>
        <v>2206</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1685.38</v>
      </c>
      <c r="G15" s="524">
        <f>F15</f>
        <v>1685.38</v>
      </c>
      <c r="H15" s="524"/>
      <c r="I15" s="524"/>
      <c r="J15" s="525">
        <f>ROUND((E15*J14),2)</f>
        <v>0</v>
      </c>
    </row>
    <row r="16" spans="1:10" ht="19.5" customHeight="1" x14ac:dyDescent="0.3">
      <c r="A16" s="845" t="s">
        <v>480</v>
      </c>
      <c r="B16" s="845"/>
      <c r="C16" s="845"/>
      <c r="D16" s="845"/>
      <c r="E16" s="845"/>
      <c r="F16" s="535">
        <f>SUM(F14:F15)</f>
        <v>3891.38</v>
      </c>
      <c r="G16" s="535">
        <f>SUM(G14:G15)</f>
        <v>3891.38</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Dados!N7</f>
        <v>49.96</v>
      </c>
      <c r="G19" s="524">
        <f>F19</f>
        <v>49.96</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118.44</v>
      </c>
      <c r="G22" s="524">
        <f>F22</f>
        <v>118.44</v>
      </c>
      <c r="H22" s="524"/>
      <c r="I22" s="524">
        <f>F22</f>
        <v>118.44</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6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6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32" t="s">
        <v>486</v>
      </c>
      <c r="B26" s="832"/>
      <c r="C26" s="540"/>
      <c r="D26" s="541"/>
      <c r="E26" s="541"/>
      <c r="F26" s="524"/>
      <c r="G26" s="524"/>
      <c r="H26" s="524"/>
      <c r="I26" s="524"/>
      <c r="J26" s="525"/>
      <c r="L26" s="544"/>
    </row>
    <row r="27" spans="1:12" ht="19.5" customHeight="1" x14ac:dyDescent="0.3">
      <c r="A27" s="538" t="s">
        <v>487</v>
      </c>
      <c r="B27" s="545"/>
      <c r="C27" s="540"/>
      <c r="D27" s="541"/>
      <c r="E27" s="541"/>
      <c r="F27" s="524">
        <f>Dados!R7</f>
        <v>0</v>
      </c>
      <c r="G27" s="524"/>
      <c r="H27" s="524"/>
      <c r="I27" s="524"/>
      <c r="J27" s="525"/>
    </row>
    <row r="28" spans="1:12" ht="19.5" customHeight="1" x14ac:dyDescent="0.3">
      <c r="A28" s="843" t="s">
        <v>488</v>
      </c>
      <c r="B28" s="843"/>
      <c r="C28" s="546"/>
      <c r="D28" s="547"/>
      <c r="E28" s="547"/>
      <c r="F28" s="530">
        <f>Dados!U7</f>
        <v>0</v>
      </c>
      <c r="G28" s="530">
        <f>F28</f>
        <v>0</v>
      </c>
      <c r="H28" s="530"/>
      <c r="I28" s="530"/>
      <c r="J28" s="531"/>
    </row>
    <row r="29" spans="1:12" ht="19.5" customHeight="1" x14ac:dyDescent="0.3">
      <c r="A29" s="838" t="s">
        <v>489</v>
      </c>
      <c r="B29" s="838"/>
      <c r="C29" s="838"/>
      <c r="D29" s="838"/>
      <c r="E29" s="838"/>
      <c r="F29" s="535">
        <f>SUM(F19:F28)</f>
        <v>604.43000000000006</v>
      </c>
      <c r="G29" s="535">
        <f>SUM(G19:G28)</f>
        <v>604.43000000000006</v>
      </c>
      <c r="H29" s="535">
        <f>SUM(H19:H28)</f>
        <v>387.79</v>
      </c>
      <c r="I29" s="535">
        <f>SUM(I19:I28)</f>
        <v>118.44</v>
      </c>
      <c r="J29" s="536">
        <f>SUM(J19:J28)</f>
        <v>0</v>
      </c>
    </row>
    <row r="30" spans="1:12" ht="19.5" customHeight="1" x14ac:dyDescent="0.3">
      <c r="A30" s="838" t="s">
        <v>490</v>
      </c>
      <c r="B30" s="838"/>
      <c r="C30" s="838"/>
      <c r="D30" s="838"/>
      <c r="E30" s="838"/>
      <c r="F30" s="535">
        <f>F16+F29</f>
        <v>4495.8100000000004</v>
      </c>
      <c r="G30" s="535">
        <f>G16+G29</f>
        <v>4495.8100000000004</v>
      </c>
      <c r="H30" s="535">
        <f>H16+H29</f>
        <v>387.79</v>
      </c>
      <c r="I30" s="535">
        <f>I16+I29</f>
        <v>118.44</v>
      </c>
      <c r="J30" s="536">
        <f>J16+J29</f>
        <v>0</v>
      </c>
    </row>
    <row r="31" spans="1:12" ht="19.5" customHeight="1" x14ac:dyDescent="0.3">
      <c r="A31" s="839" t="s">
        <v>491</v>
      </c>
      <c r="B31" s="839"/>
      <c r="C31" s="839"/>
      <c r="D31" s="839"/>
      <c r="E31" s="839"/>
      <c r="F31" s="839"/>
      <c r="G31" s="839"/>
      <c r="H31" s="839"/>
      <c r="I31" s="839"/>
      <c r="J31" s="839"/>
    </row>
    <row r="32" spans="1:12" ht="19.5" customHeight="1" x14ac:dyDescent="0.3">
      <c r="A32" s="840" t="s">
        <v>492</v>
      </c>
      <c r="B32" s="840"/>
      <c r="C32" s="840"/>
      <c r="D32" s="548" t="s">
        <v>433</v>
      </c>
      <c r="E32" s="841" t="s">
        <v>344</v>
      </c>
      <c r="F32" s="841"/>
      <c r="G32" s="841"/>
      <c r="H32" s="841"/>
      <c r="I32" s="841"/>
      <c r="J32" s="841"/>
    </row>
    <row r="33" spans="1:12" ht="19.5" customHeight="1" x14ac:dyDescent="0.3">
      <c r="A33" s="549" t="s">
        <v>493</v>
      </c>
      <c r="B33" s="550"/>
      <c r="C33" s="550"/>
      <c r="D33" s="551">
        <f>Dados!$G$49</f>
        <v>7.0000000000000007E-2</v>
      </c>
      <c r="E33" s="552"/>
      <c r="F33" s="524">
        <f>ROUND((F30*$D$33),2)</f>
        <v>314.70999999999998</v>
      </c>
      <c r="G33" s="524">
        <f>ROUND((G30*$D$33),2)</f>
        <v>314.70999999999998</v>
      </c>
      <c r="H33" s="524">
        <f>ROUND((H30*$D$33),2)</f>
        <v>27.15</v>
      </c>
      <c r="I33" s="524">
        <f>ROUND((I30*$D$33),2)</f>
        <v>8.2899999999999991</v>
      </c>
      <c r="J33" s="525">
        <f>ROUND((J30*$D$33),2)</f>
        <v>0</v>
      </c>
    </row>
    <row r="34" spans="1:12" ht="19.5" customHeight="1" x14ac:dyDescent="0.3">
      <c r="A34" s="842" t="s">
        <v>494</v>
      </c>
      <c r="B34" s="842"/>
      <c r="C34" s="842"/>
      <c r="D34" s="551"/>
      <c r="E34" s="552"/>
      <c r="F34" s="524">
        <f>F30+F33</f>
        <v>4810.5200000000004</v>
      </c>
      <c r="G34" s="524">
        <f>G30+G33</f>
        <v>4810.5200000000004</v>
      </c>
      <c r="H34" s="524">
        <f>H30+H33</f>
        <v>414.94</v>
      </c>
      <c r="I34" s="524">
        <f>I30+I33</f>
        <v>126.72999999999999</v>
      </c>
      <c r="J34" s="525">
        <f>J30+J33</f>
        <v>0</v>
      </c>
    </row>
    <row r="35" spans="1:12" ht="19.5" customHeight="1" x14ac:dyDescent="0.3">
      <c r="A35" s="553" t="s">
        <v>212</v>
      </c>
      <c r="B35" s="554"/>
      <c r="C35" s="554"/>
      <c r="D35" s="555">
        <f>Dados!$G$50</f>
        <v>3.6900000000000002E-2</v>
      </c>
      <c r="E35" s="556"/>
      <c r="F35" s="530">
        <f>ROUND((F34*$D$35),2)</f>
        <v>177.51</v>
      </c>
      <c r="G35" s="530">
        <f>ROUND((G34*$D$35),2)</f>
        <v>177.51</v>
      </c>
      <c r="H35" s="530">
        <f>ROUND((H34*$D$35),2)</f>
        <v>15.31</v>
      </c>
      <c r="I35" s="530">
        <f>ROUND((I34*$D$35),2)</f>
        <v>4.68</v>
      </c>
      <c r="J35" s="531">
        <f>ROUND((J34*$D$35),2)</f>
        <v>0</v>
      </c>
    </row>
    <row r="36" spans="1:12" ht="19.5" customHeight="1" x14ac:dyDescent="0.3">
      <c r="A36" s="557" t="s">
        <v>495</v>
      </c>
      <c r="B36" s="558"/>
      <c r="C36" s="558"/>
      <c r="D36" s="559">
        <f>SUM(D33:D35)</f>
        <v>0.10690000000000001</v>
      </c>
      <c r="E36" s="560"/>
      <c r="F36" s="535">
        <f>F33+F35</f>
        <v>492.21999999999997</v>
      </c>
      <c r="G36" s="535">
        <f>G33+G35</f>
        <v>492.21999999999997</v>
      </c>
      <c r="H36" s="535">
        <f>H33+H35</f>
        <v>42.46</v>
      </c>
      <c r="I36" s="535">
        <f>I33+I35</f>
        <v>12.969999999999999</v>
      </c>
      <c r="J36" s="536">
        <f>J33+J35</f>
        <v>0</v>
      </c>
    </row>
    <row r="37" spans="1:12" ht="19.5" customHeight="1" x14ac:dyDescent="0.3">
      <c r="A37" s="836" t="s">
        <v>496</v>
      </c>
      <c r="B37" s="836"/>
      <c r="C37" s="836"/>
      <c r="D37" s="836"/>
      <c r="E37" s="836"/>
      <c r="F37" s="561">
        <f>F30+F36</f>
        <v>4988.0300000000007</v>
      </c>
      <c r="G37" s="561">
        <f>G30+G36</f>
        <v>4988.0300000000007</v>
      </c>
      <c r="H37" s="561">
        <f>H30+H36</f>
        <v>430.25</v>
      </c>
      <c r="I37" s="561">
        <f>I30+I36</f>
        <v>131.41</v>
      </c>
      <c r="J37" s="562">
        <f>J30+J36</f>
        <v>0</v>
      </c>
    </row>
    <row r="38" spans="1:12" ht="19.5" customHeight="1" x14ac:dyDescent="0.3">
      <c r="A38" s="837" t="s">
        <v>497</v>
      </c>
      <c r="B38" s="837"/>
      <c r="C38" s="837"/>
      <c r="D38" s="837"/>
      <c r="E38" s="837"/>
      <c r="F38" s="837"/>
      <c r="G38" s="837"/>
      <c r="H38" s="837"/>
      <c r="I38" s="837"/>
      <c r="J38" s="837"/>
    </row>
    <row r="39" spans="1:12" ht="19.5" customHeight="1" x14ac:dyDescent="0.3">
      <c r="A39" s="832" t="s">
        <v>218</v>
      </c>
      <c r="B39" s="832"/>
      <c r="C39" s="832"/>
      <c r="D39" s="551">
        <f>Dados!G57</f>
        <v>7.5999999999999998E-2</v>
      </c>
      <c r="E39" s="563"/>
      <c r="F39" s="524">
        <f>ROUND(($F$45*D39),2)</f>
        <v>427.14</v>
      </c>
      <c r="G39" s="524">
        <f>ROUND((G45*$D$39),2)</f>
        <v>427.14</v>
      </c>
      <c r="H39" s="524">
        <f>ROUND((H45*$D$39),2)</f>
        <v>36.840000000000003</v>
      </c>
      <c r="I39" s="524">
        <f>ROUND((I45*$D$39),2)</f>
        <v>11.25</v>
      </c>
      <c r="J39" s="525">
        <f>ROUND((J45*$D$39),2)</f>
        <v>0</v>
      </c>
    </row>
    <row r="40" spans="1:12" ht="19.5" customHeight="1" x14ac:dyDescent="0.3">
      <c r="A40" s="832" t="s">
        <v>220</v>
      </c>
      <c r="B40" s="832"/>
      <c r="C40" s="832"/>
      <c r="D40" s="551">
        <f>Dados!G58</f>
        <v>1.6500000000000001E-2</v>
      </c>
      <c r="E40" s="563"/>
      <c r="F40" s="524">
        <f>ROUND((F45*$D$40),2)</f>
        <v>92.74</v>
      </c>
      <c r="G40" s="524">
        <f>ROUND((G45*$D$40),2)</f>
        <v>92.74</v>
      </c>
      <c r="H40" s="524">
        <f>ROUND((H45*$D$40),2)</f>
        <v>8</v>
      </c>
      <c r="I40" s="524">
        <f>ROUND((I45*$D$40),2)</f>
        <v>2.44</v>
      </c>
      <c r="J40" s="525">
        <f>ROUND((J45*$D$40),2)</f>
        <v>0</v>
      </c>
    </row>
    <row r="41" spans="1:12" ht="19.5" customHeight="1" x14ac:dyDescent="0.3">
      <c r="A41" s="832" t="str">
        <f>Dados!B59</f>
        <v>ISSQN 7.10 - Limpeza</v>
      </c>
      <c r="B41" s="832"/>
      <c r="C41" s="832"/>
      <c r="D41" s="551">
        <v>0</v>
      </c>
      <c r="E41" s="563"/>
      <c r="F41" s="524">
        <f>ROUND((F45*$D$41),2)</f>
        <v>0</v>
      </c>
      <c r="G41" s="524">
        <f>ROUND((G45*$D$41),2)</f>
        <v>0</v>
      </c>
      <c r="H41" s="524">
        <f>ROUND((H45*$D$41),2)</f>
        <v>0</v>
      </c>
      <c r="I41" s="524">
        <f>ROUND((I45*$D$41),2)</f>
        <v>0</v>
      </c>
      <c r="J41" s="525">
        <f>ROUND((J45*$D$41),2)</f>
        <v>0</v>
      </c>
    </row>
    <row r="42" spans="1:12" ht="19.5" customHeight="1" x14ac:dyDescent="0.3">
      <c r="A42" s="832" t="str">
        <f>Dados!B60</f>
        <v>ISSQN 17.05 - Fornecimento de mão-de-obra</v>
      </c>
      <c r="B42" s="832"/>
      <c r="C42" s="832"/>
      <c r="D42" s="551">
        <f>Dados!G60</f>
        <v>0.02</v>
      </c>
      <c r="E42" s="563"/>
      <c r="F42" s="524">
        <f>ROUND((F45*$D$42),2)</f>
        <v>112.41</v>
      </c>
      <c r="G42" s="524">
        <f>ROUND((G45*$D$42),2)</f>
        <v>112.41</v>
      </c>
      <c r="H42" s="524">
        <f>ROUND((H45*$D$42),2)</f>
        <v>9.6999999999999993</v>
      </c>
      <c r="I42" s="524">
        <f>ROUND((I45*$D$42),2)</f>
        <v>2.96</v>
      </c>
      <c r="J42" s="525">
        <f>ROUND((J45*$D$42),2)</f>
        <v>0</v>
      </c>
    </row>
    <row r="43" spans="1:12" ht="19.5" customHeight="1" x14ac:dyDescent="0.3">
      <c r="A43" s="833" t="s">
        <v>498</v>
      </c>
      <c r="B43" s="833"/>
      <c r="C43" s="833"/>
      <c r="D43" s="564">
        <f>SUM(D39:D42)</f>
        <v>0.1125</v>
      </c>
      <c r="E43" s="565"/>
      <c r="F43" s="566">
        <f>SUM(F39:F42)</f>
        <v>632.29</v>
      </c>
      <c r="G43" s="566">
        <f>SUM(G39:G42)</f>
        <v>632.29</v>
      </c>
      <c r="H43" s="566">
        <f>SUM(H39:H42)</f>
        <v>54.540000000000006</v>
      </c>
      <c r="I43" s="566">
        <f>SUM(I39:I42)</f>
        <v>16.649999999999999</v>
      </c>
      <c r="J43" s="567">
        <f>SUM(J39:J41)</f>
        <v>0</v>
      </c>
    </row>
    <row r="44" spans="1:12" ht="19.5" customHeight="1" x14ac:dyDescent="0.3">
      <c r="A44" s="834" t="str">
        <f>CONCATENATE("Custo Mensal - ",A7)</f>
        <v>Custo Mensal - Assistente Administrativo</v>
      </c>
      <c r="B44" s="834"/>
      <c r="C44" s="834"/>
      <c r="D44" s="834"/>
      <c r="E44" s="834"/>
      <c r="F44" s="568">
        <f>ROUND(F37/(1-D43),2)</f>
        <v>5620.32</v>
      </c>
      <c r="G44" s="568">
        <f>ROUND(G37/(1-D43),2)</f>
        <v>5620.32</v>
      </c>
      <c r="H44" s="568">
        <f>ROUND(H37/(1-D43),2)</f>
        <v>484.79</v>
      </c>
      <c r="I44" s="568">
        <f>ROUND(I37/(1-D43),2)</f>
        <v>148.07</v>
      </c>
      <c r="J44" s="569">
        <f>ROUND(J37/(1-D43),2)</f>
        <v>0</v>
      </c>
    </row>
    <row r="45" spans="1:12" ht="19.5" customHeight="1" x14ac:dyDescent="0.3">
      <c r="A45" s="834" t="str">
        <f>CONCATENATE("Valor do Custo Mensal - ",A7)</f>
        <v>Valor do Custo Mensal - Assistente Administrativo</v>
      </c>
      <c r="B45" s="834"/>
      <c r="C45" s="834"/>
      <c r="D45" s="834"/>
      <c r="E45" s="834"/>
      <c r="F45" s="568">
        <f>F44</f>
        <v>5620.32</v>
      </c>
      <c r="G45" s="568">
        <f>G44</f>
        <v>5620.32</v>
      </c>
      <c r="H45" s="568">
        <f>H44</f>
        <v>484.79</v>
      </c>
      <c r="I45" s="568">
        <f>I44</f>
        <v>148.07</v>
      </c>
      <c r="J45" s="569">
        <f>J44</f>
        <v>0</v>
      </c>
      <c r="K45" s="570"/>
      <c r="L45" s="570"/>
    </row>
    <row r="46" spans="1:12" ht="27.75" customHeight="1" x14ac:dyDescent="0.3">
      <c r="A46" s="835" t="s">
        <v>499</v>
      </c>
      <c r="B46" s="835"/>
      <c r="C46" s="835"/>
      <c r="D46" s="835"/>
      <c r="E46" s="835"/>
      <c r="F46" s="571">
        <f>(F45/F14)</f>
        <v>2.5477425203989119</v>
      </c>
      <c r="G46" s="571">
        <f>(G45/G14)</f>
        <v>2.5477425203989119</v>
      </c>
      <c r="H46" s="831" t="s">
        <v>500</v>
      </c>
      <c r="I46" s="831"/>
      <c r="J46" s="572">
        <v>0</v>
      </c>
    </row>
    <row r="47" spans="1:12" ht="19.5" customHeight="1" x14ac:dyDescent="0.3"/>
  </sheetData>
  <sheetProtection algorithmName="SHA-512" hashValue="WqsXgXYoWV2zFNfPmGPEVvfS6CzY5RRgPPAqSYfkEIT/6K3yhiz0FORjzGDtd/sbrezqn7FOWdEW9IbNHqxobw==" saltValue="k38gd6h8+/JXGs+apYkMwA=="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3">
    <tabColor theme="0" tint="-0.249977111117893"/>
  </sheetPr>
  <dimension ref="A1:AMJ47"/>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Dados!C15</f>
        <v>Encarregado Geral</v>
      </c>
      <c r="B7" s="859"/>
      <c r="C7" s="859"/>
      <c r="D7" s="859"/>
      <c r="E7" s="859"/>
      <c r="F7" s="860" t="s">
        <v>466</v>
      </c>
      <c r="G7" s="860" t="s">
        <v>467</v>
      </c>
      <c r="H7" s="860" t="s">
        <v>468</v>
      </c>
      <c r="I7" s="860" t="s">
        <v>469</v>
      </c>
      <c r="J7" s="860" t="s">
        <v>470</v>
      </c>
    </row>
    <row r="8" spans="1:10" ht="19.5" customHeight="1" x14ac:dyDescent="0.3">
      <c r="A8" s="861" t="s">
        <v>501</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Encarregado Geral</v>
      </c>
      <c r="C11" s="853"/>
      <c r="D11" s="522">
        <f>Dados!D15</f>
        <v>200</v>
      </c>
      <c r="E11" s="523">
        <f>Dados!E15</f>
        <v>2463.29</v>
      </c>
      <c r="F11" s="524">
        <f>ROUND(E11/220*D11,2)</f>
        <v>2239.35</v>
      </c>
      <c r="G11" s="524">
        <f>F11</f>
        <v>2239.35</v>
      </c>
      <c r="H11" s="524"/>
      <c r="I11" s="524"/>
      <c r="J11" s="525"/>
    </row>
    <row r="12" spans="1:10" ht="19.5" customHeight="1" x14ac:dyDescent="0.3">
      <c r="A12" s="851"/>
      <c r="B12" s="853" t="s">
        <v>476</v>
      </c>
      <c r="C12" s="853"/>
      <c r="D12" s="526">
        <f>Dados!G15</f>
        <v>0</v>
      </c>
      <c r="E12" s="523">
        <f>Dados!$G$33</f>
        <v>1518</v>
      </c>
      <c r="F12" s="524">
        <f>D12*E12</f>
        <v>0</v>
      </c>
      <c r="G12" s="524">
        <f>F12</f>
        <v>0</v>
      </c>
      <c r="H12" s="524"/>
      <c r="I12" s="524"/>
      <c r="J12" s="525">
        <f>F12</f>
        <v>0</v>
      </c>
    </row>
    <row r="13" spans="1:10" ht="22.5" customHeight="1" x14ac:dyDescent="0.3">
      <c r="A13" s="851"/>
      <c r="B13" s="527" t="s">
        <v>477</v>
      </c>
      <c r="C13" s="528">
        <f>Dados!$I$15</f>
        <v>0</v>
      </c>
      <c r="D13" s="528">
        <f>Dados!$J$15</f>
        <v>0</v>
      </c>
      <c r="E13" s="529">
        <f>Dados!$K$15</f>
        <v>0</v>
      </c>
      <c r="F13" s="530">
        <f>ROUND((E13*D13*C13),2)</f>
        <v>0</v>
      </c>
      <c r="G13" s="530">
        <f>F13</f>
        <v>0</v>
      </c>
      <c r="H13" s="530"/>
      <c r="I13" s="530"/>
      <c r="J13" s="531"/>
    </row>
    <row r="14" spans="1:10" ht="19.5" customHeight="1" x14ac:dyDescent="0.3">
      <c r="A14" s="851"/>
      <c r="B14" s="854" t="s">
        <v>478</v>
      </c>
      <c r="C14" s="854"/>
      <c r="D14" s="854"/>
      <c r="E14" s="854"/>
      <c r="F14" s="532">
        <f>SUM(F11:F13)</f>
        <v>2239.35</v>
      </c>
      <c r="G14" s="532">
        <f>SUM(G11:G13)</f>
        <v>2239.35</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1710.86</v>
      </c>
      <c r="G15" s="524">
        <f>F15</f>
        <v>1710.86</v>
      </c>
      <c r="H15" s="524"/>
      <c r="I15" s="524"/>
      <c r="J15" s="525">
        <f>ROUND((E15*J14),2)</f>
        <v>0</v>
      </c>
    </row>
    <row r="16" spans="1:10" ht="19.5" customHeight="1" x14ac:dyDescent="0.3">
      <c r="A16" s="845" t="s">
        <v>480</v>
      </c>
      <c r="B16" s="845"/>
      <c r="C16" s="845"/>
      <c r="D16" s="845"/>
      <c r="E16" s="845"/>
      <c r="F16" s="535">
        <f>SUM(F14:F15)</f>
        <v>3950.21</v>
      </c>
      <c r="G16" s="535">
        <f>SUM(G14:G15)</f>
        <v>3950.21</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Dados!N15</f>
        <v>64.489999999999995</v>
      </c>
      <c r="G19" s="524">
        <f>F19</f>
        <v>64.489999999999995</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116.44</v>
      </c>
      <c r="G22" s="524">
        <f>F22</f>
        <v>116.44</v>
      </c>
      <c r="H22" s="524"/>
      <c r="I22" s="524">
        <f>F22</f>
        <v>116.44</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32" t="s">
        <v>486</v>
      </c>
      <c r="B26" s="832"/>
      <c r="C26" s="540"/>
      <c r="D26" s="541"/>
      <c r="E26" s="541"/>
      <c r="F26" s="524"/>
      <c r="G26" s="524"/>
      <c r="H26" s="524"/>
      <c r="I26" s="524"/>
      <c r="J26" s="525"/>
      <c r="L26" s="544"/>
    </row>
    <row r="27" spans="1:12" ht="19.5" customHeight="1" x14ac:dyDescent="0.3">
      <c r="A27" s="538" t="s">
        <v>487</v>
      </c>
      <c r="B27" s="545"/>
      <c r="C27" s="540"/>
      <c r="D27" s="541"/>
      <c r="E27" s="541"/>
      <c r="F27" s="524">
        <f>Dados!R15</f>
        <v>0</v>
      </c>
      <c r="G27" s="524"/>
      <c r="H27" s="524"/>
      <c r="I27" s="524"/>
      <c r="J27" s="525"/>
    </row>
    <row r="28" spans="1:12" ht="19.5" customHeight="1" x14ac:dyDescent="0.3">
      <c r="A28" s="843" t="s">
        <v>488</v>
      </c>
      <c r="B28" s="843"/>
      <c r="C28" s="546"/>
      <c r="D28" s="547"/>
      <c r="E28" s="547"/>
      <c r="F28" s="530">
        <f>Dados!U15</f>
        <v>0</v>
      </c>
      <c r="G28" s="530">
        <f>F28</f>
        <v>0</v>
      </c>
      <c r="H28" s="530"/>
      <c r="I28" s="530"/>
      <c r="J28" s="531"/>
    </row>
    <row r="29" spans="1:12" ht="19.5" customHeight="1" x14ac:dyDescent="0.3">
      <c r="A29" s="838" t="s">
        <v>489</v>
      </c>
      <c r="B29" s="838"/>
      <c r="C29" s="838"/>
      <c r="D29" s="838"/>
      <c r="E29" s="838"/>
      <c r="F29" s="535">
        <f>SUM(F19:F28)</f>
        <v>616.96</v>
      </c>
      <c r="G29" s="535">
        <f>SUM(G19:G28)</f>
        <v>616.96</v>
      </c>
      <c r="H29" s="535">
        <f>SUM(H19:H28)</f>
        <v>387.79</v>
      </c>
      <c r="I29" s="535">
        <f>SUM(I19:I28)</f>
        <v>116.44</v>
      </c>
      <c r="J29" s="536">
        <f>SUM(J19:J28)</f>
        <v>0</v>
      </c>
    </row>
    <row r="30" spans="1:12" ht="19.5" customHeight="1" x14ac:dyDescent="0.3">
      <c r="A30" s="838" t="s">
        <v>490</v>
      </c>
      <c r="B30" s="838"/>
      <c r="C30" s="838"/>
      <c r="D30" s="838"/>
      <c r="E30" s="838"/>
      <c r="F30" s="535">
        <f>F16+F29</f>
        <v>4567.17</v>
      </c>
      <c r="G30" s="535">
        <f>G16+G29</f>
        <v>4567.17</v>
      </c>
      <c r="H30" s="535">
        <f>H16+H29</f>
        <v>387.79</v>
      </c>
      <c r="I30" s="535">
        <f>I16+I29</f>
        <v>116.44</v>
      </c>
      <c r="J30" s="536">
        <f>J16+J29</f>
        <v>0</v>
      </c>
    </row>
    <row r="31" spans="1:12" ht="19.5" customHeight="1" x14ac:dyDescent="0.3">
      <c r="A31" s="839" t="s">
        <v>491</v>
      </c>
      <c r="B31" s="839"/>
      <c r="C31" s="839"/>
      <c r="D31" s="839"/>
      <c r="E31" s="839"/>
      <c r="F31" s="839"/>
      <c r="G31" s="839"/>
      <c r="H31" s="839"/>
      <c r="I31" s="839"/>
      <c r="J31" s="839"/>
    </row>
    <row r="32" spans="1:12" ht="19.5" customHeight="1" x14ac:dyDescent="0.3">
      <c r="A32" s="840" t="s">
        <v>492</v>
      </c>
      <c r="B32" s="840"/>
      <c r="C32" s="840"/>
      <c r="D32" s="548" t="s">
        <v>433</v>
      </c>
      <c r="E32" s="841" t="s">
        <v>344</v>
      </c>
      <c r="F32" s="841"/>
      <c r="G32" s="841"/>
      <c r="H32" s="841"/>
      <c r="I32" s="841"/>
      <c r="J32" s="841"/>
    </row>
    <row r="33" spans="1:12" ht="19.5" customHeight="1" x14ac:dyDescent="0.3">
      <c r="A33" s="549" t="s">
        <v>493</v>
      </c>
      <c r="B33" s="550"/>
      <c r="C33" s="550"/>
      <c r="D33" s="551">
        <f>Dados!$G$49</f>
        <v>7.0000000000000007E-2</v>
      </c>
      <c r="E33" s="552"/>
      <c r="F33" s="524">
        <f>ROUND((F30*$D$33),2)</f>
        <v>319.7</v>
      </c>
      <c r="G33" s="524">
        <f>ROUND((G30*$D$33),2)</f>
        <v>319.7</v>
      </c>
      <c r="H33" s="524">
        <f>ROUND((H30*$D$33),2)</f>
        <v>27.15</v>
      </c>
      <c r="I33" s="524">
        <f>ROUND((I30*$D$33),2)</f>
        <v>8.15</v>
      </c>
      <c r="J33" s="525">
        <f>ROUND((J30*$D$33),2)</f>
        <v>0</v>
      </c>
    </row>
    <row r="34" spans="1:12" ht="19.5" customHeight="1" x14ac:dyDescent="0.3">
      <c r="A34" s="842" t="s">
        <v>494</v>
      </c>
      <c r="B34" s="842"/>
      <c r="C34" s="842"/>
      <c r="D34" s="551"/>
      <c r="E34" s="552"/>
      <c r="F34" s="524">
        <f>F30+F33</f>
        <v>4886.87</v>
      </c>
      <c r="G34" s="524">
        <f>G30+G33</f>
        <v>4886.87</v>
      </c>
      <c r="H34" s="524">
        <f>H30+H33</f>
        <v>414.94</v>
      </c>
      <c r="I34" s="524">
        <f>I30+I33</f>
        <v>124.59</v>
      </c>
      <c r="J34" s="525">
        <f>J30+J33</f>
        <v>0</v>
      </c>
    </row>
    <row r="35" spans="1:12" ht="19.5" customHeight="1" x14ac:dyDescent="0.3">
      <c r="A35" s="553" t="s">
        <v>212</v>
      </c>
      <c r="B35" s="554"/>
      <c r="C35" s="554"/>
      <c r="D35" s="555">
        <f>Dados!$G$50</f>
        <v>3.6900000000000002E-2</v>
      </c>
      <c r="E35" s="556"/>
      <c r="F35" s="530">
        <f>ROUND((F34*$D$35),2)</f>
        <v>180.33</v>
      </c>
      <c r="G35" s="530">
        <f>ROUND((G34*$D$35),2)</f>
        <v>180.33</v>
      </c>
      <c r="H35" s="530">
        <f>ROUND((H34*$D$35),2)</f>
        <v>15.31</v>
      </c>
      <c r="I35" s="530">
        <f>ROUND((I34*$D$35),2)</f>
        <v>4.5999999999999996</v>
      </c>
      <c r="J35" s="531">
        <f>ROUND((J34*$D$35),2)</f>
        <v>0</v>
      </c>
    </row>
    <row r="36" spans="1:12" ht="19.5" customHeight="1" x14ac:dyDescent="0.3">
      <c r="A36" s="557" t="s">
        <v>495</v>
      </c>
      <c r="B36" s="558"/>
      <c r="C36" s="558"/>
      <c r="D36" s="559">
        <f>SUM(D33:D35)</f>
        <v>0.10690000000000001</v>
      </c>
      <c r="E36" s="560"/>
      <c r="F36" s="535">
        <f>F33+F35</f>
        <v>500.03</v>
      </c>
      <c r="G36" s="535">
        <f>G33+G35</f>
        <v>500.03</v>
      </c>
      <c r="H36" s="535">
        <f>H33+H35</f>
        <v>42.46</v>
      </c>
      <c r="I36" s="535">
        <f>I33+I35</f>
        <v>12.75</v>
      </c>
      <c r="J36" s="536">
        <f>J33+J35</f>
        <v>0</v>
      </c>
    </row>
    <row r="37" spans="1:12" ht="19.5" customHeight="1" x14ac:dyDescent="0.3">
      <c r="A37" s="836" t="s">
        <v>496</v>
      </c>
      <c r="B37" s="836"/>
      <c r="C37" s="836"/>
      <c r="D37" s="836"/>
      <c r="E37" s="836"/>
      <c r="F37" s="561">
        <f>F30+F36</f>
        <v>5067.2</v>
      </c>
      <c r="G37" s="561">
        <f>G30+G36</f>
        <v>5067.2</v>
      </c>
      <c r="H37" s="561">
        <f>H30+H36</f>
        <v>430.25</v>
      </c>
      <c r="I37" s="561">
        <f>I30+I36</f>
        <v>129.19</v>
      </c>
      <c r="J37" s="562">
        <f>J30+J36</f>
        <v>0</v>
      </c>
    </row>
    <row r="38" spans="1:12" ht="19.5" customHeight="1" x14ac:dyDescent="0.3">
      <c r="A38" s="837" t="s">
        <v>497</v>
      </c>
      <c r="B38" s="837"/>
      <c r="C38" s="837"/>
      <c r="D38" s="837"/>
      <c r="E38" s="837"/>
      <c r="F38" s="837"/>
      <c r="G38" s="837"/>
      <c r="H38" s="837"/>
      <c r="I38" s="837"/>
      <c r="J38" s="837"/>
    </row>
    <row r="39" spans="1:12" ht="19.5" customHeight="1" x14ac:dyDescent="0.3">
      <c r="A39" s="832" t="s">
        <v>218</v>
      </c>
      <c r="B39" s="832"/>
      <c r="C39" s="832"/>
      <c r="D39" s="551">
        <f>Dados!G57</f>
        <v>7.5999999999999998E-2</v>
      </c>
      <c r="E39" s="563"/>
      <c r="F39" s="524">
        <f>ROUND(($F$45*D39),2)</f>
        <v>433.92</v>
      </c>
      <c r="G39" s="524">
        <f>ROUND((G45*$D$39),2)</f>
        <v>433.92</v>
      </c>
      <c r="H39" s="524">
        <f>ROUND((H45*$D$39),2)</f>
        <v>36.840000000000003</v>
      </c>
      <c r="I39" s="524">
        <f>ROUND((I45*$D$39),2)</f>
        <v>11.06</v>
      </c>
      <c r="J39" s="525">
        <f>ROUND((J45*$D$39),2)</f>
        <v>0</v>
      </c>
    </row>
    <row r="40" spans="1:12" ht="19.5" customHeight="1" x14ac:dyDescent="0.3">
      <c r="A40" s="832" t="s">
        <v>220</v>
      </c>
      <c r="B40" s="832"/>
      <c r="C40" s="832"/>
      <c r="D40" s="551">
        <f>Dados!G58</f>
        <v>1.6500000000000001E-2</v>
      </c>
      <c r="E40" s="563"/>
      <c r="F40" s="524">
        <f>ROUND((F45*$D$40),2)</f>
        <v>94.21</v>
      </c>
      <c r="G40" s="524">
        <f>ROUND((G45*$D$40),2)</f>
        <v>94.21</v>
      </c>
      <c r="H40" s="524">
        <f>ROUND((H45*$D$40),2)</f>
        <v>8</v>
      </c>
      <c r="I40" s="524">
        <f>ROUND((I45*$D$40),2)</f>
        <v>2.4</v>
      </c>
      <c r="J40" s="525">
        <f>ROUND((J45*$D$40),2)</f>
        <v>0</v>
      </c>
    </row>
    <row r="41" spans="1:12" ht="19.5" customHeight="1" x14ac:dyDescent="0.3">
      <c r="A41" s="832" t="str">
        <f>Dados!B59</f>
        <v>ISSQN 7.10 - Limpeza</v>
      </c>
      <c r="B41" s="832"/>
      <c r="C41" s="832"/>
      <c r="D41" s="551">
        <v>0</v>
      </c>
      <c r="E41" s="563"/>
      <c r="F41" s="524">
        <f>ROUND((F45*$D$41),2)</f>
        <v>0</v>
      </c>
      <c r="G41" s="524">
        <f>ROUND((G45*$D$41),2)</f>
        <v>0</v>
      </c>
      <c r="H41" s="524">
        <f>ROUND((H45*$D$41),2)</f>
        <v>0</v>
      </c>
      <c r="I41" s="524">
        <f>ROUND((I45*$D$41),2)</f>
        <v>0</v>
      </c>
      <c r="J41" s="525">
        <f>ROUND((J45*$D$41),2)</f>
        <v>0</v>
      </c>
    </row>
    <row r="42" spans="1:12" ht="19.5" customHeight="1" x14ac:dyDescent="0.3">
      <c r="A42" s="832" t="str">
        <f>Dados!B60</f>
        <v>ISSQN 17.05 - Fornecimento de mão-de-obra</v>
      </c>
      <c r="B42" s="832"/>
      <c r="C42" s="832"/>
      <c r="D42" s="551">
        <f>Dados!G60</f>
        <v>0.02</v>
      </c>
      <c r="E42" s="563"/>
      <c r="F42" s="524">
        <f>ROUND((F45*$D$42),2)</f>
        <v>114.19</v>
      </c>
      <c r="G42" s="524">
        <f>ROUND((G45*$D$42),2)</f>
        <v>114.19</v>
      </c>
      <c r="H42" s="524">
        <f>ROUND((H45*$D$42),2)</f>
        <v>9.6999999999999993</v>
      </c>
      <c r="I42" s="524">
        <f>ROUND((I45*$D$42),2)</f>
        <v>2.91</v>
      </c>
      <c r="J42" s="525">
        <f>ROUND((J45*$D$42),2)</f>
        <v>0</v>
      </c>
    </row>
    <row r="43" spans="1:12" ht="19.5" customHeight="1" x14ac:dyDescent="0.3">
      <c r="A43" s="833" t="s">
        <v>498</v>
      </c>
      <c r="B43" s="833"/>
      <c r="C43" s="833"/>
      <c r="D43" s="564">
        <f>SUM(D39:D42)</f>
        <v>0.1125</v>
      </c>
      <c r="E43" s="565"/>
      <c r="F43" s="566">
        <f>SUM(F39:F42)</f>
        <v>642.31999999999994</v>
      </c>
      <c r="G43" s="566">
        <f>SUM(G39:G42)</f>
        <v>642.31999999999994</v>
      </c>
      <c r="H43" s="566">
        <f>SUM(H39:H42)</f>
        <v>54.540000000000006</v>
      </c>
      <c r="I43" s="566">
        <f>SUM(I39:I42)</f>
        <v>16.37</v>
      </c>
      <c r="J43" s="567">
        <f>SUM(J39:J41)</f>
        <v>0</v>
      </c>
    </row>
    <row r="44" spans="1:12" ht="19.5" customHeight="1" x14ac:dyDescent="0.3">
      <c r="A44" s="834" t="str">
        <f>CONCATENATE("Custo Mensal - ",A7)</f>
        <v>Custo Mensal - Encarregado Geral</v>
      </c>
      <c r="B44" s="834"/>
      <c r="C44" s="834"/>
      <c r="D44" s="834"/>
      <c r="E44" s="834"/>
      <c r="F44" s="568">
        <f>ROUND(F37/(1-D43),2)</f>
        <v>5709.52</v>
      </c>
      <c r="G44" s="568">
        <f>ROUND(G37/(1-D43),2)</f>
        <v>5709.52</v>
      </c>
      <c r="H44" s="568">
        <f>ROUND(H37/(1-D43),2)</f>
        <v>484.79</v>
      </c>
      <c r="I44" s="568">
        <f>ROUND(I37/(1-D43),2)</f>
        <v>145.57</v>
      </c>
      <c r="J44" s="569">
        <f>ROUND(J37/(1-D43),2)</f>
        <v>0</v>
      </c>
    </row>
    <row r="45" spans="1:12" ht="19.5" customHeight="1" x14ac:dyDescent="0.3">
      <c r="A45" s="834" t="str">
        <f>CONCATENATE("Valor do Custo Mensal - ",A7)</f>
        <v>Valor do Custo Mensal - Encarregado Geral</v>
      </c>
      <c r="B45" s="834"/>
      <c r="C45" s="834"/>
      <c r="D45" s="834"/>
      <c r="E45" s="834"/>
      <c r="F45" s="568">
        <f>F44</f>
        <v>5709.52</v>
      </c>
      <c r="G45" s="568">
        <f>G44</f>
        <v>5709.52</v>
      </c>
      <c r="H45" s="568">
        <f>H44</f>
        <v>484.79</v>
      </c>
      <c r="I45" s="568">
        <f>I44</f>
        <v>145.57</v>
      </c>
      <c r="J45" s="569">
        <f>J44</f>
        <v>0</v>
      </c>
      <c r="K45" s="570"/>
      <c r="L45" s="570"/>
    </row>
    <row r="46" spans="1:12" ht="27.75" customHeight="1" x14ac:dyDescent="0.3">
      <c r="A46" s="835" t="s">
        <v>499</v>
      </c>
      <c r="B46" s="835"/>
      <c r="C46" s="835"/>
      <c r="D46" s="835"/>
      <c r="E46" s="835"/>
      <c r="F46" s="571">
        <f>(F45/F14)</f>
        <v>2.5496327059191288</v>
      </c>
      <c r="G46" s="571">
        <f>(G45/G14)</f>
        <v>2.5496327059191288</v>
      </c>
      <c r="H46" s="831" t="s">
        <v>500</v>
      </c>
      <c r="I46" s="831"/>
      <c r="J46" s="572">
        <v>0</v>
      </c>
    </row>
    <row r="47" spans="1:12" ht="19.5" customHeight="1" x14ac:dyDescent="0.3"/>
  </sheetData>
  <sheetProtection algorithmName="SHA-512" hashValue="VL2ARy2Uqbv/ZS/lijckkRv8cE2+9QKxXg8Y1EtY639MzNmKQT0qhvdCpnnumL5qEruJ/HQjpvpJZqaXX1ym/Q==" saltValue="BOYdZFL54P5uFQaUypN4tQ=="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tabColor theme="0" tint="-0.249977111117893"/>
  </sheetPr>
  <dimension ref="A1:AMJ48"/>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Dados!C16</f>
        <v>Copeira</v>
      </c>
      <c r="B7" s="859"/>
      <c r="C7" s="859"/>
      <c r="D7" s="859"/>
      <c r="E7" s="859"/>
      <c r="F7" s="860" t="s">
        <v>466</v>
      </c>
      <c r="G7" s="860" t="s">
        <v>467</v>
      </c>
      <c r="H7" s="860" t="s">
        <v>468</v>
      </c>
      <c r="I7" s="860" t="s">
        <v>469</v>
      </c>
      <c r="J7" s="860" t="s">
        <v>470</v>
      </c>
    </row>
    <row r="8" spans="1:10" ht="19.5" customHeight="1" x14ac:dyDescent="0.3">
      <c r="A8" s="861" t="s">
        <v>502</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Copeira</v>
      </c>
      <c r="C11" s="853"/>
      <c r="D11" s="522">
        <f>Dados!D16</f>
        <v>200</v>
      </c>
      <c r="E11" s="523">
        <f>Dados!E16</f>
        <v>1649.12</v>
      </c>
      <c r="F11" s="524">
        <f>ROUND(E11/220*D11,2)</f>
        <v>1499.2</v>
      </c>
      <c r="G11" s="524">
        <f>F11</f>
        <v>1499.2</v>
      </c>
      <c r="H11" s="524"/>
      <c r="I11" s="524"/>
      <c r="J11" s="525"/>
    </row>
    <row r="12" spans="1:10" ht="19.5" customHeight="1" x14ac:dyDescent="0.3">
      <c r="A12" s="851"/>
      <c r="B12" s="853" t="s">
        <v>476</v>
      </c>
      <c r="C12" s="853"/>
      <c r="D12" s="526">
        <f>Dados!G16</f>
        <v>0</v>
      </c>
      <c r="E12" s="523">
        <f>Dados!$G$33</f>
        <v>1518</v>
      </c>
      <c r="F12" s="524">
        <f>D12*E12</f>
        <v>0</v>
      </c>
      <c r="G12" s="524">
        <f>F12</f>
        <v>0</v>
      </c>
      <c r="H12" s="524"/>
      <c r="I12" s="524"/>
      <c r="J12" s="525">
        <f>F12</f>
        <v>0</v>
      </c>
    </row>
    <row r="13" spans="1:10" ht="22.5" customHeight="1" x14ac:dyDescent="0.3">
      <c r="A13" s="851"/>
      <c r="B13" s="527" t="s">
        <v>477</v>
      </c>
      <c r="C13" s="528">
        <f>Dados!$I$16</f>
        <v>0</v>
      </c>
      <c r="D13" s="528">
        <f>Dados!$J$16</f>
        <v>0</v>
      </c>
      <c r="E13" s="529">
        <f>Dados!$K$16</f>
        <v>0</v>
      </c>
      <c r="F13" s="530">
        <f>ROUND((E13*D13*C13),2)</f>
        <v>0</v>
      </c>
      <c r="G13" s="530">
        <f>F13</f>
        <v>0</v>
      </c>
      <c r="H13" s="530"/>
      <c r="I13" s="530"/>
      <c r="J13" s="531"/>
    </row>
    <row r="14" spans="1:10" ht="19.5" customHeight="1" x14ac:dyDescent="0.3">
      <c r="A14" s="851"/>
      <c r="B14" s="854" t="s">
        <v>478</v>
      </c>
      <c r="C14" s="854"/>
      <c r="D14" s="854"/>
      <c r="E14" s="854"/>
      <c r="F14" s="532">
        <f>SUM(F11:F13)</f>
        <v>1499.2</v>
      </c>
      <c r="G14" s="532">
        <f>SUM(G11:G13)</f>
        <v>1499.2</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1145.3900000000001</v>
      </c>
      <c r="G15" s="524">
        <f>F15</f>
        <v>1145.3900000000001</v>
      </c>
      <c r="H15" s="524"/>
      <c r="I15" s="524"/>
      <c r="J15" s="525">
        <f>ROUND((E15*J14),2)</f>
        <v>0</v>
      </c>
    </row>
    <row r="16" spans="1:10" ht="19.5" customHeight="1" x14ac:dyDescent="0.3">
      <c r="A16" s="845" t="s">
        <v>480</v>
      </c>
      <c r="B16" s="845"/>
      <c r="C16" s="845"/>
      <c r="D16" s="845"/>
      <c r="E16" s="845"/>
      <c r="F16" s="535">
        <f>SUM(F14:F15)</f>
        <v>2644.59</v>
      </c>
      <c r="G16" s="535">
        <f>SUM(G14:G15)</f>
        <v>2644.59</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Dados!N16</f>
        <v>64.489999999999995</v>
      </c>
      <c r="G19" s="524">
        <f>F19</f>
        <v>64.489999999999995</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160.85</v>
      </c>
      <c r="G22" s="524">
        <f>F22</f>
        <v>160.85</v>
      </c>
      <c r="H22" s="524"/>
      <c r="I22" s="524">
        <f>F22</f>
        <v>160.85</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Dados!T16</f>
        <v>0</v>
      </c>
      <c r="G26" s="524">
        <f>F26</f>
        <v>0</v>
      </c>
      <c r="H26" s="524"/>
      <c r="I26" s="543"/>
      <c r="J26" s="525"/>
    </row>
    <row r="27" spans="1:12" ht="19.5" customHeight="1" x14ac:dyDescent="0.3">
      <c r="A27" s="832" t="s">
        <v>486</v>
      </c>
      <c r="B27" s="832"/>
      <c r="C27" s="540"/>
      <c r="D27" s="541"/>
      <c r="E27" s="541"/>
      <c r="F27" s="524">
        <v>0</v>
      </c>
      <c r="G27" s="524"/>
      <c r="H27" s="524"/>
      <c r="I27" s="524"/>
      <c r="J27" s="525"/>
      <c r="L27" s="544"/>
    </row>
    <row r="28" spans="1:12" ht="19.5" customHeight="1" x14ac:dyDescent="0.3">
      <c r="A28" s="538" t="s">
        <v>487</v>
      </c>
      <c r="B28" s="545"/>
      <c r="C28" s="540"/>
      <c r="D28" s="541"/>
      <c r="E28" s="541"/>
      <c r="F28" s="524">
        <f>Dados!Q16</f>
        <v>269.75</v>
      </c>
      <c r="G28" s="524"/>
      <c r="H28" s="524"/>
      <c r="I28" s="524"/>
      <c r="J28" s="525"/>
    </row>
    <row r="29" spans="1:12" ht="19.5" customHeight="1" x14ac:dyDescent="0.3">
      <c r="A29" s="843" t="s">
        <v>488</v>
      </c>
      <c r="B29" s="843"/>
      <c r="C29" s="546"/>
      <c r="D29" s="547"/>
      <c r="E29" s="547"/>
      <c r="F29" s="530">
        <f>Dados!U16</f>
        <v>0</v>
      </c>
      <c r="G29" s="530">
        <f>F29</f>
        <v>0</v>
      </c>
      <c r="H29" s="530"/>
      <c r="I29" s="530"/>
      <c r="J29" s="531"/>
    </row>
    <row r="30" spans="1:12" ht="19.5" customHeight="1" x14ac:dyDescent="0.3">
      <c r="A30" s="838" t="s">
        <v>489</v>
      </c>
      <c r="B30" s="838"/>
      <c r="C30" s="838"/>
      <c r="D30" s="838"/>
      <c r="E30" s="838"/>
      <c r="F30" s="535">
        <f>SUM(F19:F29)</f>
        <v>931.12</v>
      </c>
      <c r="G30" s="535">
        <f>SUM(G19:G29)</f>
        <v>661.37</v>
      </c>
      <c r="H30" s="535">
        <f>SUM(H19:H29)</f>
        <v>387.79</v>
      </c>
      <c r="I30" s="535">
        <f>SUM(I19:I29)</f>
        <v>160.85</v>
      </c>
      <c r="J30" s="536">
        <f>SUM(J19:J29)</f>
        <v>0</v>
      </c>
    </row>
    <row r="31" spans="1:12" ht="19.5" customHeight="1" x14ac:dyDescent="0.3">
      <c r="A31" s="838" t="s">
        <v>490</v>
      </c>
      <c r="B31" s="838"/>
      <c r="C31" s="838"/>
      <c r="D31" s="838"/>
      <c r="E31" s="838"/>
      <c r="F31" s="535">
        <f>F16+F30</f>
        <v>3575.71</v>
      </c>
      <c r="G31" s="535">
        <f>G16+G30</f>
        <v>3305.96</v>
      </c>
      <c r="H31" s="535">
        <f>H16+H30</f>
        <v>387.79</v>
      </c>
      <c r="I31" s="535">
        <f>I16+I30</f>
        <v>160.85</v>
      </c>
      <c r="J31" s="536">
        <f>J16+J30</f>
        <v>0</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250.3</v>
      </c>
      <c r="G34" s="524">
        <f>ROUND((G31*$D$34),2)</f>
        <v>231.42</v>
      </c>
      <c r="H34" s="524">
        <f>ROUND((H31*$D$34),2)</f>
        <v>27.15</v>
      </c>
      <c r="I34" s="524">
        <f>ROUND((I31*$D$34),2)</f>
        <v>11.26</v>
      </c>
      <c r="J34" s="525">
        <f>ROUND((J31*$D$34),2)</f>
        <v>0</v>
      </c>
    </row>
    <row r="35" spans="1:12" ht="19.5" customHeight="1" x14ac:dyDescent="0.3">
      <c r="A35" s="842" t="s">
        <v>494</v>
      </c>
      <c r="B35" s="842"/>
      <c r="C35" s="842"/>
      <c r="D35" s="551"/>
      <c r="E35" s="552"/>
      <c r="F35" s="524">
        <f>F31+F34</f>
        <v>3826.01</v>
      </c>
      <c r="G35" s="524">
        <f>G31+G34</f>
        <v>3537.38</v>
      </c>
      <c r="H35" s="524">
        <f>H31+H34</f>
        <v>414.94</v>
      </c>
      <c r="I35" s="524">
        <f>I31+I34</f>
        <v>172.10999999999999</v>
      </c>
      <c r="J35" s="525">
        <f>J31+J34</f>
        <v>0</v>
      </c>
    </row>
    <row r="36" spans="1:12" ht="19.5" customHeight="1" x14ac:dyDescent="0.3">
      <c r="A36" s="553" t="s">
        <v>212</v>
      </c>
      <c r="B36" s="554"/>
      <c r="C36" s="554"/>
      <c r="D36" s="555">
        <f>Dados!$G$50</f>
        <v>3.6900000000000002E-2</v>
      </c>
      <c r="E36" s="556"/>
      <c r="F36" s="530">
        <f>ROUND((F35*$D$36),2)</f>
        <v>141.18</v>
      </c>
      <c r="G36" s="530">
        <f>ROUND((G35*$D$36),2)</f>
        <v>130.53</v>
      </c>
      <c r="H36" s="530">
        <f>ROUND((H35*$D$36),2)</f>
        <v>15.31</v>
      </c>
      <c r="I36" s="530">
        <f>ROUND((I35*$D$36),2)</f>
        <v>6.35</v>
      </c>
      <c r="J36" s="531">
        <f>ROUND((J35*$D$36),2)</f>
        <v>0</v>
      </c>
    </row>
    <row r="37" spans="1:12" ht="19.5" customHeight="1" x14ac:dyDescent="0.3">
      <c r="A37" s="557" t="s">
        <v>495</v>
      </c>
      <c r="B37" s="558"/>
      <c r="C37" s="558"/>
      <c r="D37" s="559">
        <f>SUM(D34:D36)</f>
        <v>0.10690000000000001</v>
      </c>
      <c r="E37" s="560"/>
      <c r="F37" s="535">
        <f>F34+F36</f>
        <v>391.48</v>
      </c>
      <c r="G37" s="535">
        <f>G34+G36</f>
        <v>361.95</v>
      </c>
      <c r="H37" s="535">
        <f>H34+H36</f>
        <v>42.46</v>
      </c>
      <c r="I37" s="535">
        <f>I34+I36</f>
        <v>17.61</v>
      </c>
      <c r="J37" s="536">
        <f>J34+J36</f>
        <v>0</v>
      </c>
    </row>
    <row r="38" spans="1:12" ht="19.5" customHeight="1" x14ac:dyDescent="0.3">
      <c r="A38" s="836" t="s">
        <v>496</v>
      </c>
      <c r="B38" s="836"/>
      <c r="C38" s="836"/>
      <c r="D38" s="836"/>
      <c r="E38" s="836"/>
      <c r="F38" s="561">
        <f>F31+F37</f>
        <v>3967.19</v>
      </c>
      <c r="G38" s="561">
        <f>G31+G37</f>
        <v>3667.91</v>
      </c>
      <c r="H38" s="561">
        <f>H31+H37</f>
        <v>430.25</v>
      </c>
      <c r="I38" s="561">
        <f>I31+I37</f>
        <v>178.45999999999998</v>
      </c>
      <c r="J38" s="562">
        <f>J31+J37</f>
        <v>0</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343.6</v>
      </c>
      <c r="G40" s="524">
        <f>ROUND((G46*$D$40),2)</f>
        <v>317.68</v>
      </c>
      <c r="H40" s="524">
        <f>ROUND((H46*$D$40),2)</f>
        <v>37.26</v>
      </c>
      <c r="I40" s="524">
        <f>ROUND((I46*$D$40),2)</f>
        <v>15.46</v>
      </c>
      <c r="J40" s="525">
        <f>ROUND((J46*$D$40),2)</f>
        <v>0</v>
      </c>
    </row>
    <row r="41" spans="1:12" ht="19.5" customHeight="1" x14ac:dyDescent="0.3">
      <c r="A41" s="832" t="s">
        <v>220</v>
      </c>
      <c r="B41" s="832"/>
      <c r="C41" s="832"/>
      <c r="D41" s="551">
        <f>Dados!G58</f>
        <v>1.6500000000000001E-2</v>
      </c>
      <c r="E41" s="563"/>
      <c r="F41" s="524">
        <f>ROUND((F46*$D$41),2)</f>
        <v>74.599999999999994</v>
      </c>
      <c r="G41" s="524">
        <f>ROUND((G46*$D$41),2)</f>
        <v>68.97</v>
      </c>
      <c r="H41" s="524">
        <f>ROUND((H46*$D$41),2)</f>
        <v>8.09</v>
      </c>
      <c r="I41" s="524">
        <f>ROUND((I46*$D$41),2)</f>
        <v>3.36</v>
      </c>
      <c r="J41" s="525">
        <f>ROUND((J46*$D$41),2)</f>
        <v>0</v>
      </c>
    </row>
    <row r="42" spans="1:12" ht="19.5" customHeight="1" x14ac:dyDescent="0.3">
      <c r="A42" s="832" t="str">
        <f>Dados!B59</f>
        <v>ISSQN 7.10 - Limpeza</v>
      </c>
      <c r="B42" s="832"/>
      <c r="C42" s="832"/>
      <c r="D42" s="551">
        <f>Dados!G59</f>
        <v>0.03</v>
      </c>
      <c r="E42" s="563"/>
      <c r="F42" s="524">
        <f>ROUND((F46*$D$42),2)</f>
        <v>135.63</v>
      </c>
      <c r="G42" s="524">
        <f>ROUND((G46*$D$42),2)</f>
        <v>125.4</v>
      </c>
      <c r="H42" s="524">
        <f>ROUND((H46*$D$42),2)</f>
        <v>14.71</v>
      </c>
      <c r="I42" s="524">
        <f>ROUND((I46*$D$42),2)</f>
        <v>6.1</v>
      </c>
      <c r="J42" s="525">
        <f>ROUND((J46*$D$42),2)</f>
        <v>0</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553.83000000000004</v>
      </c>
      <c r="G44" s="566">
        <f>SUM(G40:G43)</f>
        <v>512.04999999999995</v>
      </c>
      <c r="H44" s="566">
        <f>SUM(H40:H43)</f>
        <v>60.059999999999995</v>
      </c>
      <c r="I44" s="566">
        <f>SUM(I40:I43)</f>
        <v>24.92</v>
      </c>
      <c r="J44" s="567">
        <f>SUM(J40:J42)</f>
        <v>0</v>
      </c>
    </row>
    <row r="45" spans="1:12" ht="19.5" customHeight="1" x14ac:dyDescent="0.3">
      <c r="A45" s="834" t="str">
        <f>CONCATENATE("Custo Mensal - ",A7)</f>
        <v>Custo Mensal - Copeira</v>
      </c>
      <c r="B45" s="834"/>
      <c r="C45" s="834"/>
      <c r="D45" s="834"/>
      <c r="E45" s="834"/>
      <c r="F45" s="568">
        <f>ROUND(F38/(1-D44),2)</f>
        <v>4521.01</v>
      </c>
      <c r="G45" s="568">
        <f>ROUND(G38/(1-D44),2)</f>
        <v>4179.95</v>
      </c>
      <c r="H45" s="568">
        <f>ROUND(H38/(1-D44),2)</f>
        <v>490.31</v>
      </c>
      <c r="I45" s="568">
        <f>ROUND(I38/(1-D44),2)</f>
        <v>203.37</v>
      </c>
      <c r="J45" s="569">
        <f>ROUND(J38/(1-D44),2)</f>
        <v>0</v>
      </c>
    </row>
    <row r="46" spans="1:12" ht="19.5" customHeight="1" x14ac:dyDescent="0.3">
      <c r="A46" s="834" t="str">
        <f>CONCATENATE("Valor do Custo Mensal - ",A7)</f>
        <v>Valor do Custo Mensal - Copeira</v>
      </c>
      <c r="B46" s="834"/>
      <c r="C46" s="834"/>
      <c r="D46" s="834"/>
      <c r="E46" s="834"/>
      <c r="F46" s="568">
        <f>F45</f>
        <v>4521.01</v>
      </c>
      <c r="G46" s="568">
        <f>G45</f>
        <v>4179.95</v>
      </c>
      <c r="H46" s="568">
        <f>H45</f>
        <v>490.31</v>
      </c>
      <c r="I46" s="568">
        <f>I45</f>
        <v>203.37</v>
      </c>
      <c r="J46" s="569">
        <f>J45</f>
        <v>0</v>
      </c>
      <c r="K46" s="570"/>
      <c r="L46" s="570"/>
    </row>
    <row r="47" spans="1:12" ht="27.75" customHeight="1" x14ac:dyDescent="0.3">
      <c r="A47" s="835" t="s">
        <v>499</v>
      </c>
      <c r="B47" s="835"/>
      <c r="C47" s="835"/>
      <c r="D47" s="835"/>
      <c r="E47" s="835"/>
      <c r="F47" s="571">
        <f>(F46/F14)</f>
        <v>3.0156149946638209</v>
      </c>
      <c r="G47" s="571">
        <f>(G46/G14)</f>
        <v>2.7881203308431162</v>
      </c>
      <c r="H47" s="831" t="s">
        <v>500</v>
      </c>
      <c r="I47" s="831"/>
      <c r="J47" s="572">
        <v>0</v>
      </c>
    </row>
    <row r="48" spans="1:12" ht="19.5" customHeight="1" x14ac:dyDescent="0.3"/>
  </sheetData>
  <sheetProtection algorithmName="SHA-512" hashValue="gJT7mNM2NUZnpNBC1yHWGqiSvnfMlRYdCfh4SfgqoD0jhIdd9KCQLhqzKte2WrQ9lR9LX4M49sHp+jc8kIVzmQ==" saltValue="T+4jY4l50DHfdeWNCC9lPg=="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tabColor theme="0" tint="-0.249977111117893"/>
  </sheetPr>
  <dimension ref="A1:AMJ48"/>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Dados!C10</f>
        <v>Servente de Limpeza insalubridade (20%)</v>
      </c>
      <c r="B7" s="859"/>
      <c r="C7" s="859"/>
      <c r="D7" s="859"/>
      <c r="E7" s="859"/>
      <c r="F7" s="860" t="s">
        <v>466</v>
      </c>
      <c r="G7" s="860" t="s">
        <v>467</v>
      </c>
      <c r="H7" s="860" t="s">
        <v>468</v>
      </c>
      <c r="I7" s="860" t="s">
        <v>469</v>
      </c>
      <c r="J7" s="860" t="s">
        <v>470</v>
      </c>
    </row>
    <row r="8" spans="1:10" ht="19.5" customHeight="1" x14ac:dyDescent="0.3">
      <c r="A8" s="861" t="s">
        <v>471</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Servente de Limpeza insalubridade (20%)</v>
      </c>
      <c r="C11" s="853"/>
      <c r="D11" s="522">
        <f>Dados!D10</f>
        <v>200</v>
      </c>
      <c r="E11" s="523">
        <f>Dados!E10</f>
        <v>1649.12</v>
      </c>
      <c r="F11" s="524">
        <f>ROUND(E11/220*D11,2)</f>
        <v>1499.2</v>
      </c>
      <c r="G11" s="524">
        <f>F11</f>
        <v>1499.2</v>
      </c>
      <c r="H11" s="524"/>
      <c r="I11" s="524"/>
      <c r="J11" s="525"/>
    </row>
    <row r="12" spans="1:10" ht="19.5" customHeight="1" x14ac:dyDescent="0.3">
      <c r="A12" s="851"/>
      <c r="B12" s="853" t="s">
        <v>476</v>
      </c>
      <c r="C12" s="853"/>
      <c r="D12" s="526">
        <f>Dados!G10</f>
        <v>0.2</v>
      </c>
      <c r="E12" s="523">
        <f>Dados!$G$33</f>
        <v>1518</v>
      </c>
      <c r="F12" s="524">
        <f>D12*E12</f>
        <v>303.60000000000002</v>
      </c>
      <c r="G12" s="524">
        <f>F12</f>
        <v>303.60000000000002</v>
      </c>
      <c r="H12" s="524"/>
      <c r="I12" s="524"/>
      <c r="J12" s="525">
        <f>F12</f>
        <v>303.60000000000002</v>
      </c>
    </row>
    <row r="13" spans="1:10" ht="22.5" customHeight="1" x14ac:dyDescent="0.3">
      <c r="A13" s="851"/>
      <c r="B13" s="527" t="s">
        <v>477</v>
      </c>
      <c r="C13" s="528">
        <f>Dados!$I$10</f>
        <v>0</v>
      </c>
      <c r="D13" s="528">
        <f>Dados!$J$10</f>
        <v>0</v>
      </c>
      <c r="E13" s="529">
        <f>Dados!$K$10</f>
        <v>0</v>
      </c>
      <c r="F13" s="530">
        <f>ROUND((E13*D13*C13),2)</f>
        <v>0</v>
      </c>
      <c r="G13" s="530">
        <f>F13</f>
        <v>0</v>
      </c>
      <c r="H13" s="530"/>
      <c r="I13" s="530"/>
      <c r="J13" s="531"/>
    </row>
    <row r="14" spans="1:10" ht="19.5" customHeight="1" x14ac:dyDescent="0.3">
      <c r="A14" s="851"/>
      <c r="B14" s="854" t="s">
        <v>478</v>
      </c>
      <c r="C14" s="854"/>
      <c r="D14" s="854"/>
      <c r="E14" s="854"/>
      <c r="F14" s="532">
        <f>SUM(F11:F13)</f>
        <v>1802.8000000000002</v>
      </c>
      <c r="G14" s="532">
        <f>SUM(G11:G13)</f>
        <v>1802.8000000000002</v>
      </c>
      <c r="H14" s="532">
        <f>SUM(H11:H13)</f>
        <v>0</v>
      </c>
      <c r="I14" s="532">
        <f>SUM(I11:I13)</f>
        <v>0</v>
      </c>
      <c r="J14" s="533">
        <f>SUM(J11:J13)</f>
        <v>303.60000000000002</v>
      </c>
    </row>
    <row r="15" spans="1:10" ht="19.5" customHeight="1" x14ac:dyDescent="0.3">
      <c r="A15" s="851"/>
      <c r="B15" s="855" t="s">
        <v>479</v>
      </c>
      <c r="C15" s="855"/>
      <c r="D15" s="855"/>
      <c r="E15" s="534">
        <f>Encargos!$C$57</f>
        <v>0.76400000000000001</v>
      </c>
      <c r="F15" s="524">
        <f>ROUND((E15*F14),2)</f>
        <v>1377.34</v>
      </c>
      <c r="G15" s="524">
        <f>F15</f>
        <v>1377.34</v>
      </c>
      <c r="H15" s="524"/>
      <c r="I15" s="524"/>
      <c r="J15" s="525">
        <f>ROUND((E15*J14),2)</f>
        <v>231.95</v>
      </c>
    </row>
    <row r="16" spans="1:10" ht="19.5" customHeight="1" x14ac:dyDescent="0.3">
      <c r="A16" s="845" t="s">
        <v>480</v>
      </c>
      <c r="B16" s="845"/>
      <c r="C16" s="845"/>
      <c r="D16" s="845"/>
      <c r="E16" s="845"/>
      <c r="F16" s="535">
        <f>SUM(F14:F15)</f>
        <v>3180.1400000000003</v>
      </c>
      <c r="G16" s="535">
        <f>SUM(G14:G15)</f>
        <v>3180.1400000000003</v>
      </c>
      <c r="H16" s="535">
        <f>SUM(H14:H15)</f>
        <v>0</v>
      </c>
      <c r="I16" s="535">
        <f>SUM(I14:I15)</f>
        <v>0</v>
      </c>
      <c r="J16" s="536">
        <f>SUM(J14:J15)</f>
        <v>535.54999999999995</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Dados!N10</f>
        <v>27.83</v>
      </c>
      <c r="G19" s="524">
        <f>F19</f>
        <v>27.83</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160.85</v>
      </c>
      <c r="G22" s="524">
        <f>F22</f>
        <v>160.85</v>
      </c>
      <c r="H22" s="524"/>
      <c r="I22" s="524">
        <f>F22</f>
        <v>160.85</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Dados!T10</f>
        <v>4.9408333333333321</v>
      </c>
      <c r="G26" s="524">
        <f>F26</f>
        <v>4.9408333333333321</v>
      </c>
      <c r="H26" s="524"/>
      <c r="I26" s="543"/>
      <c r="J26" s="525"/>
    </row>
    <row r="27" spans="1:12" ht="19.5" customHeight="1" x14ac:dyDescent="0.3">
      <c r="A27" s="832" t="s">
        <v>486</v>
      </c>
      <c r="B27" s="832"/>
      <c r="C27" s="540"/>
      <c r="D27" s="541"/>
      <c r="E27" s="541"/>
      <c r="F27" s="524">
        <f>Dados!O10</f>
        <v>1017.12</v>
      </c>
      <c r="G27" s="524"/>
      <c r="H27" s="524"/>
      <c r="I27" s="524"/>
      <c r="J27" s="525"/>
      <c r="L27" s="544"/>
    </row>
    <row r="28" spans="1:12" ht="19.5" customHeight="1" x14ac:dyDescent="0.3">
      <c r="A28" s="538" t="s">
        <v>503</v>
      </c>
      <c r="B28" s="545"/>
      <c r="C28" s="540"/>
      <c r="D28" s="541"/>
      <c r="E28" s="541"/>
      <c r="F28" s="524">
        <f>Dados!R10</f>
        <v>0</v>
      </c>
      <c r="G28" s="524"/>
      <c r="H28" s="524"/>
      <c r="I28" s="524"/>
      <c r="J28" s="525"/>
    </row>
    <row r="29" spans="1:12" ht="19.5" customHeight="1" x14ac:dyDescent="0.3">
      <c r="A29" s="843" t="s">
        <v>488</v>
      </c>
      <c r="B29" s="843"/>
      <c r="C29" s="546"/>
      <c r="D29" s="547"/>
      <c r="E29" s="547"/>
      <c r="F29" s="530">
        <f>Dados!U10</f>
        <v>4.5447377622377623</v>
      </c>
      <c r="G29" s="530">
        <f>F29</f>
        <v>4.5447377622377623</v>
      </c>
      <c r="H29" s="530"/>
      <c r="I29" s="530"/>
      <c r="J29" s="531"/>
    </row>
    <row r="30" spans="1:12" ht="19.5" customHeight="1" x14ac:dyDescent="0.3">
      <c r="A30" s="838" t="s">
        <v>489</v>
      </c>
      <c r="B30" s="838"/>
      <c r="C30" s="838"/>
      <c r="D30" s="838"/>
      <c r="E30" s="838"/>
      <c r="F30" s="535">
        <f>SUM(F19:F29)</f>
        <v>1651.3155710955712</v>
      </c>
      <c r="G30" s="535">
        <f>SUM(G19:G29)</f>
        <v>634.19557109557115</v>
      </c>
      <c r="H30" s="535">
        <f>SUM(H19:H29)</f>
        <v>387.79</v>
      </c>
      <c r="I30" s="535">
        <f>SUM(I19:I29)</f>
        <v>160.85</v>
      </c>
      <c r="J30" s="536">
        <f>SUM(J19:J29)</f>
        <v>0</v>
      </c>
    </row>
    <row r="31" spans="1:12" ht="19.5" customHeight="1" x14ac:dyDescent="0.3">
      <c r="A31" s="838" t="s">
        <v>490</v>
      </c>
      <c r="B31" s="838"/>
      <c r="C31" s="838"/>
      <c r="D31" s="838"/>
      <c r="E31" s="838"/>
      <c r="F31" s="535">
        <f>F16+F30</f>
        <v>4831.4555710955719</v>
      </c>
      <c r="G31" s="535">
        <f>G16+G30</f>
        <v>3814.3355710955716</v>
      </c>
      <c r="H31" s="535">
        <f>H16+H30</f>
        <v>387.79</v>
      </c>
      <c r="I31" s="535">
        <f>I16+I30</f>
        <v>160.85</v>
      </c>
      <c r="J31" s="536">
        <f>J16+J30</f>
        <v>535.54999999999995</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338.2</v>
      </c>
      <c r="G34" s="524">
        <f>ROUND((G31*$D$34),2)</f>
        <v>267</v>
      </c>
      <c r="H34" s="524">
        <f>ROUND((H31*$D$34),2)</f>
        <v>27.15</v>
      </c>
      <c r="I34" s="524">
        <f>ROUND((I31*$D$34),2)</f>
        <v>11.26</v>
      </c>
      <c r="J34" s="525">
        <f>ROUND((J31*$D$34),2)</f>
        <v>37.49</v>
      </c>
    </row>
    <row r="35" spans="1:12" ht="19.5" customHeight="1" x14ac:dyDescent="0.3">
      <c r="A35" s="842" t="s">
        <v>494</v>
      </c>
      <c r="B35" s="842"/>
      <c r="C35" s="842"/>
      <c r="D35" s="551"/>
      <c r="E35" s="552"/>
      <c r="F35" s="524">
        <f>F31+F34</f>
        <v>5169.6555710955718</v>
      </c>
      <c r="G35" s="524">
        <f>G31+G34</f>
        <v>4081.3355710955716</v>
      </c>
      <c r="H35" s="524">
        <f>H31+H34</f>
        <v>414.94</v>
      </c>
      <c r="I35" s="524">
        <f>I31+I34</f>
        <v>172.10999999999999</v>
      </c>
      <c r="J35" s="525">
        <f>J31+J34</f>
        <v>573.04</v>
      </c>
    </row>
    <row r="36" spans="1:12" ht="19.5" customHeight="1" x14ac:dyDescent="0.3">
      <c r="A36" s="553" t="s">
        <v>212</v>
      </c>
      <c r="B36" s="554"/>
      <c r="C36" s="554"/>
      <c r="D36" s="555">
        <f>Dados!$G$50</f>
        <v>3.6900000000000002E-2</v>
      </c>
      <c r="E36" s="556"/>
      <c r="F36" s="530">
        <f>ROUND((F35*$D$36),2)</f>
        <v>190.76</v>
      </c>
      <c r="G36" s="530">
        <f>ROUND((G35*$D$36),2)</f>
        <v>150.6</v>
      </c>
      <c r="H36" s="530">
        <f>ROUND((H35*$D$36),2)</f>
        <v>15.31</v>
      </c>
      <c r="I36" s="530">
        <f>ROUND((I35*$D$36),2)</f>
        <v>6.35</v>
      </c>
      <c r="J36" s="531">
        <f>ROUND((J35*$D$36),2)</f>
        <v>21.15</v>
      </c>
    </row>
    <row r="37" spans="1:12" ht="19.5" customHeight="1" x14ac:dyDescent="0.3">
      <c r="A37" s="557" t="s">
        <v>495</v>
      </c>
      <c r="B37" s="558"/>
      <c r="C37" s="558"/>
      <c r="D37" s="559">
        <f>SUM(D34:D36)</f>
        <v>0.10690000000000001</v>
      </c>
      <c r="E37" s="560"/>
      <c r="F37" s="535">
        <f>F34+F36</f>
        <v>528.96</v>
      </c>
      <c r="G37" s="535">
        <f>G34+G36</f>
        <v>417.6</v>
      </c>
      <c r="H37" s="535">
        <f>H34+H36</f>
        <v>42.46</v>
      </c>
      <c r="I37" s="535">
        <f>I34+I36</f>
        <v>17.61</v>
      </c>
      <c r="J37" s="536">
        <f>J34+J36</f>
        <v>58.64</v>
      </c>
    </row>
    <row r="38" spans="1:12" ht="19.5" customHeight="1" x14ac:dyDescent="0.3">
      <c r="A38" s="836" t="s">
        <v>496</v>
      </c>
      <c r="B38" s="836"/>
      <c r="C38" s="836"/>
      <c r="D38" s="836"/>
      <c r="E38" s="836"/>
      <c r="F38" s="561">
        <f>F31+F37</f>
        <v>5360.415571095572</v>
      </c>
      <c r="G38" s="561">
        <f>G31+G37</f>
        <v>4231.9355710955715</v>
      </c>
      <c r="H38" s="561">
        <f>H31+H37</f>
        <v>430.25</v>
      </c>
      <c r="I38" s="561">
        <f>I31+I37</f>
        <v>178.45999999999998</v>
      </c>
      <c r="J38" s="562">
        <f>J31+J37</f>
        <v>594.18999999999994</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464.26</v>
      </c>
      <c r="G40" s="524">
        <f>ROUND((G46*$D$40),2)</f>
        <v>366.53</v>
      </c>
      <c r="H40" s="524">
        <f>ROUND((H46*$D$40),2)</f>
        <v>37.26</v>
      </c>
      <c r="I40" s="524">
        <f>ROUND((I46*$D$40),2)</f>
        <v>15.46</v>
      </c>
      <c r="J40" s="525">
        <f>ROUND((J46*$D$40),2)</f>
        <v>51.46</v>
      </c>
    </row>
    <row r="41" spans="1:12" ht="19.5" customHeight="1" x14ac:dyDescent="0.3">
      <c r="A41" s="832" t="s">
        <v>220</v>
      </c>
      <c r="B41" s="832"/>
      <c r="C41" s="832"/>
      <c r="D41" s="551">
        <f>Dados!G58</f>
        <v>1.6500000000000001E-2</v>
      </c>
      <c r="E41" s="563"/>
      <c r="F41" s="524">
        <f>ROUND((F46*$D$41),2)</f>
        <v>100.79</v>
      </c>
      <c r="G41" s="524">
        <f>ROUND((G46*$D$41),2)</f>
        <v>79.569999999999993</v>
      </c>
      <c r="H41" s="524">
        <f>ROUND((H46*$D$41),2)</f>
        <v>8.09</v>
      </c>
      <c r="I41" s="524">
        <f>ROUND((I46*$D$41),2)</f>
        <v>3.36</v>
      </c>
      <c r="J41" s="525">
        <f>ROUND((J46*$D$41),2)</f>
        <v>11.17</v>
      </c>
    </row>
    <row r="42" spans="1:12" ht="19.5" customHeight="1" x14ac:dyDescent="0.3">
      <c r="A42" s="832" t="str">
        <f>Dados!B59</f>
        <v>ISSQN 7.10 - Limpeza</v>
      </c>
      <c r="B42" s="832"/>
      <c r="C42" s="832"/>
      <c r="D42" s="551">
        <f>Dados!G59</f>
        <v>0.03</v>
      </c>
      <c r="E42" s="563"/>
      <c r="F42" s="524">
        <f>ROUND((F46*$D$42),2)</f>
        <v>183.26</v>
      </c>
      <c r="G42" s="524">
        <f>ROUND((G46*$D$42),2)</f>
        <v>144.68</v>
      </c>
      <c r="H42" s="524">
        <f>ROUND((H46*$D$42),2)</f>
        <v>14.71</v>
      </c>
      <c r="I42" s="524">
        <f>ROUND((I46*$D$42),2)</f>
        <v>6.1</v>
      </c>
      <c r="J42" s="525">
        <f>ROUND((J46*$D$42),2)</f>
        <v>20.309999999999999</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748.31</v>
      </c>
      <c r="G44" s="566">
        <f>SUM(G40:G43)</f>
        <v>590.78</v>
      </c>
      <c r="H44" s="566">
        <f>SUM(H40:H43)</f>
        <v>60.059999999999995</v>
      </c>
      <c r="I44" s="566">
        <f>SUM(I40:I43)</f>
        <v>24.92</v>
      </c>
      <c r="J44" s="567">
        <f>SUM(J40:J42)</f>
        <v>82.94</v>
      </c>
    </row>
    <row r="45" spans="1:12" ht="19.5" customHeight="1" x14ac:dyDescent="0.3">
      <c r="A45" s="834" t="str">
        <f>CONCATENATE("Custo Mensal - ",A7)</f>
        <v>Custo Mensal - Servente de Limpeza insalubridade (20%)</v>
      </c>
      <c r="B45" s="834"/>
      <c r="C45" s="834"/>
      <c r="D45" s="834"/>
      <c r="E45" s="834"/>
      <c r="F45" s="568">
        <f>ROUND(F38/(1-D44),2)</f>
        <v>6108.74</v>
      </c>
      <c r="G45" s="568">
        <f>ROUND(G38/(1-D44),2)</f>
        <v>4822.72</v>
      </c>
      <c r="H45" s="568">
        <f>ROUND(H38/(1-D44),2)</f>
        <v>490.31</v>
      </c>
      <c r="I45" s="568">
        <f>ROUND(I38/(1-D44),2)</f>
        <v>203.37</v>
      </c>
      <c r="J45" s="569">
        <f>ROUND(J38/(1-D44),2)</f>
        <v>677.14</v>
      </c>
    </row>
    <row r="46" spans="1:12" ht="19.5" customHeight="1" x14ac:dyDescent="0.3">
      <c r="A46" s="834" t="str">
        <f>CONCATENATE("Valor do Custo Mensal - ",A7)</f>
        <v>Valor do Custo Mensal - Servente de Limpeza insalubridade (20%)</v>
      </c>
      <c r="B46" s="834"/>
      <c r="C46" s="834"/>
      <c r="D46" s="834"/>
      <c r="E46" s="834"/>
      <c r="F46" s="568">
        <f>F45</f>
        <v>6108.74</v>
      </c>
      <c r="G46" s="568">
        <f>G45</f>
        <v>4822.72</v>
      </c>
      <c r="H46" s="568">
        <f>H45</f>
        <v>490.31</v>
      </c>
      <c r="I46" s="568">
        <f>I45</f>
        <v>203.37</v>
      </c>
      <c r="J46" s="569">
        <f>J45</f>
        <v>677.14</v>
      </c>
      <c r="K46" s="570"/>
      <c r="L46" s="570"/>
    </row>
    <row r="47" spans="1:12" ht="27.75" customHeight="1" x14ac:dyDescent="0.3">
      <c r="A47" s="835" t="s">
        <v>499</v>
      </c>
      <c r="B47" s="835"/>
      <c r="C47" s="835"/>
      <c r="D47" s="835"/>
      <c r="E47" s="835"/>
      <c r="F47" s="571">
        <f>(F46/F14)</f>
        <v>3.388473485688928</v>
      </c>
      <c r="G47" s="571">
        <f>(G46/G14)</f>
        <v>2.6751275793210558</v>
      </c>
      <c r="H47" s="831" t="s">
        <v>500</v>
      </c>
      <c r="I47" s="831"/>
      <c r="J47" s="572">
        <v>0</v>
      </c>
    </row>
    <row r="48" spans="1:12" ht="19.5" customHeight="1" x14ac:dyDescent="0.3"/>
  </sheetData>
  <sheetProtection algorithmName="SHA-512" hashValue="iMfBPLh9Zh3W4FcoICBwAtCy5sChLbExLLQRIrMxlGeJSJ/j8VCy/Y3pTSxAF2TpBoBj1OPz53eJWw/BxxkOhw==" saltValue="qkNlacEy7McvP1sCaXZtpA=="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tabColor theme="0" tint="-0.249977111117893"/>
  </sheetPr>
  <dimension ref="A1:AMJ48"/>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9" width="12.5546875" style="508" customWidth="1"/>
    <col min="10" max="10" width="13.1093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Dados!C11</f>
        <v>Limpador de Vidro</v>
      </c>
      <c r="B7" s="859"/>
      <c r="C7" s="859"/>
      <c r="D7" s="859"/>
      <c r="E7" s="859"/>
      <c r="F7" s="860" t="s">
        <v>466</v>
      </c>
      <c r="G7" s="860" t="s">
        <v>467</v>
      </c>
      <c r="H7" s="860" t="s">
        <v>468</v>
      </c>
      <c r="I7" s="860" t="s">
        <v>469</v>
      </c>
      <c r="J7" s="860" t="s">
        <v>504</v>
      </c>
    </row>
    <row r="8" spans="1:10" ht="19.5" customHeight="1" x14ac:dyDescent="0.3">
      <c r="A8" s="861" t="s">
        <v>505</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Limpador de Vidro</v>
      </c>
      <c r="C11" s="853"/>
      <c r="D11" s="522">
        <f>Dados!D11</f>
        <v>200</v>
      </c>
      <c r="E11" s="523">
        <f>Dados!E11</f>
        <v>1805.94</v>
      </c>
      <c r="F11" s="524">
        <f>ROUND(E11/220*D11,2)</f>
        <v>1641.76</v>
      </c>
      <c r="G11" s="524">
        <f>F11</f>
        <v>1641.76</v>
      </c>
      <c r="H11" s="524"/>
      <c r="I11" s="524"/>
      <c r="J11" s="525"/>
    </row>
    <row r="12" spans="1:10" ht="19.5" customHeight="1" x14ac:dyDescent="0.3">
      <c r="A12" s="851"/>
      <c r="B12" s="853" t="s">
        <v>506</v>
      </c>
      <c r="C12" s="853"/>
      <c r="D12" s="573">
        <f>Dados!G11</f>
        <v>0</v>
      </c>
      <c r="E12" s="523">
        <f>Dados!F11</f>
        <v>1641.76</v>
      </c>
      <c r="F12" s="524">
        <f>D12*E12</f>
        <v>0</v>
      </c>
      <c r="G12" s="524">
        <f>F12</f>
        <v>0</v>
      </c>
      <c r="H12" s="524"/>
      <c r="I12" s="524"/>
      <c r="J12" s="525">
        <f>F12</f>
        <v>0</v>
      </c>
    </row>
    <row r="13" spans="1:10" ht="22.5" customHeight="1" x14ac:dyDescent="0.3">
      <c r="A13" s="851"/>
      <c r="B13" s="527" t="s">
        <v>477</v>
      </c>
      <c r="C13" s="528">
        <f>Dados!I11</f>
        <v>0</v>
      </c>
      <c r="D13" s="528">
        <f>Dados!J11</f>
        <v>0</v>
      </c>
      <c r="E13" s="529">
        <f>Dados!K11</f>
        <v>0</v>
      </c>
      <c r="F13" s="530">
        <f>ROUND((E13*D13*C13),2)</f>
        <v>0</v>
      </c>
      <c r="G13" s="530">
        <f>F13</f>
        <v>0</v>
      </c>
      <c r="H13" s="530"/>
      <c r="I13" s="530"/>
      <c r="J13" s="531"/>
    </row>
    <row r="14" spans="1:10" ht="19.5" customHeight="1" x14ac:dyDescent="0.3">
      <c r="A14" s="851"/>
      <c r="B14" s="854" t="s">
        <v>478</v>
      </c>
      <c r="C14" s="854"/>
      <c r="D14" s="854"/>
      <c r="E14" s="854"/>
      <c r="F14" s="532">
        <f>SUM(F11:F13)</f>
        <v>1641.76</v>
      </c>
      <c r="G14" s="532">
        <f>SUM(G11:G13)</f>
        <v>1641.76</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1254.3</v>
      </c>
      <c r="G15" s="524">
        <f>F15</f>
        <v>1254.3</v>
      </c>
      <c r="H15" s="524"/>
      <c r="I15" s="524"/>
      <c r="J15" s="525">
        <f>ROUND((E15*J14),2)</f>
        <v>0</v>
      </c>
    </row>
    <row r="16" spans="1:10" ht="19.5" customHeight="1" x14ac:dyDescent="0.3">
      <c r="A16" s="845" t="s">
        <v>480</v>
      </c>
      <c r="B16" s="845"/>
      <c r="C16" s="845"/>
      <c r="D16" s="845"/>
      <c r="E16" s="845"/>
      <c r="F16" s="535">
        <f>SUM(F14:F15)</f>
        <v>2896.06</v>
      </c>
      <c r="G16" s="535">
        <f>SUM(G14:G15)</f>
        <v>2896.06</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Dados!N11</f>
        <v>31.18</v>
      </c>
      <c r="G19" s="524">
        <f>F19</f>
        <v>31.18</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152.29</v>
      </c>
      <c r="G22" s="524">
        <f>F22</f>
        <v>152.29</v>
      </c>
      <c r="H22" s="524"/>
      <c r="I22" s="524">
        <f>F22</f>
        <v>152.29</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Dados!T11</f>
        <v>4.9408333333333321</v>
      </c>
      <c r="G26" s="524">
        <f>F26</f>
        <v>4.9408333333333321</v>
      </c>
      <c r="H26" s="524"/>
      <c r="I26" s="543"/>
      <c r="J26" s="525"/>
    </row>
    <row r="27" spans="1:12" ht="19.5" customHeight="1" x14ac:dyDescent="0.3">
      <c r="A27" s="832" t="s">
        <v>486</v>
      </c>
      <c r="B27" s="832"/>
      <c r="C27" s="540"/>
      <c r="D27" s="541"/>
      <c r="E27" s="541"/>
      <c r="F27" s="524">
        <f>Dados!P11</f>
        <v>0</v>
      </c>
      <c r="G27" s="524"/>
      <c r="H27" s="524"/>
      <c r="I27" s="524"/>
      <c r="J27" s="525"/>
      <c r="L27" s="544"/>
    </row>
    <row r="28" spans="1:12" ht="19.5" customHeight="1" x14ac:dyDescent="0.3">
      <c r="A28" s="538" t="s">
        <v>487</v>
      </c>
      <c r="B28" s="545"/>
      <c r="C28" s="540"/>
      <c r="D28" s="541"/>
      <c r="E28" s="541"/>
      <c r="F28" s="524">
        <f>Dados!R11</f>
        <v>0</v>
      </c>
      <c r="G28" s="524"/>
      <c r="H28" s="524"/>
      <c r="I28" s="524"/>
      <c r="J28" s="525"/>
    </row>
    <row r="29" spans="1:12" ht="19.5" customHeight="1" x14ac:dyDescent="0.3">
      <c r="A29" s="843" t="s">
        <v>488</v>
      </c>
      <c r="B29" s="843"/>
      <c r="C29" s="546"/>
      <c r="D29" s="547"/>
      <c r="E29" s="547"/>
      <c r="F29" s="530">
        <f>Dados!U11</f>
        <v>4.242692307692308</v>
      </c>
      <c r="G29" s="530">
        <f>F29</f>
        <v>4.242692307692308</v>
      </c>
      <c r="H29" s="530"/>
      <c r="I29" s="530"/>
      <c r="J29" s="531"/>
    </row>
    <row r="30" spans="1:12" ht="19.5" customHeight="1" x14ac:dyDescent="0.3">
      <c r="A30" s="838" t="s">
        <v>489</v>
      </c>
      <c r="B30" s="838"/>
      <c r="C30" s="838"/>
      <c r="D30" s="838"/>
      <c r="E30" s="838"/>
      <c r="F30" s="535">
        <f>SUM(F19:F29)</f>
        <v>628.68352564102565</v>
      </c>
      <c r="G30" s="535">
        <f>SUM(G19:G29)</f>
        <v>628.68352564102565</v>
      </c>
      <c r="H30" s="535">
        <f>SUM(H19:H29)</f>
        <v>387.79</v>
      </c>
      <c r="I30" s="535">
        <f>SUM(I19:I29)</f>
        <v>152.29</v>
      </c>
      <c r="J30" s="536">
        <f>SUM(J19:J29)</f>
        <v>0</v>
      </c>
    </row>
    <row r="31" spans="1:12" ht="19.5" customHeight="1" x14ac:dyDescent="0.3">
      <c r="A31" s="838" t="s">
        <v>490</v>
      </c>
      <c r="B31" s="838"/>
      <c r="C31" s="838"/>
      <c r="D31" s="838"/>
      <c r="E31" s="838"/>
      <c r="F31" s="535">
        <f>F16+F30</f>
        <v>3524.7435256410254</v>
      </c>
      <c r="G31" s="535">
        <f>G16+G30</f>
        <v>3524.7435256410254</v>
      </c>
      <c r="H31" s="535">
        <f>H16+H30</f>
        <v>387.79</v>
      </c>
      <c r="I31" s="535">
        <f>I16+I30</f>
        <v>152.29</v>
      </c>
      <c r="J31" s="536">
        <f>J16+J30</f>
        <v>0</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246.73</v>
      </c>
      <c r="G34" s="524">
        <f>ROUND((G31*$D$34),2)</f>
        <v>246.73</v>
      </c>
      <c r="H34" s="524">
        <f>ROUND((H31*$D$34),2)</f>
        <v>27.15</v>
      </c>
      <c r="I34" s="524">
        <f>ROUND((I31*$D$34),2)</f>
        <v>10.66</v>
      </c>
      <c r="J34" s="525">
        <f>ROUND((J31*$D$34),2)</f>
        <v>0</v>
      </c>
    </row>
    <row r="35" spans="1:12" ht="19.5" customHeight="1" x14ac:dyDescent="0.3">
      <c r="A35" s="842" t="s">
        <v>494</v>
      </c>
      <c r="B35" s="842"/>
      <c r="C35" s="842"/>
      <c r="D35" s="551"/>
      <c r="E35" s="552"/>
      <c r="F35" s="524">
        <f>F31+F34</f>
        <v>3771.4735256410254</v>
      </c>
      <c r="G35" s="524">
        <f>G31+G34</f>
        <v>3771.4735256410254</v>
      </c>
      <c r="H35" s="524">
        <f>H31+H34</f>
        <v>414.94</v>
      </c>
      <c r="I35" s="524">
        <f>I31+I34</f>
        <v>162.94999999999999</v>
      </c>
      <c r="J35" s="525">
        <f>J31+J34</f>
        <v>0</v>
      </c>
    </row>
    <row r="36" spans="1:12" ht="19.5" customHeight="1" x14ac:dyDescent="0.3">
      <c r="A36" s="553" t="s">
        <v>212</v>
      </c>
      <c r="B36" s="554"/>
      <c r="C36" s="554"/>
      <c r="D36" s="555">
        <f>Dados!$G$50</f>
        <v>3.6900000000000002E-2</v>
      </c>
      <c r="E36" s="556"/>
      <c r="F36" s="530">
        <f>ROUND((F35*$D$36),2)</f>
        <v>139.16999999999999</v>
      </c>
      <c r="G36" s="530">
        <f>ROUND((G35*$D$36),2)</f>
        <v>139.16999999999999</v>
      </c>
      <c r="H36" s="530">
        <f>ROUND((H35*$D$36),2)</f>
        <v>15.31</v>
      </c>
      <c r="I36" s="530">
        <f>ROUND((I35*$D$36),2)</f>
        <v>6.01</v>
      </c>
      <c r="J36" s="531">
        <f>ROUND((J35*$D$36),2)</f>
        <v>0</v>
      </c>
    </row>
    <row r="37" spans="1:12" ht="19.5" customHeight="1" x14ac:dyDescent="0.3">
      <c r="A37" s="557" t="s">
        <v>495</v>
      </c>
      <c r="B37" s="558"/>
      <c r="C37" s="558"/>
      <c r="D37" s="559">
        <f>SUM(D34:D36)</f>
        <v>0.10690000000000001</v>
      </c>
      <c r="E37" s="560"/>
      <c r="F37" s="535">
        <f>F34+F36</f>
        <v>385.9</v>
      </c>
      <c r="G37" s="535">
        <f>G34+G36</f>
        <v>385.9</v>
      </c>
      <c r="H37" s="535">
        <f>H34+H36</f>
        <v>42.46</v>
      </c>
      <c r="I37" s="535">
        <f>I34+I36</f>
        <v>16.670000000000002</v>
      </c>
      <c r="J37" s="536">
        <f>J34+J36</f>
        <v>0</v>
      </c>
    </row>
    <row r="38" spans="1:12" ht="19.5" customHeight="1" x14ac:dyDescent="0.3">
      <c r="A38" s="836" t="s">
        <v>496</v>
      </c>
      <c r="B38" s="836"/>
      <c r="C38" s="836"/>
      <c r="D38" s="836"/>
      <c r="E38" s="836"/>
      <c r="F38" s="561">
        <f>F31+F37</f>
        <v>3910.6435256410255</v>
      </c>
      <c r="G38" s="561">
        <f>G31+G37</f>
        <v>3910.6435256410255</v>
      </c>
      <c r="H38" s="561">
        <f>H31+H37</f>
        <v>430.25</v>
      </c>
      <c r="I38" s="561">
        <f>I31+I37</f>
        <v>168.95999999999998</v>
      </c>
      <c r="J38" s="562">
        <f>J31+J37</f>
        <v>0</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338.7</v>
      </c>
      <c r="G40" s="524">
        <f>ROUND((G46*$D$40),2)</f>
        <v>338.7</v>
      </c>
      <c r="H40" s="524">
        <f>ROUND((H46*$D$40),2)</f>
        <v>37.26</v>
      </c>
      <c r="I40" s="524">
        <f>ROUND((I46*$D$40),2)</f>
        <v>14.63</v>
      </c>
      <c r="J40" s="525">
        <f>ROUND((J46*$D$40),2)</f>
        <v>0</v>
      </c>
    </row>
    <row r="41" spans="1:12" ht="19.5" customHeight="1" x14ac:dyDescent="0.3">
      <c r="A41" s="832" t="s">
        <v>220</v>
      </c>
      <c r="B41" s="832"/>
      <c r="C41" s="832"/>
      <c r="D41" s="551">
        <f>Dados!G58</f>
        <v>1.6500000000000001E-2</v>
      </c>
      <c r="E41" s="563"/>
      <c r="F41" s="524">
        <f>ROUND((F46*$D$41),2)</f>
        <v>73.53</v>
      </c>
      <c r="G41" s="524">
        <f>ROUND((G46*$D$41),2)</f>
        <v>73.53</v>
      </c>
      <c r="H41" s="524">
        <f>ROUND((H46*$D$41),2)</f>
        <v>8.09</v>
      </c>
      <c r="I41" s="524">
        <f>ROUND((I46*$D$41),2)</f>
        <v>3.18</v>
      </c>
      <c r="J41" s="525">
        <f>ROUND((J46*$D$41),2)</f>
        <v>0</v>
      </c>
    </row>
    <row r="42" spans="1:12" ht="19.5" customHeight="1" x14ac:dyDescent="0.3">
      <c r="A42" s="832" t="str">
        <f>Dados!B59</f>
        <v>ISSQN 7.10 - Limpeza</v>
      </c>
      <c r="B42" s="832"/>
      <c r="C42" s="832"/>
      <c r="D42" s="551">
        <f>Dados!G59</f>
        <v>0.03</v>
      </c>
      <c r="E42" s="563"/>
      <c r="F42" s="524">
        <f>ROUND((F46*$D$42),2)</f>
        <v>133.69999999999999</v>
      </c>
      <c r="G42" s="524">
        <f>ROUND((G46*$D$42),2)</f>
        <v>133.69999999999999</v>
      </c>
      <c r="H42" s="524">
        <f>ROUND((H46*$D$42),2)</f>
        <v>14.71</v>
      </c>
      <c r="I42" s="524">
        <f>ROUND((I46*$D$42),2)</f>
        <v>5.78</v>
      </c>
      <c r="J42" s="525">
        <f>ROUND((J46*$D$42),2)</f>
        <v>0</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545.93000000000006</v>
      </c>
      <c r="G44" s="566">
        <f>SUM(G40:G43)</f>
        <v>545.93000000000006</v>
      </c>
      <c r="H44" s="566">
        <f>SUM(H40:H43)</f>
        <v>60.059999999999995</v>
      </c>
      <c r="I44" s="566">
        <f>SUM(I40:I43)</f>
        <v>23.590000000000003</v>
      </c>
      <c r="J44" s="567">
        <f>SUM(J40:J42)</f>
        <v>0</v>
      </c>
    </row>
    <row r="45" spans="1:12" ht="19.5" customHeight="1" x14ac:dyDescent="0.3">
      <c r="A45" s="834" t="str">
        <f>CONCATENATE("Custo Mensal - ",A7)</f>
        <v>Custo Mensal - Limpador de Vidro</v>
      </c>
      <c r="B45" s="834"/>
      <c r="C45" s="834"/>
      <c r="D45" s="834"/>
      <c r="E45" s="834"/>
      <c r="F45" s="568">
        <f>ROUND(F38/(1-D44),2)</f>
        <v>4456.57</v>
      </c>
      <c r="G45" s="568">
        <f>ROUND(G38/(1-D44),2)</f>
        <v>4456.57</v>
      </c>
      <c r="H45" s="568">
        <f>ROUND(H38/(1-D44),2)</f>
        <v>490.31</v>
      </c>
      <c r="I45" s="568">
        <f>ROUND(I38/(1-D44),2)</f>
        <v>192.55</v>
      </c>
      <c r="J45" s="569">
        <f>ROUND(J38/(1-D44),2)</f>
        <v>0</v>
      </c>
    </row>
    <row r="46" spans="1:12" ht="19.5" customHeight="1" x14ac:dyDescent="0.3">
      <c r="A46" s="834" t="str">
        <f>CONCATENATE("Valor do Custo Mensal - ",A7)</f>
        <v>Valor do Custo Mensal - Limpador de Vidro</v>
      </c>
      <c r="B46" s="834"/>
      <c r="C46" s="834"/>
      <c r="D46" s="834"/>
      <c r="E46" s="834"/>
      <c r="F46" s="568">
        <f>F45</f>
        <v>4456.57</v>
      </c>
      <c r="G46" s="568">
        <f>G45</f>
        <v>4456.57</v>
      </c>
      <c r="H46" s="568">
        <f>H45</f>
        <v>490.31</v>
      </c>
      <c r="I46" s="568">
        <f>I45</f>
        <v>192.55</v>
      </c>
      <c r="J46" s="569">
        <f>J45</f>
        <v>0</v>
      </c>
      <c r="K46" s="570"/>
      <c r="L46" s="570"/>
    </row>
    <row r="47" spans="1:12" ht="27.75" customHeight="1" x14ac:dyDescent="0.3">
      <c r="A47" s="835" t="s">
        <v>499</v>
      </c>
      <c r="B47" s="835"/>
      <c r="C47" s="835"/>
      <c r="D47" s="835"/>
      <c r="E47" s="835"/>
      <c r="F47" s="571">
        <f>(F46/F14)</f>
        <v>2.7145076015982847</v>
      </c>
      <c r="G47" s="571">
        <f>(G46/G14)</f>
        <v>2.7145076015982847</v>
      </c>
      <c r="H47" s="831"/>
      <c r="I47" s="831"/>
      <c r="J47" s="572"/>
    </row>
    <row r="48" spans="1:12" ht="19.5" customHeight="1" x14ac:dyDescent="0.3"/>
  </sheetData>
  <sheetProtection algorithmName="SHA-512" hashValue="Kzs4PlbEAHQ34wIQDxwMA4AKr9z2VfVfEuV1kHX/7YtICjdztoiE1DHqUbqHutuLLP56dab4KXt8BvHS2QHl3A==" saltValue="FQiroCx0or3NeH3/jnMayw=="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tabColor theme="0" tint="-0.249977111117893"/>
  </sheetPr>
  <dimension ref="A1:AMJ47"/>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Dados!C9</f>
        <v>Recepcionista</v>
      </c>
      <c r="B7" s="859"/>
      <c r="C7" s="859"/>
      <c r="D7" s="859"/>
      <c r="E7" s="859"/>
      <c r="F7" s="860" t="s">
        <v>466</v>
      </c>
      <c r="G7" s="860" t="s">
        <v>467</v>
      </c>
      <c r="H7" s="860" t="s">
        <v>468</v>
      </c>
      <c r="I7" s="860" t="s">
        <v>469</v>
      </c>
      <c r="J7" s="860" t="s">
        <v>470</v>
      </c>
    </row>
    <row r="8" spans="1:10" ht="19.5" customHeight="1" x14ac:dyDescent="0.3">
      <c r="A8" s="861" t="s">
        <v>471</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Recepcionista</v>
      </c>
      <c r="C11" s="853"/>
      <c r="D11" s="522">
        <f>Dados!D9</f>
        <v>150</v>
      </c>
      <c r="E11" s="523">
        <f>Dados!$E$9</f>
        <v>2830.97</v>
      </c>
      <c r="F11" s="524">
        <f>ROUND(E11/220*D11,2)</f>
        <v>1930.21</v>
      </c>
      <c r="G11" s="524">
        <f>F11</f>
        <v>1930.21</v>
      </c>
      <c r="H11" s="524"/>
      <c r="I11" s="524"/>
      <c r="J11" s="525"/>
    </row>
    <row r="12" spans="1:10" ht="19.5" customHeight="1" x14ac:dyDescent="0.3">
      <c r="A12" s="851"/>
      <c r="B12" s="853" t="s">
        <v>476</v>
      </c>
      <c r="C12" s="853"/>
      <c r="D12" s="526">
        <f>Dados!G9</f>
        <v>0</v>
      </c>
      <c r="E12" s="523">
        <f>Dados!$G$33</f>
        <v>1518</v>
      </c>
      <c r="F12" s="524">
        <f>D12*E12</f>
        <v>0</v>
      </c>
      <c r="G12" s="524">
        <f>F12</f>
        <v>0</v>
      </c>
      <c r="H12" s="524"/>
      <c r="I12" s="524"/>
      <c r="J12" s="525">
        <f>F12</f>
        <v>0</v>
      </c>
    </row>
    <row r="13" spans="1:10" ht="22.5" customHeight="1" x14ac:dyDescent="0.3">
      <c r="A13" s="851"/>
      <c r="B13" s="527" t="s">
        <v>477</v>
      </c>
      <c r="C13" s="528">
        <f>Dados!$I$9</f>
        <v>0</v>
      </c>
      <c r="D13" s="528">
        <f>Dados!$J$9</f>
        <v>0</v>
      </c>
      <c r="E13" s="529">
        <f>Dados!$K$9</f>
        <v>0</v>
      </c>
      <c r="F13" s="530">
        <f>ROUND((E13*D13*C13),2)</f>
        <v>0</v>
      </c>
      <c r="G13" s="530">
        <f>F13</f>
        <v>0</v>
      </c>
      <c r="H13" s="530"/>
      <c r="I13" s="530"/>
      <c r="J13" s="531"/>
    </row>
    <row r="14" spans="1:10" ht="19.5" customHeight="1" x14ac:dyDescent="0.3">
      <c r="A14" s="851"/>
      <c r="B14" s="854" t="s">
        <v>478</v>
      </c>
      <c r="C14" s="854"/>
      <c r="D14" s="854"/>
      <c r="E14" s="854"/>
      <c r="F14" s="532">
        <f>SUM(F11:F13)</f>
        <v>1930.21</v>
      </c>
      <c r="G14" s="532">
        <f>SUM(G11:G13)</f>
        <v>1930.21</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1474.68</v>
      </c>
      <c r="G15" s="524">
        <f>F15</f>
        <v>1474.68</v>
      </c>
      <c r="H15" s="524"/>
      <c r="I15" s="524"/>
      <c r="J15" s="525">
        <f>ROUND((E15*J14),2)</f>
        <v>0</v>
      </c>
    </row>
    <row r="16" spans="1:10" ht="19.5" customHeight="1" x14ac:dyDescent="0.3">
      <c r="A16" s="845" t="s">
        <v>480</v>
      </c>
      <c r="B16" s="845"/>
      <c r="C16" s="845"/>
      <c r="D16" s="845"/>
      <c r="E16" s="845"/>
      <c r="F16" s="535">
        <f>SUM(F14:F15)</f>
        <v>3404.8900000000003</v>
      </c>
      <c r="G16" s="535">
        <f>SUM(G14:G15)</f>
        <v>3404.8900000000003</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Dados!N9</f>
        <v>56.93</v>
      </c>
      <c r="G19" s="524">
        <f>F19</f>
        <v>56.93</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134.99</v>
      </c>
      <c r="G22" s="524">
        <f>F22</f>
        <v>134.99</v>
      </c>
      <c r="H22" s="524"/>
      <c r="I22" s="524">
        <f>F22</f>
        <v>134.99</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32" t="s">
        <v>486</v>
      </c>
      <c r="B26" s="832"/>
      <c r="C26" s="540"/>
      <c r="D26" s="541"/>
      <c r="E26" s="541"/>
      <c r="F26" s="524"/>
      <c r="G26" s="524"/>
      <c r="H26" s="524"/>
      <c r="I26" s="524"/>
      <c r="J26" s="525"/>
      <c r="L26" s="544"/>
    </row>
    <row r="27" spans="1:12" ht="19.5" customHeight="1" x14ac:dyDescent="0.3">
      <c r="A27" s="538" t="s">
        <v>487</v>
      </c>
      <c r="B27" s="545"/>
      <c r="C27" s="540"/>
      <c r="D27" s="541"/>
      <c r="E27" s="541"/>
      <c r="F27" s="524">
        <f>Dados!R9</f>
        <v>0</v>
      </c>
      <c r="G27" s="524"/>
      <c r="H27" s="524"/>
      <c r="I27" s="524"/>
      <c r="J27" s="525"/>
    </row>
    <row r="28" spans="1:12" ht="19.5" customHeight="1" x14ac:dyDescent="0.3">
      <c r="A28" s="843" t="s">
        <v>488</v>
      </c>
      <c r="B28" s="843"/>
      <c r="C28" s="546"/>
      <c r="D28" s="547"/>
      <c r="E28" s="547"/>
      <c r="F28" s="530">
        <f>Dados!U9</f>
        <v>0</v>
      </c>
      <c r="G28" s="530">
        <f>F28</f>
        <v>0</v>
      </c>
      <c r="H28" s="530"/>
      <c r="I28" s="530"/>
      <c r="J28" s="531"/>
    </row>
    <row r="29" spans="1:12" ht="19.5" customHeight="1" x14ac:dyDescent="0.3">
      <c r="A29" s="838" t="s">
        <v>489</v>
      </c>
      <c r="B29" s="838"/>
      <c r="C29" s="838"/>
      <c r="D29" s="838"/>
      <c r="E29" s="838"/>
      <c r="F29" s="535">
        <f>SUM(F19:F28)</f>
        <v>627.95000000000005</v>
      </c>
      <c r="G29" s="535">
        <f>SUM(G19:G28)</f>
        <v>627.95000000000005</v>
      </c>
      <c r="H29" s="535">
        <f>SUM(H19:H28)</f>
        <v>387.79</v>
      </c>
      <c r="I29" s="535">
        <f>SUM(I19:I28)</f>
        <v>134.99</v>
      </c>
      <c r="J29" s="536">
        <f>SUM(J19:J28)</f>
        <v>0</v>
      </c>
    </row>
    <row r="30" spans="1:12" ht="19.5" customHeight="1" x14ac:dyDescent="0.3">
      <c r="A30" s="838" t="s">
        <v>490</v>
      </c>
      <c r="B30" s="838"/>
      <c r="C30" s="838"/>
      <c r="D30" s="838"/>
      <c r="E30" s="838"/>
      <c r="F30" s="535">
        <f>F16+F29</f>
        <v>4032.84</v>
      </c>
      <c r="G30" s="535">
        <f>G16+G29</f>
        <v>4032.84</v>
      </c>
      <c r="H30" s="535">
        <f>H16+H29</f>
        <v>387.79</v>
      </c>
      <c r="I30" s="535">
        <f>I16+I29</f>
        <v>134.99</v>
      </c>
      <c r="J30" s="536">
        <f>J16+J29</f>
        <v>0</v>
      </c>
    </row>
    <row r="31" spans="1:12" ht="19.5" customHeight="1" x14ac:dyDescent="0.3">
      <c r="A31" s="839" t="s">
        <v>491</v>
      </c>
      <c r="B31" s="839"/>
      <c r="C31" s="839"/>
      <c r="D31" s="839"/>
      <c r="E31" s="839"/>
      <c r="F31" s="839"/>
      <c r="G31" s="839"/>
      <c r="H31" s="839"/>
      <c r="I31" s="839"/>
      <c r="J31" s="839"/>
    </row>
    <row r="32" spans="1:12" ht="19.5" customHeight="1" x14ac:dyDescent="0.3">
      <c r="A32" s="840" t="s">
        <v>492</v>
      </c>
      <c r="B32" s="840"/>
      <c r="C32" s="840"/>
      <c r="D32" s="548" t="s">
        <v>433</v>
      </c>
      <c r="E32" s="841" t="s">
        <v>344</v>
      </c>
      <c r="F32" s="841"/>
      <c r="G32" s="841"/>
      <c r="H32" s="841"/>
      <c r="I32" s="841"/>
      <c r="J32" s="841"/>
    </row>
    <row r="33" spans="1:12" ht="19.5" customHeight="1" x14ac:dyDescent="0.3">
      <c r="A33" s="549" t="s">
        <v>493</v>
      </c>
      <c r="B33" s="550"/>
      <c r="C33" s="550"/>
      <c r="D33" s="551">
        <f>Dados!$G$49</f>
        <v>7.0000000000000007E-2</v>
      </c>
      <c r="E33" s="552"/>
      <c r="F33" s="524">
        <f>ROUND((F30*$D$33),2)</f>
        <v>282.3</v>
      </c>
      <c r="G33" s="524">
        <f>ROUND((G30*$D$33),2)</f>
        <v>282.3</v>
      </c>
      <c r="H33" s="524">
        <f>ROUND((H30*$D$33),2)</f>
        <v>27.15</v>
      </c>
      <c r="I33" s="524">
        <f>ROUND((I30*$D$33),2)</f>
        <v>9.4499999999999993</v>
      </c>
      <c r="J33" s="525">
        <f>ROUND((J30*$D$33),2)</f>
        <v>0</v>
      </c>
    </row>
    <row r="34" spans="1:12" ht="19.5" customHeight="1" x14ac:dyDescent="0.3">
      <c r="A34" s="842" t="s">
        <v>494</v>
      </c>
      <c r="B34" s="842"/>
      <c r="C34" s="842"/>
      <c r="D34" s="551"/>
      <c r="E34" s="552"/>
      <c r="F34" s="524">
        <f>F30+F33</f>
        <v>4315.1400000000003</v>
      </c>
      <c r="G34" s="524">
        <f>G30+G33</f>
        <v>4315.1400000000003</v>
      </c>
      <c r="H34" s="524">
        <f>H30+H33</f>
        <v>414.94</v>
      </c>
      <c r="I34" s="524">
        <f>I30+I33</f>
        <v>144.44</v>
      </c>
      <c r="J34" s="525">
        <f>J30+J33</f>
        <v>0</v>
      </c>
    </row>
    <row r="35" spans="1:12" ht="19.5" customHeight="1" x14ac:dyDescent="0.3">
      <c r="A35" s="553" t="s">
        <v>212</v>
      </c>
      <c r="B35" s="554"/>
      <c r="C35" s="554"/>
      <c r="D35" s="555">
        <f>Dados!$G$50</f>
        <v>3.6900000000000002E-2</v>
      </c>
      <c r="E35" s="556"/>
      <c r="F35" s="530">
        <f>ROUND((F34*$D$35),2)</f>
        <v>159.22999999999999</v>
      </c>
      <c r="G35" s="530">
        <f>ROUND((G34*$D$35),2)</f>
        <v>159.22999999999999</v>
      </c>
      <c r="H35" s="530">
        <f>ROUND((H34*$D$35),2)</f>
        <v>15.31</v>
      </c>
      <c r="I35" s="530">
        <f>ROUND((I34*$D$35),2)</f>
        <v>5.33</v>
      </c>
      <c r="J35" s="531">
        <f>ROUND((J34*$D$35),2)</f>
        <v>0</v>
      </c>
    </row>
    <row r="36" spans="1:12" ht="19.5" customHeight="1" x14ac:dyDescent="0.3">
      <c r="A36" s="557" t="s">
        <v>495</v>
      </c>
      <c r="B36" s="558"/>
      <c r="C36" s="558"/>
      <c r="D36" s="559">
        <f>SUM(D33:D35)</f>
        <v>0.10690000000000001</v>
      </c>
      <c r="E36" s="560"/>
      <c r="F36" s="535">
        <f>F33+F35</f>
        <v>441.53</v>
      </c>
      <c r="G36" s="535">
        <f>G33+G35</f>
        <v>441.53</v>
      </c>
      <c r="H36" s="535">
        <f>H33+H35</f>
        <v>42.46</v>
      </c>
      <c r="I36" s="535">
        <f>I33+I35</f>
        <v>14.78</v>
      </c>
      <c r="J36" s="536">
        <f>J33+J35</f>
        <v>0</v>
      </c>
    </row>
    <row r="37" spans="1:12" ht="19.5" customHeight="1" x14ac:dyDescent="0.3">
      <c r="A37" s="836" t="s">
        <v>496</v>
      </c>
      <c r="B37" s="836"/>
      <c r="C37" s="836"/>
      <c r="D37" s="836"/>
      <c r="E37" s="836"/>
      <c r="F37" s="561">
        <f>F30+F36</f>
        <v>4474.37</v>
      </c>
      <c r="G37" s="561">
        <f>G30+G36</f>
        <v>4474.37</v>
      </c>
      <c r="H37" s="561">
        <f>H30+H36</f>
        <v>430.25</v>
      </c>
      <c r="I37" s="561">
        <f>I30+I36</f>
        <v>149.77000000000001</v>
      </c>
      <c r="J37" s="562">
        <f>J30+J36</f>
        <v>0</v>
      </c>
    </row>
    <row r="38" spans="1:12" ht="19.5" customHeight="1" x14ac:dyDescent="0.3">
      <c r="A38" s="837" t="s">
        <v>497</v>
      </c>
      <c r="B38" s="837"/>
      <c r="C38" s="837"/>
      <c r="D38" s="837"/>
      <c r="E38" s="837"/>
      <c r="F38" s="837"/>
      <c r="G38" s="837"/>
      <c r="H38" s="837"/>
      <c r="I38" s="837"/>
      <c r="J38" s="837"/>
    </row>
    <row r="39" spans="1:12" ht="19.5" customHeight="1" x14ac:dyDescent="0.3">
      <c r="A39" s="832" t="s">
        <v>218</v>
      </c>
      <c r="B39" s="832"/>
      <c r="C39" s="832"/>
      <c r="D39" s="551">
        <f>Dados!G57</f>
        <v>7.5999999999999998E-2</v>
      </c>
      <c r="E39" s="563"/>
      <c r="F39" s="524">
        <f>ROUND(($F$45*D39),2)</f>
        <v>383.16</v>
      </c>
      <c r="G39" s="524">
        <f>ROUND((G45*$D$39),2)</f>
        <v>383.16</v>
      </c>
      <c r="H39" s="524">
        <f>ROUND((H45*$D$39),2)</f>
        <v>36.840000000000003</v>
      </c>
      <c r="I39" s="524">
        <f>ROUND((I45*$D$39),2)</f>
        <v>12.83</v>
      </c>
      <c r="J39" s="525">
        <f>ROUND((J45*$D$39),2)</f>
        <v>0</v>
      </c>
    </row>
    <row r="40" spans="1:12" ht="19.5" customHeight="1" x14ac:dyDescent="0.3">
      <c r="A40" s="832" t="s">
        <v>220</v>
      </c>
      <c r="B40" s="832"/>
      <c r="C40" s="832"/>
      <c r="D40" s="551">
        <f>Dados!G58</f>
        <v>1.6500000000000001E-2</v>
      </c>
      <c r="E40" s="563"/>
      <c r="F40" s="524">
        <f>ROUND((F45*$D$40),2)</f>
        <v>83.19</v>
      </c>
      <c r="G40" s="524">
        <f>ROUND((G45*$D$40),2)</f>
        <v>83.19</v>
      </c>
      <c r="H40" s="524">
        <f>ROUND((H45*$D$40),2)</f>
        <v>8</v>
      </c>
      <c r="I40" s="524">
        <f>ROUND((I45*$D$40),2)</f>
        <v>2.78</v>
      </c>
      <c r="J40" s="525">
        <f>ROUND((J45*$D$40),2)</f>
        <v>0</v>
      </c>
    </row>
    <row r="41" spans="1:12" ht="19.5" customHeight="1" x14ac:dyDescent="0.3">
      <c r="A41" s="832" t="str">
        <f>Dados!B59</f>
        <v>ISSQN 7.10 - Limpeza</v>
      </c>
      <c r="B41" s="832"/>
      <c r="C41" s="832"/>
      <c r="D41" s="551">
        <v>0</v>
      </c>
      <c r="E41" s="563"/>
      <c r="F41" s="524">
        <f>ROUND((F45*$D$41),2)</f>
        <v>0</v>
      </c>
      <c r="G41" s="524">
        <f>ROUND((G45*$D$41),2)</f>
        <v>0</v>
      </c>
      <c r="H41" s="524">
        <f>ROUND((H45*$D$41),2)</f>
        <v>0</v>
      </c>
      <c r="I41" s="524">
        <f>ROUND((I45*$D$41),2)</f>
        <v>0</v>
      </c>
      <c r="J41" s="525">
        <f>ROUND((J45*$D$41),2)</f>
        <v>0</v>
      </c>
    </row>
    <row r="42" spans="1:12" ht="19.5" customHeight="1" x14ac:dyDescent="0.3">
      <c r="A42" s="832" t="str">
        <f>Dados!B60</f>
        <v>ISSQN 17.05 - Fornecimento de mão-de-obra</v>
      </c>
      <c r="B42" s="832"/>
      <c r="C42" s="832"/>
      <c r="D42" s="551">
        <f>Dados!G60</f>
        <v>0.02</v>
      </c>
      <c r="E42" s="563"/>
      <c r="F42" s="524">
        <f>ROUND((F45*$D$42),2)</f>
        <v>100.83</v>
      </c>
      <c r="G42" s="524">
        <f>ROUND((G45*$D$42),2)</f>
        <v>100.83</v>
      </c>
      <c r="H42" s="524">
        <f>ROUND((H45*$D$42),2)</f>
        <v>9.6999999999999993</v>
      </c>
      <c r="I42" s="524">
        <f>ROUND((I45*$D$42),2)</f>
        <v>3.38</v>
      </c>
      <c r="J42" s="525">
        <f>ROUND((J45*$D$42),2)</f>
        <v>0</v>
      </c>
    </row>
    <row r="43" spans="1:12" ht="19.5" customHeight="1" x14ac:dyDescent="0.3">
      <c r="A43" s="833" t="s">
        <v>498</v>
      </c>
      <c r="B43" s="833"/>
      <c r="C43" s="833"/>
      <c r="D43" s="564">
        <f>SUM(D39:D42)</f>
        <v>0.1125</v>
      </c>
      <c r="E43" s="565"/>
      <c r="F43" s="566">
        <f>SUM(F39:F42)</f>
        <v>567.18000000000006</v>
      </c>
      <c r="G43" s="566">
        <f>SUM(G39:G42)</f>
        <v>567.18000000000006</v>
      </c>
      <c r="H43" s="566">
        <f>SUM(H39:H42)</f>
        <v>54.540000000000006</v>
      </c>
      <c r="I43" s="566">
        <f>SUM(I39:I42)</f>
        <v>18.989999999999998</v>
      </c>
      <c r="J43" s="567">
        <f>SUM(J39:J41)</f>
        <v>0</v>
      </c>
    </row>
    <row r="44" spans="1:12" ht="19.5" customHeight="1" x14ac:dyDescent="0.3">
      <c r="A44" s="834" t="str">
        <f>CONCATENATE("Custo Mensal - ",A7)</f>
        <v>Custo Mensal - Recepcionista</v>
      </c>
      <c r="B44" s="834"/>
      <c r="C44" s="834"/>
      <c r="D44" s="834"/>
      <c r="E44" s="834"/>
      <c r="F44" s="568">
        <f>ROUND(F37/(1-D43),2)</f>
        <v>5041.54</v>
      </c>
      <c r="G44" s="568">
        <f>ROUND(G37/(1-D43),2)</f>
        <v>5041.54</v>
      </c>
      <c r="H44" s="568">
        <f>ROUND(H37/(1-D43),2)</f>
        <v>484.79</v>
      </c>
      <c r="I44" s="568">
        <f>ROUND(I37/(1-D43),2)</f>
        <v>168.75</v>
      </c>
      <c r="J44" s="569">
        <f>ROUND(J37/(1-D43),2)</f>
        <v>0</v>
      </c>
    </row>
    <row r="45" spans="1:12" ht="19.5" customHeight="1" x14ac:dyDescent="0.3">
      <c r="A45" s="834" t="str">
        <f>CONCATENATE("Valor do Custo Mensal - ",A7)</f>
        <v>Valor do Custo Mensal - Recepcionista</v>
      </c>
      <c r="B45" s="834"/>
      <c r="C45" s="834"/>
      <c r="D45" s="834"/>
      <c r="E45" s="834"/>
      <c r="F45" s="568">
        <f>F44</f>
        <v>5041.54</v>
      </c>
      <c r="G45" s="568">
        <f>G44</f>
        <v>5041.54</v>
      </c>
      <c r="H45" s="568">
        <f>H44</f>
        <v>484.79</v>
      </c>
      <c r="I45" s="568">
        <f>I44</f>
        <v>168.75</v>
      </c>
      <c r="J45" s="569">
        <f>J44</f>
        <v>0</v>
      </c>
      <c r="K45" s="570"/>
      <c r="L45" s="570"/>
    </row>
    <row r="46" spans="1:12" ht="27.75" customHeight="1" x14ac:dyDescent="0.3">
      <c r="A46" s="835" t="s">
        <v>499</v>
      </c>
      <c r="B46" s="835"/>
      <c r="C46" s="835"/>
      <c r="D46" s="835"/>
      <c r="E46" s="835"/>
      <c r="F46" s="571">
        <f>(F45/F14)</f>
        <v>2.6119126934375014</v>
      </c>
      <c r="G46" s="571">
        <f>(G45/G14)</f>
        <v>2.6119126934375014</v>
      </c>
      <c r="H46" s="831" t="s">
        <v>500</v>
      </c>
      <c r="I46" s="831"/>
      <c r="J46" s="572">
        <v>0</v>
      </c>
    </row>
    <row r="47" spans="1:12" ht="19.5" customHeight="1" x14ac:dyDescent="0.3"/>
  </sheetData>
  <sheetProtection algorithmName="SHA-512" hashValue="5yO5DbNu6MsLf1xSJQJxXFHT6Rfw+Pkze9PEqfyL76/1YB1HvtJsORtMW8L2fizLY83dIjpLaJz0IL7ae4cQwA==" saltValue="kJ+0I0yhkqwHDW6+9koSQA=="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8">
    <tabColor theme="0" tint="-0.249977111117893"/>
  </sheetPr>
  <dimension ref="A1:AMJ48"/>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Dados!C13</f>
        <v>Servente de Limpeza insalubridade (40%)</v>
      </c>
      <c r="B7" s="859"/>
      <c r="C7" s="859"/>
      <c r="D7" s="859"/>
      <c r="E7" s="859"/>
      <c r="F7" s="860" t="s">
        <v>466</v>
      </c>
      <c r="G7" s="860" t="s">
        <v>467</v>
      </c>
      <c r="H7" s="860" t="s">
        <v>468</v>
      </c>
      <c r="I7" s="860" t="s">
        <v>469</v>
      </c>
      <c r="J7" s="860" t="s">
        <v>470</v>
      </c>
    </row>
    <row r="8" spans="1:10" ht="19.5" customHeight="1" x14ac:dyDescent="0.3">
      <c r="A8" s="861" t="s">
        <v>505</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Servente de Limpeza insalubridade (40%)</v>
      </c>
      <c r="C11" s="853"/>
      <c r="D11" s="522">
        <f>Dados!D13</f>
        <v>200</v>
      </c>
      <c r="E11" s="523">
        <f>Dados!E13</f>
        <v>1649.12</v>
      </c>
      <c r="F11" s="524">
        <f>ROUND(E11/220*D11,2)</f>
        <v>1499.2</v>
      </c>
      <c r="G11" s="524">
        <f>F11</f>
        <v>1499.2</v>
      </c>
      <c r="H11" s="524"/>
      <c r="I11" s="524"/>
      <c r="J11" s="525"/>
    </row>
    <row r="12" spans="1:10" ht="19.5" customHeight="1" x14ac:dyDescent="0.3">
      <c r="A12" s="851"/>
      <c r="B12" s="853" t="s">
        <v>476</v>
      </c>
      <c r="C12" s="853"/>
      <c r="D12" s="573">
        <f>Dados!G13</f>
        <v>0.4</v>
      </c>
      <c r="E12" s="523">
        <f>Dados!G33</f>
        <v>1518</v>
      </c>
      <c r="F12" s="524">
        <f>D12*E12</f>
        <v>607.20000000000005</v>
      </c>
      <c r="G12" s="524">
        <f>F12</f>
        <v>607.20000000000005</v>
      </c>
      <c r="H12" s="524"/>
      <c r="I12" s="524"/>
      <c r="J12" s="525">
        <f>F12</f>
        <v>607.20000000000005</v>
      </c>
    </row>
    <row r="13" spans="1:10" ht="20.25" customHeight="1" x14ac:dyDescent="0.3">
      <c r="A13" s="851"/>
      <c r="B13" s="527" t="s">
        <v>477</v>
      </c>
      <c r="C13" s="528">
        <f>Dados!I13</f>
        <v>0</v>
      </c>
      <c r="D13" s="528">
        <f>Dados!J13</f>
        <v>0</v>
      </c>
      <c r="E13" s="529">
        <f>Dados!L13</f>
        <v>0</v>
      </c>
      <c r="F13" s="530">
        <f>ROUND((E13*D13*C13),2)</f>
        <v>0</v>
      </c>
      <c r="G13" s="530">
        <f>F13</f>
        <v>0</v>
      </c>
      <c r="H13" s="530"/>
      <c r="I13" s="530"/>
      <c r="J13" s="531"/>
    </row>
    <row r="14" spans="1:10" ht="19.5" customHeight="1" x14ac:dyDescent="0.3">
      <c r="A14" s="851"/>
      <c r="B14" s="854" t="s">
        <v>478</v>
      </c>
      <c r="C14" s="854"/>
      <c r="D14" s="854"/>
      <c r="E14" s="854"/>
      <c r="F14" s="532">
        <f>SUM(F11:F13)</f>
        <v>2106.4</v>
      </c>
      <c r="G14" s="532">
        <f>SUM(G11:G13)</f>
        <v>2106.4</v>
      </c>
      <c r="H14" s="532">
        <f>SUM(H11:H13)</f>
        <v>0</v>
      </c>
      <c r="I14" s="532">
        <f>SUM(I11:I13)</f>
        <v>0</v>
      </c>
      <c r="J14" s="533">
        <f>SUM(J11:J13)</f>
        <v>607.20000000000005</v>
      </c>
    </row>
    <row r="15" spans="1:10" ht="19.5" customHeight="1" x14ac:dyDescent="0.3">
      <c r="A15" s="851"/>
      <c r="B15" s="855" t="s">
        <v>479</v>
      </c>
      <c r="C15" s="855"/>
      <c r="D15" s="855"/>
      <c r="E15" s="534">
        <f>Encargos!$C$57</f>
        <v>0.76400000000000001</v>
      </c>
      <c r="F15" s="524">
        <f>ROUND((E15*F14),2)</f>
        <v>1609.29</v>
      </c>
      <c r="G15" s="524">
        <f>F15</f>
        <v>1609.29</v>
      </c>
      <c r="H15" s="524"/>
      <c r="I15" s="524"/>
      <c r="J15" s="525">
        <f>ROUND((E15*J14),2)</f>
        <v>463.9</v>
      </c>
    </row>
    <row r="16" spans="1:10" ht="19.5" customHeight="1" x14ac:dyDescent="0.3">
      <c r="A16" s="845" t="s">
        <v>480</v>
      </c>
      <c r="B16" s="845"/>
      <c r="C16" s="845"/>
      <c r="D16" s="845"/>
      <c r="E16" s="845"/>
      <c r="F16" s="535">
        <f>SUM(F14:F15)</f>
        <v>3715.69</v>
      </c>
      <c r="G16" s="535">
        <f>SUM(G14:G15)</f>
        <v>3715.69</v>
      </c>
      <c r="H16" s="535">
        <f>SUM(H14:H15)</f>
        <v>0</v>
      </c>
      <c r="I16" s="535">
        <f>SUM(I14:I15)</f>
        <v>0</v>
      </c>
      <c r="J16" s="536">
        <f>SUM(J14:J15)</f>
        <v>1071.0999999999999</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Dados!N13</f>
        <v>27.83</v>
      </c>
      <c r="G19" s="524">
        <f>F19</f>
        <v>27.83</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160.85</v>
      </c>
      <c r="G22" s="524">
        <f>F22</f>
        <v>160.85</v>
      </c>
      <c r="H22" s="524"/>
      <c r="I22" s="524">
        <f>F22</f>
        <v>160.85</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Dados!T13</f>
        <v>4.9408333333333321</v>
      </c>
      <c r="G26" s="524">
        <f>F26</f>
        <v>4.9408333333333321</v>
      </c>
      <c r="H26" s="524"/>
      <c r="I26" s="543"/>
      <c r="J26" s="525"/>
    </row>
    <row r="27" spans="1:12" ht="19.5" customHeight="1" x14ac:dyDescent="0.3">
      <c r="A27" s="832" t="s">
        <v>486</v>
      </c>
      <c r="B27" s="832"/>
      <c r="C27" s="540"/>
      <c r="D27" s="541"/>
      <c r="E27" s="541"/>
      <c r="F27" s="524">
        <f>Dados!O13</f>
        <v>1017.12</v>
      </c>
      <c r="G27" s="524"/>
      <c r="H27" s="524"/>
      <c r="I27" s="524"/>
      <c r="J27" s="525"/>
      <c r="L27" s="544"/>
    </row>
    <row r="28" spans="1:12" ht="19.5" customHeight="1" x14ac:dyDescent="0.3">
      <c r="A28" s="538" t="s">
        <v>487</v>
      </c>
      <c r="B28" s="545"/>
      <c r="C28" s="540"/>
      <c r="D28" s="541"/>
      <c r="E28" s="541"/>
      <c r="F28" s="524"/>
      <c r="G28" s="524"/>
      <c r="H28" s="524"/>
      <c r="I28" s="524"/>
      <c r="J28" s="525"/>
    </row>
    <row r="29" spans="1:12" ht="19.5" customHeight="1" x14ac:dyDescent="0.3">
      <c r="A29" s="843" t="s">
        <v>488</v>
      </c>
      <c r="B29" s="843"/>
      <c r="C29" s="546"/>
      <c r="D29" s="547"/>
      <c r="E29" s="547"/>
      <c r="F29" s="530">
        <f>Dados!U13</f>
        <v>4.5447377622377623</v>
      </c>
      <c r="G29" s="530">
        <f>F29</f>
        <v>4.5447377622377623</v>
      </c>
      <c r="H29" s="530"/>
      <c r="I29" s="530"/>
      <c r="J29" s="531"/>
    </row>
    <row r="30" spans="1:12" ht="19.5" customHeight="1" x14ac:dyDescent="0.3">
      <c r="A30" s="838" t="s">
        <v>489</v>
      </c>
      <c r="B30" s="838"/>
      <c r="C30" s="838"/>
      <c r="D30" s="838"/>
      <c r="E30" s="838"/>
      <c r="F30" s="535">
        <f>SUM(F19:F29)</f>
        <v>1651.3155710955712</v>
      </c>
      <c r="G30" s="535">
        <f>SUM(G19:G29)</f>
        <v>634.19557109557115</v>
      </c>
      <c r="H30" s="535">
        <f>SUM(H19:H29)</f>
        <v>387.79</v>
      </c>
      <c r="I30" s="535">
        <f>SUM(I19:I29)</f>
        <v>160.85</v>
      </c>
      <c r="J30" s="536">
        <f>SUM(J19:J29)</f>
        <v>0</v>
      </c>
    </row>
    <row r="31" spans="1:12" ht="19.5" customHeight="1" x14ac:dyDescent="0.3">
      <c r="A31" s="838" t="s">
        <v>490</v>
      </c>
      <c r="B31" s="838"/>
      <c r="C31" s="838"/>
      <c r="D31" s="838"/>
      <c r="E31" s="838"/>
      <c r="F31" s="535">
        <f>F16+F30</f>
        <v>5367.0055710955712</v>
      </c>
      <c r="G31" s="535">
        <f>G16+G30</f>
        <v>4349.8855710955713</v>
      </c>
      <c r="H31" s="535">
        <f>H16+H30</f>
        <v>387.79</v>
      </c>
      <c r="I31" s="535">
        <f>I16+I30</f>
        <v>160.85</v>
      </c>
      <c r="J31" s="536">
        <f>J16+J30</f>
        <v>1071.0999999999999</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375.69</v>
      </c>
      <c r="G34" s="524">
        <f>ROUND((G31*$D$34),2)</f>
        <v>304.49</v>
      </c>
      <c r="H34" s="524">
        <f>ROUND((H31*$D$34),2)</f>
        <v>27.15</v>
      </c>
      <c r="I34" s="524">
        <f>ROUND((I31*$D$34),2)</f>
        <v>11.26</v>
      </c>
      <c r="J34" s="525">
        <f>ROUND((J31*$D$34),2)</f>
        <v>74.98</v>
      </c>
    </row>
    <row r="35" spans="1:12" ht="19.5" customHeight="1" x14ac:dyDescent="0.3">
      <c r="A35" s="842" t="s">
        <v>494</v>
      </c>
      <c r="B35" s="842"/>
      <c r="C35" s="842"/>
      <c r="D35" s="551"/>
      <c r="E35" s="552"/>
      <c r="F35" s="524">
        <f>F31+F34</f>
        <v>5742.6955710955708</v>
      </c>
      <c r="G35" s="524">
        <f>G31+G34</f>
        <v>4654.3755710955711</v>
      </c>
      <c r="H35" s="524">
        <f>H31+H34</f>
        <v>414.94</v>
      </c>
      <c r="I35" s="524">
        <f>I31+I34</f>
        <v>172.10999999999999</v>
      </c>
      <c r="J35" s="525">
        <f>J31+J34</f>
        <v>1146.08</v>
      </c>
    </row>
    <row r="36" spans="1:12" ht="19.5" customHeight="1" x14ac:dyDescent="0.3">
      <c r="A36" s="553" t="s">
        <v>212</v>
      </c>
      <c r="B36" s="554"/>
      <c r="C36" s="554"/>
      <c r="D36" s="555">
        <f>Dados!$G$50</f>
        <v>3.6900000000000002E-2</v>
      </c>
      <c r="E36" s="556"/>
      <c r="F36" s="530">
        <f>ROUND((F35*$D$36),2)</f>
        <v>211.91</v>
      </c>
      <c r="G36" s="530">
        <f>ROUND((G35*$D$36),2)</f>
        <v>171.75</v>
      </c>
      <c r="H36" s="530">
        <f>ROUND((H35*$D$36),2)</f>
        <v>15.31</v>
      </c>
      <c r="I36" s="530">
        <f>ROUND((I35*$D$36),2)</f>
        <v>6.35</v>
      </c>
      <c r="J36" s="531">
        <f>ROUND((J35*$D$36),2)</f>
        <v>42.29</v>
      </c>
    </row>
    <row r="37" spans="1:12" ht="19.5" customHeight="1" x14ac:dyDescent="0.3">
      <c r="A37" s="557" t="s">
        <v>495</v>
      </c>
      <c r="B37" s="558"/>
      <c r="C37" s="558"/>
      <c r="D37" s="559">
        <f>SUM(D34:D36)</f>
        <v>0.10690000000000001</v>
      </c>
      <c r="E37" s="560"/>
      <c r="F37" s="535">
        <f>F34+F36</f>
        <v>587.6</v>
      </c>
      <c r="G37" s="535">
        <f>G34+G36</f>
        <v>476.24</v>
      </c>
      <c r="H37" s="535">
        <f>H34+H36</f>
        <v>42.46</v>
      </c>
      <c r="I37" s="535">
        <f>I34+I36</f>
        <v>17.61</v>
      </c>
      <c r="J37" s="536">
        <f>J34+J36</f>
        <v>117.27000000000001</v>
      </c>
    </row>
    <row r="38" spans="1:12" ht="19.5" customHeight="1" x14ac:dyDescent="0.3">
      <c r="A38" s="836" t="s">
        <v>496</v>
      </c>
      <c r="B38" s="836"/>
      <c r="C38" s="836"/>
      <c r="D38" s="836"/>
      <c r="E38" s="836"/>
      <c r="F38" s="561">
        <f>F31+F37</f>
        <v>5954.6055710955716</v>
      </c>
      <c r="G38" s="561">
        <f>G31+G37</f>
        <v>4826.1255710955711</v>
      </c>
      <c r="H38" s="561">
        <f>H31+H37</f>
        <v>430.25</v>
      </c>
      <c r="I38" s="561">
        <f>I31+I37</f>
        <v>178.45999999999998</v>
      </c>
      <c r="J38" s="562">
        <f>J31+J37</f>
        <v>1188.3699999999999</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515.73</v>
      </c>
      <c r="G40" s="524">
        <f>ROUND((G46*$D$40),2)</f>
        <v>417.99</v>
      </c>
      <c r="H40" s="524">
        <f>ROUND((H46*$D$40),2)</f>
        <v>37.26</v>
      </c>
      <c r="I40" s="524">
        <f>ROUND((I46*$D$40),2)</f>
        <v>15.46</v>
      </c>
      <c r="J40" s="525">
        <f>ROUND((J46*$D$40),2)</f>
        <v>102.92</v>
      </c>
    </row>
    <row r="41" spans="1:12" ht="19.5" customHeight="1" x14ac:dyDescent="0.3">
      <c r="A41" s="832" t="s">
        <v>220</v>
      </c>
      <c r="B41" s="832"/>
      <c r="C41" s="832"/>
      <c r="D41" s="551">
        <f>Dados!G58</f>
        <v>1.6500000000000001E-2</v>
      </c>
      <c r="E41" s="563"/>
      <c r="F41" s="524">
        <f>ROUND((F46*$D$41),2)</f>
        <v>111.97</v>
      </c>
      <c r="G41" s="524">
        <f>ROUND((G46*$D$41),2)</f>
        <v>90.75</v>
      </c>
      <c r="H41" s="524">
        <f>ROUND((H46*$D$41),2)</f>
        <v>8.09</v>
      </c>
      <c r="I41" s="524">
        <f>ROUND((I46*$D$41),2)</f>
        <v>3.36</v>
      </c>
      <c r="J41" s="525">
        <f>ROUND((J46*$D$41),2)</f>
        <v>22.35</v>
      </c>
    </row>
    <row r="42" spans="1:12" ht="19.5" customHeight="1" x14ac:dyDescent="0.3">
      <c r="A42" s="832" t="str">
        <f>Dados!B59</f>
        <v>ISSQN 7.10 - Limpeza</v>
      </c>
      <c r="B42" s="832"/>
      <c r="C42" s="832"/>
      <c r="D42" s="551">
        <f>Dados!G59</f>
        <v>0.03</v>
      </c>
      <c r="E42" s="563"/>
      <c r="F42" s="524">
        <f>ROUND((F46*$D$42),2)</f>
        <v>203.58</v>
      </c>
      <c r="G42" s="524">
        <f>ROUND((G46*$D$42),2)</f>
        <v>165</v>
      </c>
      <c r="H42" s="524">
        <f>ROUND((H46*$D$42),2)</f>
        <v>14.71</v>
      </c>
      <c r="I42" s="524">
        <f>ROUND((I46*$D$42),2)</f>
        <v>6.1</v>
      </c>
      <c r="J42" s="525">
        <f>ROUND((J46*$D$42),2)</f>
        <v>40.630000000000003</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831.28000000000009</v>
      </c>
      <c r="G44" s="566">
        <f>SUM(G40:G43)</f>
        <v>673.74</v>
      </c>
      <c r="H44" s="566">
        <f>SUM(H40:H43)</f>
        <v>60.059999999999995</v>
      </c>
      <c r="I44" s="566">
        <f>SUM(I40:I43)</f>
        <v>24.92</v>
      </c>
      <c r="J44" s="567">
        <f>SUM(J40:J42)</f>
        <v>165.9</v>
      </c>
    </row>
    <row r="45" spans="1:12" ht="19.5" customHeight="1" x14ac:dyDescent="0.3">
      <c r="A45" s="834" t="str">
        <f>CONCATENATE("Custo Mensal - ",A7)</f>
        <v>Custo Mensal - Servente de Limpeza insalubridade (40%)</v>
      </c>
      <c r="B45" s="834"/>
      <c r="C45" s="834"/>
      <c r="D45" s="834"/>
      <c r="E45" s="834"/>
      <c r="F45" s="568">
        <f>ROUND(F38/(1-D44),2)</f>
        <v>6785.88</v>
      </c>
      <c r="G45" s="568">
        <f>ROUND(G38/(1-D44),2)</f>
        <v>5499.86</v>
      </c>
      <c r="H45" s="568">
        <f>ROUND(H38/(1-D44),2)</f>
        <v>490.31</v>
      </c>
      <c r="I45" s="568">
        <f>ROUND(I38/(1-D44),2)</f>
        <v>203.37</v>
      </c>
      <c r="J45" s="569">
        <f>ROUND(J38/(1-D44),2)</f>
        <v>1354.27</v>
      </c>
    </row>
    <row r="46" spans="1:12" ht="19.5" customHeight="1" x14ac:dyDescent="0.3">
      <c r="A46" s="834" t="str">
        <f>CONCATENATE("Valor do Custo Mensal - ",A7)</f>
        <v>Valor do Custo Mensal - Servente de Limpeza insalubridade (40%)</v>
      </c>
      <c r="B46" s="834"/>
      <c r="C46" s="834"/>
      <c r="D46" s="834"/>
      <c r="E46" s="834"/>
      <c r="F46" s="568">
        <f>F45</f>
        <v>6785.88</v>
      </c>
      <c r="G46" s="568">
        <f>G45</f>
        <v>5499.86</v>
      </c>
      <c r="H46" s="568">
        <f>H45</f>
        <v>490.31</v>
      </c>
      <c r="I46" s="568">
        <f>I45</f>
        <v>203.37</v>
      </c>
      <c r="J46" s="569">
        <f>J45</f>
        <v>1354.27</v>
      </c>
      <c r="K46" s="570"/>
      <c r="L46" s="570"/>
    </row>
    <row r="47" spans="1:12" ht="27.75" customHeight="1" x14ac:dyDescent="0.3">
      <c r="A47" s="835" t="s">
        <v>499</v>
      </c>
      <c r="B47" s="835"/>
      <c r="C47" s="835"/>
      <c r="D47" s="835"/>
      <c r="E47" s="835"/>
      <c r="F47" s="571">
        <f>(F46/F14)</f>
        <v>3.2215533611849598</v>
      </c>
      <c r="G47" s="571">
        <f>(G46/G14)</f>
        <v>2.6110235472844661</v>
      </c>
      <c r="H47" s="831" t="s">
        <v>500</v>
      </c>
      <c r="I47" s="831"/>
      <c r="J47" s="572">
        <f>ROUND((J46/30),2)</f>
        <v>45.14</v>
      </c>
    </row>
    <row r="48" spans="1:12" ht="19.5" customHeight="1" x14ac:dyDescent="0.3"/>
  </sheetData>
  <sheetProtection algorithmName="SHA-512" hashValue="9R4FF3sditS5wfNSSCv6Vnm/ko0JoiUCdVsalk6eEkQpC5/Gv7xTStW9nFvfp3sFKwqrqRWoqSjvNmZJfeNfyg==" saltValue="x9JsRbDfbepiK4M0to2ZfA=="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9">
    <tabColor theme="0" tint="-0.249977111117893"/>
  </sheetPr>
  <dimension ref="A1:AMJ48"/>
  <sheetViews>
    <sheetView showGridLines="0" zoomScaleNormal="100" workbookViewId="0"/>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Dados!C12</f>
        <v>Servente de Limpeza</v>
      </c>
      <c r="B7" s="859"/>
      <c r="C7" s="859"/>
      <c r="D7" s="859"/>
      <c r="E7" s="859"/>
      <c r="F7" s="860" t="s">
        <v>466</v>
      </c>
      <c r="G7" s="860" t="s">
        <v>467</v>
      </c>
      <c r="H7" s="860" t="s">
        <v>468</v>
      </c>
      <c r="I7" s="860" t="s">
        <v>469</v>
      </c>
      <c r="J7" s="860" t="s">
        <v>470</v>
      </c>
    </row>
    <row r="8" spans="1:10" ht="19.5" customHeight="1" x14ac:dyDescent="0.3">
      <c r="A8" s="861" t="s">
        <v>505</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19.5" customHeight="1" x14ac:dyDescent="0.3">
      <c r="A11" s="851">
        <v>1</v>
      </c>
      <c r="B11" s="853" t="str">
        <f>A7</f>
        <v>Servente de Limpeza</v>
      </c>
      <c r="C11" s="853"/>
      <c r="D11" s="522">
        <f>Dados!D12</f>
        <v>200</v>
      </c>
      <c r="E11" s="523">
        <f>Dados!E12</f>
        <v>1649.12</v>
      </c>
      <c r="F11" s="524">
        <f>ROUND(E11/220*D11,2)</f>
        <v>1499.2</v>
      </c>
      <c r="G11" s="524">
        <f>F11</f>
        <v>1499.2</v>
      </c>
      <c r="H11" s="524"/>
      <c r="I11" s="524"/>
      <c r="J11" s="525"/>
    </row>
    <row r="12" spans="1:10" ht="19.5" customHeight="1" x14ac:dyDescent="0.3">
      <c r="A12" s="851"/>
      <c r="B12" s="853" t="s">
        <v>476</v>
      </c>
      <c r="C12" s="853"/>
      <c r="D12" s="526">
        <f>Dados!G12</f>
        <v>0</v>
      </c>
      <c r="E12" s="523">
        <f>Dados!G33</f>
        <v>1518</v>
      </c>
      <c r="F12" s="524">
        <f>D12*E12</f>
        <v>0</v>
      </c>
      <c r="G12" s="524">
        <f>F12</f>
        <v>0</v>
      </c>
      <c r="H12" s="524"/>
      <c r="I12" s="524"/>
      <c r="J12" s="525">
        <f>F12</f>
        <v>0</v>
      </c>
    </row>
    <row r="13" spans="1:10" ht="21" customHeight="1" x14ac:dyDescent="0.3">
      <c r="A13" s="851"/>
      <c r="B13" s="527" t="s">
        <v>477</v>
      </c>
      <c r="C13" s="528">
        <f>Dados!I12</f>
        <v>0</v>
      </c>
      <c r="D13" s="528">
        <f>Dados!J12</f>
        <v>0</v>
      </c>
      <c r="E13" s="529">
        <f>Dados!K12</f>
        <v>0</v>
      </c>
      <c r="F13" s="530">
        <f>ROUND((E13*D13*C13),2)</f>
        <v>0</v>
      </c>
      <c r="G13" s="530">
        <f>F13</f>
        <v>0</v>
      </c>
      <c r="H13" s="530"/>
      <c r="I13" s="530"/>
      <c r="J13" s="531"/>
    </row>
    <row r="14" spans="1:10" ht="19.5" customHeight="1" x14ac:dyDescent="0.3">
      <c r="A14" s="851"/>
      <c r="B14" s="854" t="s">
        <v>478</v>
      </c>
      <c r="C14" s="854"/>
      <c r="D14" s="854"/>
      <c r="E14" s="854"/>
      <c r="F14" s="532">
        <f>SUM(F11:F13)</f>
        <v>1499.2</v>
      </c>
      <c r="G14" s="532">
        <f>SUM(G11:G13)</f>
        <v>1499.2</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1145.3900000000001</v>
      </c>
      <c r="G15" s="524">
        <f>F15</f>
        <v>1145.3900000000001</v>
      </c>
      <c r="H15" s="524"/>
      <c r="I15" s="524"/>
      <c r="J15" s="525">
        <f>ROUND((E15*J14),2)</f>
        <v>0</v>
      </c>
    </row>
    <row r="16" spans="1:10" ht="19.5" customHeight="1" x14ac:dyDescent="0.3">
      <c r="A16" s="845" t="s">
        <v>480</v>
      </c>
      <c r="B16" s="845"/>
      <c r="C16" s="845"/>
      <c r="D16" s="845"/>
      <c r="E16" s="845"/>
      <c r="F16" s="535">
        <f>SUM(F14:F15)</f>
        <v>2644.59</v>
      </c>
      <c r="G16" s="535">
        <f>SUM(G14:G15)</f>
        <v>2644.59</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Dados!N12</f>
        <v>27.83</v>
      </c>
      <c r="G19" s="524">
        <f>F19</f>
        <v>27.83</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160.85</v>
      </c>
      <c r="G22" s="524">
        <f>F22</f>
        <v>160.85</v>
      </c>
      <c r="H22" s="524"/>
      <c r="I22" s="524">
        <f>F22</f>
        <v>160.85</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Dados!T12</f>
        <v>4.9408333333333321</v>
      </c>
      <c r="G26" s="524">
        <f>F26</f>
        <v>4.9408333333333321</v>
      </c>
      <c r="H26" s="524"/>
      <c r="I26" s="543"/>
      <c r="J26" s="525"/>
    </row>
    <row r="27" spans="1:12" ht="19.5" customHeight="1" x14ac:dyDescent="0.3">
      <c r="A27" s="832" t="s">
        <v>486</v>
      </c>
      <c r="B27" s="832"/>
      <c r="C27" s="540"/>
      <c r="D27" s="541"/>
      <c r="E27" s="541"/>
      <c r="F27" s="524">
        <f>Dados!O12</f>
        <v>1017.12</v>
      </c>
      <c r="G27" s="524"/>
      <c r="H27" s="524"/>
      <c r="I27" s="524"/>
      <c r="J27" s="525"/>
      <c r="L27" s="544"/>
    </row>
    <row r="28" spans="1:12" ht="19.5" customHeight="1" x14ac:dyDescent="0.3">
      <c r="A28" s="538" t="s">
        <v>487</v>
      </c>
      <c r="B28" s="545"/>
      <c r="C28" s="540"/>
      <c r="D28" s="541"/>
      <c r="E28" s="541"/>
      <c r="F28" s="524">
        <f>Dados!R12</f>
        <v>0</v>
      </c>
      <c r="G28" s="524"/>
      <c r="H28" s="524"/>
      <c r="I28" s="524"/>
      <c r="J28" s="525"/>
    </row>
    <row r="29" spans="1:12" ht="19.5" customHeight="1" x14ac:dyDescent="0.3">
      <c r="A29" s="843" t="s">
        <v>488</v>
      </c>
      <c r="B29" s="843"/>
      <c r="C29" s="546"/>
      <c r="D29" s="547"/>
      <c r="E29" s="547"/>
      <c r="F29" s="530">
        <f>Dados!U12</f>
        <v>4.5447377622377623</v>
      </c>
      <c r="G29" s="530">
        <f>F29</f>
        <v>4.5447377622377623</v>
      </c>
      <c r="H29" s="530"/>
      <c r="I29" s="530"/>
      <c r="J29" s="531"/>
    </row>
    <row r="30" spans="1:12" ht="19.5" customHeight="1" x14ac:dyDescent="0.3">
      <c r="A30" s="838" t="s">
        <v>489</v>
      </c>
      <c r="B30" s="838"/>
      <c r="C30" s="838"/>
      <c r="D30" s="838"/>
      <c r="E30" s="838"/>
      <c r="F30" s="535">
        <f>SUM(F19:F29)</f>
        <v>1651.3155710955712</v>
      </c>
      <c r="G30" s="535">
        <f>SUM(G19:G29)</f>
        <v>634.19557109557115</v>
      </c>
      <c r="H30" s="535">
        <f>SUM(H19:H29)</f>
        <v>387.79</v>
      </c>
      <c r="I30" s="535">
        <f>SUM(I19:I29)</f>
        <v>160.85</v>
      </c>
      <c r="J30" s="536">
        <f>SUM(J19:J29)</f>
        <v>0</v>
      </c>
    </row>
    <row r="31" spans="1:12" ht="19.5" customHeight="1" x14ac:dyDescent="0.3">
      <c r="A31" s="838" t="s">
        <v>490</v>
      </c>
      <c r="B31" s="838"/>
      <c r="C31" s="838"/>
      <c r="D31" s="838"/>
      <c r="E31" s="838"/>
      <c r="F31" s="535">
        <f>F16+F30</f>
        <v>4295.9055710955708</v>
      </c>
      <c r="G31" s="535">
        <f>G16+G30</f>
        <v>3278.7855710955714</v>
      </c>
      <c r="H31" s="535">
        <f>H16+H30</f>
        <v>387.79</v>
      </c>
      <c r="I31" s="535">
        <f>I16+I30</f>
        <v>160.85</v>
      </c>
      <c r="J31" s="536">
        <f>J16+J30</f>
        <v>0</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300.70999999999998</v>
      </c>
      <c r="G34" s="524">
        <f>ROUND((G31*$D$34),2)</f>
        <v>229.51</v>
      </c>
      <c r="H34" s="524">
        <f>ROUND((H31*$D$34),2)</f>
        <v>27.15</v>
      </c>
      <c r="I34" s="524">
        <f>ROUND((I31*$D$34),2)</f>
        <v>11.26</v>
      </c>
      <c r="J34" s="525">
        <f>ROUND((J31*$D$34),2)</f>
        <v>0</v>
      </c>
    </row>
    <row r="35" spans="1:12" ht="19.5" customHeight="1" x14ac:dyDescent="0.3">
      <c r="A35" s="842" t="s">
        <v>494</v>
      </c>
      <c r="B35" s="842"/>
      <c r="C35" s="842"/>
      <c r="D35" s="551"/>
      <c r="E35" s="552"/>
      <c r="F35" s="524">
        <f>F31+F34</f>
        <v>4596.6155710955709</v>
      </c>
      <c r="G35" s="524">
        <f>G31+G34</f>
        <v>3508.2955710955712</v>
      </c>
      <c r="H35" s="524">
        <f>H31+H34</f>
        <v>414.94</v>
      </c>
      <c r="I35" s="524">
        <f>I31+I34</f>
        <v>172.10999999999999</v>
      </c>
      <c r="J35" s="525">
        <f>J31+J34</f>
        <v>0</v>
      </c>
    </row>
    <row r="36" spans="1:12" ht="19.5" customHeight="1" x14ac:dyDescent="0.3">
      <c r="A36" s="553" t="s">
        <v>212</v>
      </c>
      <c r="B36" s="554"/>
      <c r="C36" s="554"/>
      <c r="D36" s="555">
        <f>Dados!$G$50</f>
        <v>3.6900000000000002E-2</v>
      </c>
      <c r="E36" s="556"/>
      <c r="F36" s="530">
        <f>ROUND((F35*$D$36),2)</f>
        <v>169.62</v>
      </c>
      <c r="G36" s="530">
        <f>ROUND((G35*$D$36),2)</f>
        <v>129.46</v>
      </c>
      <c r="H36" s="530">
        <f>ROUND((H35*$D$36),2)</f>
        <v>15.31</v>
      </c>
      <c r="I36" s="530">
        <f>ROUND((I35*$D$36),2)</f>
        <v>6.35</v>
      </c>
      <c r="J36" s="531">
        <f>ROUND((J35*$D$36),2)</f>
        <v>0</v>
      </c>
    </row>
    <row r="37" spans="1:12" ht="19.5" customHeight="1" x14ac:dyDescent="0.3">
      <c r="A37" s="557" t="s">
        <v>495</v>
      </c>
      <c r="B37" s="558"/>
      <c r="C37" s="558"/>
      <c r="D37" s="559">
        <f>SUM(D34:D36)</f>
        <v>0.10690000000000001</v>
      </c>
      <c r="E37" s="560"/>
      <c r="F37" s="535">
        <f>F34+F36</f>
        <v>470.33</v>
      </c>
      <c r="G37" s="535">
        <f>G34+G36</f>
        <v>358.97</v>
      </c>
      <c r="H37" s="535">
        <f>H34+H36</f>
        <v>42.46</v>
      </c>
      <c r="I37" s="535">
        <f>I34+I36</f>
        <v>17.61</v>
      </c>
      <c r="J37" s="536">
        <f>J34+J36</f>
        <v>0</v>
      </c>
    </row>
    <row r="38" spans="1:12" ht="19.5" customHeight="1" x14ac:dyDescent="0.3">
      <c r="A38" s="836" t="s">
        <v>496</v>
      </c>
      <c r="B38" s="836"/>
      <c r="C38" s="836"/>
      <c r="D38" s="836"/>
      <c r="E38" s="836"/>
      <c r="F38" s="561">
        <f>F31+F37</f>
        <v>4766.2355710955708</v>
      </c>
      <c r="G38" s="561">
        <f>G31+G37</f>
        <v>3637.7555710955712</v>
      </c>
      <c r="H38" s="561">
        <f>H31+H37</f>
        <v>430.25</v>
      </c>
      <c r="I38" s="561">
        <f>I31+I37</f>
        <v>178.45999999999998</v>
      </c>
      <c r="J38" s="562">
        <f>J31+J37</f>
        <v>0</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412.8</v>
      </c>
      <c r="G40" s="524">
        <f>ROUND((G46*$D$40),2)</f>
        <v>315.06</v>
      </c>
      <c r="H40" s="524">
        <f>ROUND((H46*$D$40),2)</f>
        <v>37.26</v>
      </c>
      <c r="I40" s="524">
        <f>ROUND((I46*$D$40),2)</f>
        <v>15.46</v>
      </c>
      <c r="J40" s="525">
        <f>ROUND((J46*$D$40),2)</f>
        <v>0</v>
      </c>
    </row>
    <row r="41" spans="1:12" ht="19.5" customHeight="1" x14ac:dyDescent="0.3">
      <c r="A41" s="832" t="s">
        <v>220</v>
      </c>
      <c r="B41" s="832"/>
      <c r="C41" s="832"/>
      <c r="D41" s="551">
        <f>Dados!G58</f>
        <v>1.6500000000000001E-2</v>
      </c>
      <c r="E41" s="563"/>
      <c r="F41" s="524">
        <f>ROUND((F46*$D$41),2)</f>
        <v>89.62</v>
      </c>
      <c r="G41" s="524">
        <f>ROUND((G46*$D$41),2)</f>
        <v>68.400000000000006</v>
      </c>
      <c r="H41" s="524">
        <f>ROUND((H46*$D$41),2)</f>
        <v>8.09</v>
      </c>
      <c r="I41" s="524">
        <f>ROUND((I46*$D$41),2)</f>
        <v>3.36</v>
      </c>
      <c r="J41" s="525">
        <f>ROUND((J46*$D$41),2)</f>
        <v>0</v>
      </c>
    </row>
    <row r="42" spans="1:12" ht="19.5" customHeight="1" x14ac:dyDescent="0.3">
      <c r="A42" s="832" t="str">
        <f>Dados!B59</f>
        <v>ISSQN 7.10 - Limpeza</v>
      </c>
      <c r="B42" s="832"/>
      <c r="C42" s="832"/>
      <c r="D42" s="551">
        <f>Dados!G59</f>
        <v>0.03</v>
      </c>
      <c r="E42" s="563"/>
      <c r="F42" s="524">
        <f>ROUND((F46*$D$42),2)</f>
        <v>162.94999999999999</v>
      </c>
      <c r="G42" s="524">
        <f>ROUND((G46*$D$42),2)</f>
        <v>124.37</v>
      </c>
      <c r="H42" s="524">
        <f>ROUND((H46*$D$42),2)</f>
        <v>14.71</v>
      </c>
      <c r="I42" s="524">
        <f>ROUND((I46*$D$42),2)</f>
        <v>6.1</v>
      </c>
      <c r="J42" s="525">
        <f>ROUND((J46*$D$42),2)</f>
        <v>0</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665.37</v>
      </c>
      <c r="G44" s="566">
        <f>SUM(G40:G43)</f>
        <v>507.83000000000004</v>
      </c>
      <c r="H44" s="566">
        <f>SUM(H40:H43)</f>
        <v>60.059999999999995</v>
      </c>
      <c r="I44" s="566">
        <f>SUM(I40:I43)</f>
        <v>24.92</v>
      </c>
      <c r="J44" s="567">
        <f>SUM(J40:J42)</f>
        <v>0</v>
      </c>
    </row>
    <row r="45" spans="1:12" ht="19.5" customHeight="1" x14ac:dyDescent="0.3">
      <c r="A45" s="834" t="str">
        <f>CONCATENATE("Custo Mensal - ",A7)</f>
        <v>Custo Mensal - Servente de Limpeza</v>
      </c>
      <c r="B45" s="834"/>
      <c r="C45" s="834"/>
      <c r="D45" s="834"/>
      <c r="E45" s="834"/>
      <c r="F45" s="568">
        <f>ROUND(F38/(1-D44),2)</f>
        <v>5431.61</v>
      </c>
      <c r="G45" s="568">
        <f>ROUND(G38/(1-D44),2)</f>
        <v>4145.59</v>
      </c>
      <c r="H45" s="568">
        <f>ROUND(H38/(1-D44),2)</f>
        <v>490.31</v>
      </c>
      <c r="I45" s="568">
        <f>ROUND(I38/(1-D44),2)</f>
        <v>203.37</v>
      </c>
      <c r="J45" s="569">
        <f>ROUND(J38/(1-D44),2)</f>
        <v>0</v>
      </c>
    </row>
    <row r="46" spans="1:12" ht="19.5" customHeight="1" x14ac:dyDescent="0.3">
      <c r="A46" s="834" t="str">
        <f>CONCATENATE("Valor do Custo Mensal - ",A7)</f>
        <v>Valor do Custo Mensal - Servente de Limpeza</v>
      </c>
      <c r="B46" s="834"/>
      <c r="C46" s="834"/>
      <c r="D46" s="834"/>
      <c r="E46" s="834"/>
      <c r="F46" s="568">
        <f>F45</f>
        <v>5431.61</v>
      </c>
      <c r="G46" s="568">
        <f>G45</f>
        <v>4145.59</v>
      </c>
      <c r="H46" s="568">
        <f>H45</f>
        <v>490.31</v>
      </c>
      <c r="I46" s="568">
        <f>I45</f>
        <v>203.37</v>
      </c>
      <c r="J46" s="569">
        <f>J45</f>
        <v>0</v>
      </c>
      <c r="K46" s="570"/>
      <c r="L46" s="570"/>
    </row>
    <row r="47" spans="1:12" ht="27.75" customHeight="1" x14ac:dyDescent="0.3">
      <c r="A47" s="835" t="s">
        <v>499</v>
      </c>
      <c r="B47" s="835"/>
      <c r="C47" s="835"/>
      <c r="D47" s="835"/>
      <c r="E47" s="835"/>
      <c r="F47" s="571">
        <f>(F46/F14)</f>
        <v>3.6230056029882602</v>
      </c>
      <c r="G47" s="571">
        <f>(G46/G14)</f>
        <v>2.76520144076841</v>
      </c>
      <c r="H47" s="831" t="s">
        <v>500</v>
      </c>
      <c r="I47" s="831"/>
      <c r="J47" s="572">
        <v>0</v>
      </c>
    </row>
    <row r="48" spans="1:12" ht="19.5" customHeight="1" x14ac:dyDescent="0.3"/>
  </sheetData>
  <sheetProtection algorithmName="SHA-512" hashValue="riGXlWv1KbIlYB6TtlhmowbeqzOXIfievhYWwcyhZhpJ0tB6V34HMx4Wo6jnraT4PyGOLWiqf8l8cfXVQvB3eQ==" saltValue="XSO4kEGJJGNBGOgBvoB+Vg=="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theme="1"/>
    <pageSetUpPr fitToPage="1"/>
  </sheetPr>
  <dimension ref="A1:AMJ82"/>
  <sheetViews>
    <sheetView showGridLines="0" zoomScaleNormal="100" workbookViewId="0">
      <selection activeCell="F2" sqref="F2"/>
    </sheetView>
  </sheetViews>
  <sheetFormatPr defaultColWidth="9.109375" defaultRowHeight="14.4" x14ac:dyDescent="0.3"/>
  <cols>
    <col min="1" max="1" width="6.33203125" style="2" customWidth="1"/>
    <col min="2" max="2" width="8.6640625" style="3" customWidth="1"/>
    <col min="3" max="3" width="4" style="4" customWidth="1"/>
    <col min="4" max="23" width="9.109375" style="4"/>
    <col min="24" max="24" width="10.6640625" style="4" customWidth="1"/>
    <col min="25" max="256" width="9.109375" style="4"/>
    <col min="257" max="257" width="4.5546875" style="4" customWidth="1"/>
    <col min="258" max="258" width="11.109375" style="4" customWidth="1"/>
    <col min="259" max="259" width="4" style="4" customWidth="1"/>
    <col min="260" max="512" width="9.109375" style="4"/>
    <col min="513" max="513" width="4.5546875" style="4" customWidth="1"/>
    <col min="514" max="514" width="11.109375" style="4" customWidth="1"/>
    <col min="515" max="515" width="4" style="4" customWidth="1"/>
    <col min="516" max="768" width="9.109375" style="4"/>
    <col min="769" max="769" width="4.5546875" style="4" customWidth="1"/>
    <col min="770" max="770" width="11.109375" style="4" customWidth="1"/>
    <col min="771" max="771" width="4" style="4" customWidth="1"/>
    <col min="772" max="1024" width="9.109375" style="4"/>
  </cols>
  <sheetData>
    <row r="1" spans="1:1024" x14ac:dyDescent="0.3">
      <c r="A1" s="5"/>
      <c r="B1" s="6" t="s">
        <v>0</v>
      </c>
    </row>
    <row r="2" spans="1:1024" x14ac:dyDescent="0.3">
      <c r="A2" s="7"/>
      <c r="B2" s="8" t="s">
        <v>1</v>
      </c>
    </row>
    <row r="3" spans="1:1024" x14ac:dyDescent="0.3">
      <c r="A3" s="7"/>
      <c r="B3" s="9" t="s">
        <v>712</v>
      </c>
    </row>
    <row r="4" spans="1:1024" s="10" customFormat="1" ht="15.6" x14ac:dyDescent="0.3">
      <c r="A4" s="737" t="s">
        <v>2</v>
      </c>
      <c r="B4" s="737"/>
      <c r="C4" s="737"/>
      <c r="D4" s="737"/>
      <c r="E4" s="737"/>
      <c r="F4" s="737"/>
      <c r="G4" s="737"/>
      <c r="H4" s="737"/>
      <c r="I4" s="737"/>
      <c r="J4" s="737"/>
      <c r="K4" s="737"/>
      <c r="L4" s="737"/>
      <c r="M4" s="737"/>
      <c r="N4" s="737"/>
      <c r="O4" s="737"/>
      <c r="P4" s="737"/>
      <c r="Q4" s="737"/>
      <c r="R4" s="737"/>
      <c r="S4" s="737"/>
      <c r="T4" s="737"/>
      <c r="U4" s="737"/>
      <c r="V4" s="737"/>
      <c r="W4" s="737"/>
      <c r="X4" s="737"/>
    </row>
    <row r="5" spans="1:1024" ht="12" customHeight="1" x14ac:dyDescent="0.3"/>
    <row r="6" spans="1:1024" x14ac:dyDescent="0.3">
      <c r="A6" s="11" t="s">
        <v>3</v>
      </c>
      <c r="B6" s="12" t="s">
        <v>4</v>
      </c>
    </row>
    <row r="7" spans="1:1024" ht="7.5" customHeight="1" x14ac:dyDescent="0.3"/>
    <row r="8" spans="1:1024" x14ac:dyDescent="0.3">
      <c r="B8" s="13"/>
      <c r="C8" s="3" t="s">
        <v>5</v>
      </c>
    </row>
    <row r="10" spans="1:1024" x14ac:dyDescent="0.3">
      <c r="A10" s="11" t="s">
        <v>6</v>
      </c>
      <c r="B10" s="3" t="s">
        <v>7</v>
      </c>
    </row>
    <row r="12" spans="1:1024" x14ac:dyDescent="0.3">
      <c r="A12" s="11" t="s">
        <v>8</v>
      </c>
      <c r="B12" s="3" t="s">
        <v>9</v>
      </c>
    </row>
    <row r="13" spans="1:1024" x14ac:dyDescent="0.3">
      <c r="A13" s="11"/>
      <c r="B13" s="3" t="s">
        <v>10</v>
      </c>
    </row>
    <row r="14" spans="1:1024" ht="17.25" customHeight="1" x14ac:dyDescent="0.3">
      <c r="A14" s="11"/>
      <c r="B14" s="14" t="s">
        <v>11</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c r="ALY14" s="15"/>
      <c r="ALZ14" s="15"/>
      <c r="AMA14" s="15"/>
      <c r="AMB14" s="15"/>
      <c r="AMC14" s="15"/>
      <c r="AMD14" s="15"/>
      <c r="AME14" s="15"/>
      <c r="AMF14" s="15"/>
      <c r="AMG14" s="15"/>
      <c r="AMH14" s="15"/>
      <c r="AMI14" s="15"/>
      <c r="AMJ14" s="15"/>
    </row>
    <row r="15" spans="1:1024" ht="7.5" customHeight="1" x14ac:dyDescent="0.3"/>
    <row r="16" spans="1:1024" x14ac:dyDescent="0.3">
      <c r="B16" s="16" t="s">
        <v>12</v>
      </c>
      <c r="C16" s="17" t="s">
        <v>13</v>
      </c>
      <c r="D16" s="17"/>
      <c r="E16" s="17"/>
      <c r="F16" s="17"/>
      <c r="G16" s="17"/>
    </row>
    <row r="18" spans="3:4" x14ac:dyDescent="0.3">
      <c r="C18" s="18" t="s">
        <v>14</v>
      </c>
      <c r="D18" s="18" t="s">
        <v>15</v>
      </c>
    </row>
    <row r="19" spans="3:4" x14ac:dyDescent="0.3">
      <c r="D19" s="4" t="s">
        <v>724</v>
      </c>
    </row>
    <row r="20" spans="3:4" x14ac:dyDescent="0.3">
      <c r="D20" s="4" t="s">
        <v>725</v>
      </c>
    </row>
    <row r="21" spans="3:4" x14ac:dyDescent="0.3">
      <c r="C21" s="18"/>
      <c r="D21" s="4" t="s">
        <v>726</v>
      </c>
    </row>
    <row r="22" spans="3:4" x14ac:dyDescent="0.3">
      <c r="D22" s="4" t="s">
        <v>727</v>
      </c>
    </row>
    <row r="23" spans="3:4" x14ac:dyDescent="0.3">
      <c r="D23" s="4" t="s">
        <v>728</v>
      </c>
    </row>
    <row r="24" spans="3:4" x14ac:dyDescent="0.3">
      <c r="D24" s="4" t="s">
        <v>729</v>
      </c>
    </row>
    <row r="25" spans="3:4" x14ac:dyDescent="0.3">
      <c r="D25" s="4" t="s">
        <v>730</v>
      </c>
    </row>
    <row r="26" spans="3:4" x14ac:dyDescent="0.3">
      <c r="D26" s="4" t="s">
        <v>731</v>
      </c>
    </row>
    <row r="27" spans="3:4" x14ac:dyDescent="0.3">
      <c r="D27" s="4" t="s">
        <v>732</v>
      </c>
    </row>
    <row r="28" spans="3:4" x14ac:dyDescent="0.3">
      <c r="D28" s="4" t="s">
        <v>733</v>
      </c>
    </row>
    <row r="29" spans="3:4" x14ac:dyDescent="0.3">
      <c r="D29" s="4" t="s">
        <v>734</v>
      </c>
    </row>
    <row r="30" spans="3:4" x14ac:dyDescent="0.3">
      <c r="D30" s="4" t="s">
        <v>735</v>
      </c>
    </row>
    <row r="31" spans="3:4" x14ac:dyDescent="0.3">
      <c r="D31" s="4" t="s">
        <v>736</v>
      </c>
    </row>
    <row r="32" spans="3:4" x14ac:dyDescent="0.3">
      <c r="D32" s="4" t="s">
        <v>754</v>
      </c>
    </row>
    <row r="33" spans="3:8" x14ac:dyDescent="0.3">
      <c r="D33" s="4" t="s">
        <v>737</v>
      </c>
    </row>
    <row r="34" spans="3:8" x14ac:dyDescent="0.3">
      <c r="D34" s="4" t="s">
        <v>738</v>
      </c>
    </row>
    <row r="35" spans="3:8" x14ac:dyDescent="0.3">
      <c r="D35" s="4" t="s">
        <v>739</v>
      </c>
    </row>
    <row r="36" spans="3:8" x14ac:dyDescent="0.3">
      <c r="D36" s="4" t="s">
        <v>740</v>
      </c>
    </row>
    <row r="37" spans="3:8" x14ac:dyDescent="0.3">
      <c r="D37" s="4" t="s">
        <v>741</v>
      </c>
    </row>
    <row r="38" spans="3:8" x14ac:dyDescent="0.3">
      <c r="D38" s="4" t="s">
        <v>742</v>
      </c>
    </row>
    <row r="39" spans="3:8" x14ac:dyDescent="0.3">
      <c r="D39" s="4" t="s">
        <v>743</v>
      </c>
    </row>
    <row r="40" spans="3:8" x14ac:dyDescent="0.3">
      <c r="D40" s="4" t="s">
        <v>744</v>
      </c>
    </row>
    <row r="41" spans="3:8" x14ac:dyDescent="0.3">
      <c r="D41" s="4" t="s">
        <v>745</v>
      </c>
    </row>
    <row r="42" spans="3:8" x14ac:dyDescent="0.3">
      <c r="D42" s="4" t="s">
        <v>746</v>
      </c>
    </row>
    <row r="43" spans="3:8" x14ac:dyDescent="0.3">
      <c r="D43" s="17" t="s">
        <v>16</v>
      </c>
      <c r="E43" s="17"/>
      <c r="F43" s="17"/>
      <c r="G43" s="17"/>
      <c r="H43" s="17"/>
    </row>
    <row r="45" spans="3:8" x14ac:dyDescent="0.3">
      <c r="C45" s="18" t="s">
        <v>17</v>
      </c>
      <c r="D45" s="18" t="s">
        <v>18</v>
      </c>
    </row>
    <row r="46" spans="3:8" x14ac:dyDescent="0.3">
      <c r="D46" s="4" t="s">
        <v>19</v>
      </c>
    </row>
    <row r="47" spans="3:8" x14ac:dyDescent="0.3">
      <c r="D47" s="4" t="s">
        <v>20</v>
      </c>
    </row>
    <row r="48" spans="3:8" x14ac:dyDescent="0.3">
      <c r="D48" s="17" t="s">
        <v>16</v>
      </c>
      <c r="E48" s="17"/>
      <c r="F48" s="17"/>
      <c r="G48" s="17"/>
      <c r="H48" s="17"/>
    </row>
    <row r="50" spans="3:8" x14ac:dyDescent="0.3">
      <c r="C50" s="18" t="s">
        <v>21</v>
      </c>
      <c r="D50" s="18" t="s">
        <v>747</v>
      </c>
    </row>
    <row r="51" spans="3:8" x14ac:dyDescent="0.3">
      <c r="D51" s="4" t="s">
        <v>22</v>
      </c>
    </row>
    <row r="52" spans="3:8" x14ac:dyDescent="0.3">
      <c r="D52" s="4" t="s">
        <v>23</v>
      </c>
    </row>
    <row r="53" spans="3:8" x14ac:dyDescent="0.3">
      <c r="E53" s="4" t="s">
        <v>748</v>
      </c>
    </row>
    <row r="54" spans="3:8" x14ac:dyDescent="0.3">
      <c r="E54" s="19" t="s">
        <v>749</v>
      </c>
    </row>
    <row r="55" spans="3:8" x14ac:dyDescent="0.3">
      <c r="E55" s="19" t="s">
        <v>750</v>
      </c>
    </row>
    <row r="56" spans="3:8" x14ac:dyDescent="0.3">
      <c r="E56" s="19" t="s">
        <v>751</v>
      </c>
    </row>
    <row r="57" spans="3:8" x14ac:dyDescent="0.3">
      <c r="D57" s="4" t="s">
        <v>24</v>
      </c>
    </row>
    <row r="58" spans="3:8" x14ac:dyDescent="0.3">
      <c r="D58" s="17" t="s">
        <v>16</v>
      </c>
      <c r="E58" s="17"/>
      <c r="F58" s="17"/>
      <c r="G58" s="17"/>
      <c r="H58" s="17"/>
    </row>
    <row r="60" spans="3:8" x14ac:dyDescent="0.3">
      <c r="C60" s="18" t="s">
        <v>25</v>
      </c>
      <c r="D60" s="18" t="s">
        <v>26</v>
      </c>
    </row>
    <row r="61" spans="3:8" x14ac:dyDescent="0.3">
      <c r="D61" s="4" t="s">
        <v>27</v>
      </c>
    </row>
    <row r="62" spans="3:8" x14ac:dyDescent="0.3">
      <c r="D62" s="17" t="s">
        <v>16</v>
      </c>
      <c r="E62" s="17"/>
      <c r="F62" s="17"/>
      <c r="G62" s="17"/>
      <c r="H62" s="17"/>
    </row>
    <row r="64" spans="3:8" x14ac:dyDescent="0.3">
      <c r="C64" s="18" t="s">
        <v>28</v>
      </c>
      <c r="D64" s="18" t="s">
        <v>29</v>
      </c>
    </row>
    <row r="65" spans="1:1024" x14ac:dyDescent="0.3">
      <c r="D65" s="4" t="s">
        <v>30</v>
      </c>
    </row>
    <row r="66" spans="1:1024" s="15" customFormat="1" ht="13.8" x14ac:dyDescent="0.3">
      <c r="A66" s="2"/>
      <c r="B66" s="3"/>
      <c r="C66" s="4"/>
      <c r="D66" s="4" t="s">
        <v>31</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c r="UL66" s="4"/>
      <c r="UM66" s="4"/>
      <c r="UN66" s="4"/>
      <c r="UO66" s="4"/>
      <c r="UP66" s="4"/>
      <c r="UQ66" s="4"/>
      <c r="UR66" s="4"/>
      <c r="US66" s="4"/>
      <c r="UT66" s="4"/>
      <c r="UU66" s="4"/>
      <c r="UV66" s="4"/>
      <c r="UW66" s="4"/>
      <c r="UX66" s="4"/>
      <c r="UY66" s="4"/>
      <c r="UZ66" s="4"/>
      <c r="VA66" s="4"/>
      <c r="VB66" s="4"/>
      <c r="VC66" s="4"/>
      <c r="VD66" s="4"/>
      <c r="VE66" s="4"/>
      <c r="VF66" s="4"/>
      <c r="VG66" s="4"/>
      <c r="VH66" s="4"/>
      <c r="VI66" s="4"/>
      <c r="VJ66" s="4"/>
      <c r="VK66" s="4"/>
      <c r="VL66" s="4"/>
      <c r="VM66" s="4"/>
      <c r="VN66" s="4"/>
      <c r="VO66" s="4"/>
      <c r="VP66" s="4"/>
      <c r="VQ66" s="4"/>
      <c r="VR66" s="4"/>
      <c r="VS66" s="4"/>
      <c r="VT66" s="4"/>
      <c r="VU66" s="4"/>
      <c r="VV66" s="4"/>
      <c r="VW66" s="4"/>
      <c r="VX66" s="4"/>
      <c r="VY66" s="4"/>
      <c r="VZ66" s="4"/>
      <c r="WA66" s="4"/>
      <c r="WB66" s="4"/>
      <c r="WC66" s="4"/>
      <c r="WD66" s="4"/>
      <c r="WE66" s="4"/>
      <c r="WF66" s="4"/>
      <c r="WG66" s="4"/>
      <c r="WH66" s="4"/>
      <c r="WI66" s="4"/>
      <c r="WJ66" s="4"/>
      <c r="WK66" s="4"/>
      <c r="WL66" s="4"/>
      <c r="WM66" s="4"/>
      <c r="WN66" s="4"/>
      <c r="WO66" s="4"/>
      <c r="WP66" s="4"/>
      <c r="WQ66" s="4"/>
      <c r="WR66" s="4"/>
      <c r="WS66" s="4"/>
      <c r="WT66" s="4"/>
      <c r="WU66" s="4"/>
      <c r="WV66" s="4"/>
      <c r="WW66" s="4"/>
      <c r="WX66" s="4"/>
      <c r="WY66" s="4"/>
      <c r="WZ66" s="4"/>
      <c r="XA66" s="4"/>
      <c r="XB66" s="4"/>
      <c r="XC66" s="4"/>
      <c r="XD66" s="4"/>
      <c r="XE66" s="4"/>
      <c r="XF66" s="4"/>
      <c r="XG66" s="4"/>
      <c r="XH66" s="4"/>
      <c r="XI66" s="4"/>
      <c r="XJ66" s="4"/>
      <c r="XK66" s="4"/>
      <c r="XL66" s="4"/>
      <c r="XM66" s="4"/>
      <c r="XN66" s="4"/>
      <c r="XO66" s="4"/>
      <c r="XP66" s="4"/>
      <c r="XQ66" s="4"/>
      <c r="XR66" s="4"/>
      <c r="XS66" s="4"/>
      <c r="XT66" s="4"/>
      <c r="XU66" s="4"/>
      <c r="XV66" s="4"/>
      <c r="XW66" s="4"/>
      <c r="XX66" s="4"/>
      <c r="XY66" s="4"/>
      <c r="XZ66" s="4"/>
      <c r="YA66" s="4"/>
      <c r="YB66" s="4"/>
      <c r="YC66" s="4"/>
      <c r="YD66" s="4"/>
      <c r="YE66" s="4"/>
      <c r="YF66" s="4"/>
      <c r="YG66" s="4"/>
      <c r="YH66" s="4"/>
      <c r="YI66" s="4"/>
      <c r="YJ66" s="4"/>
      <c r="YK66" s="4"/>
      <c r="YL66" s="4"/>
      <c r="YM66" s="4"/>
      <c r="YN66" s="4"/>
      <c r="YO66" s="4"/>
      <c r="YP66" s="4"/>
      <c r="YQ66" s="4"/>
      <c r="YR66" s="4"/>
      <c r="YS66" s="4"/>
      <c r="YT66" s="4"/>
      <c r="YU66" s="4"/>
      <c r="YV66" s="4"/>
      <c r="YW66" s="4"/>
      <c r="YX66" s="4"/>
      <c r="YY66" s="4"/>
      <c r="YZ66" s="4"/>
      <c r="ZA66" s="4"/>
      <c r="ZB66" s="4"/>
      <c r="ZC66" s="4"/>
      <c r="ZD66" s="4"/>
      <c r="ZE66" s="4"/>
      <c r="ZF66" s="4"/>
      <c r="ZG66" s="4"/>
      <c r="ZH66" s="4"/>
      <c r="ZI66" s="4"/>
      <c r="ZJ66" s="4"/>
      <c r="ZK66" s="4"/>
      <c r="ZL66" s="4"/>
      <c r="ZM66" s="4"/>
      <c r="ZN66" s="4"/>
      <c r="ZO66" s="4"/>
      <c r="ZP66" s="4"/>
      <c r="ZQ66" s="4"/>
      <c r="ZR66" s="4"/>
      <c r="ZS66" s="4"/>
      <c r="ZT66" s="4"/>
      <c r="ZU66" s="4"/>
      <c r="ZV66" s="4"/>
      <c r="ZW66" s="4"/>
      <c r="ZX66" s="4"/>
      <c r="ZY66" s="4"/>
      <c r="ZZ66" s="4"/>
      <c r="AAA66" s="4"/>
      <c r="AAB66" s="4"/>
      <c r="AAC66" s="4"/>
      <c r="AAD66" s="4"/>
      <c r="AAE66" s="4"/>
      <c r="AAF66" s="4"/>
      <c r="AAG66" s="4"/>
      <c r="AAH66" s="4"/>
      <c r="AAI66" s="4"/>
      <c r="AAJ66" s="4"/>
      <c r="AAK66" s="4"/>
      <c r="AAL66" s="4"/>
      <c r="AAM66" s="4"/>
      <c r="AAN66" s="4"/>
      <c r="AAO66" s="4"/>
      <c r="AAP66" s="4"/>
      <c r="AAQ66" s="4"/>
      <c r="AAR66" s="4"/>
      <c r="AAS66" s="4"/>
      <c r="AAT66" s="4"/>
      <c r="AAU66" s="4"/>
      <c r="AAV66" s="4"/>
      <c r="AAW66" s="4"/>
      <c r="AAX66" s="4"/>
      <c r="AAY66" s="4"/>
      <c r="AAZ66" s="4"/>
      <c r="ABA66" s="4"/>
      <c r="ABB66" s="4"/>
      <c r="ABC66" s="4"/>
      <c r="ABD66" s="4"/>
      <c r="ABE66" s="4"/>
      <c r="ABF66" s="4"/>
      <c r="ABG66" s="4"/>
      <c r="ABH66" s="4"/>
      <c r="ABI66" s="4"/>
      <c r="ABJ66" s="4"/>
      <c r="ABK66" s="4"/>
      <c r="ABL66" s="4"/>
      <c r="ABM66" s="4"/>
      <c r="ABN66" s="4"/>
      <c r="ABO66" s="4"/>
      <c r="ABP66" s="4"/>
      <c r="ABQ66" s="4"/>
      <c r="ABR66" s="4"/>
      <c r="ABS66" s="4"/>
      <c r="ABT66" s="4"/>
      <c r="ABU66" s="4"/>
      <c r="ABV66" s="4"/>
      <c r="ABW66" s="4"/>
      <c r="ABX66" s="4"/>
      <c r="ABY66" s="4"/>
      <c r="ABZ66" s="4"/>
      <c r="ACA66" s="4"/>
      <c r="ACB66" s="4"/>
      <c r="ACC66" s="4"/>
      <c r="ACD66" s="4"/>
      <c r="ACE66" s="4"/>
      <c r="ACF66" s="4"/>
      <c r="ACG66" s="4"/>
      <c r="ACH66" s="4"/>
      <c r="ACI66" s="4"/>
      <c r="ACJ66" s="4"/>
      <c r="ACK66" s="4"/>
      <c r="ACL66" s="4"/>
      <c r="ACM66" s="4"/>
      <c r="ACN66" s="4"/>
      <c r="ACO66" s="4"/>
      <c r="ACP66" s="4"/>
      <c r="ACQ66" s="4"/>
      <c r="ACR66" s="4"/>
      <c r="ACS66" s="4"/>
      <c r="ACT66" s="4"/>
      <c r="ACU66" s="4"/>
      <c r="ACV66" s="4"/>
      <c r="ACW66" s="4"/>
      <c r="ACX66" s="4"/>
      <c r="ACY66" s="4"/>
      <c r="ACZ66" s="4"/>
      <c r="ADA66" s="4"/>
      <c r="ADB66" s="4"/>
      <c r="ADC66" s="4"/>
      <c r="ADD66" s="4"/>
      <c r="ADE66" s="4"/>
      <c r="ADF66" s="4"/>
      <c r="ADG66" s="4"/>
      <c r="ADH66" s="4"/>
      <c r="ADI66" s="4"/>
      <c r="ADJ66" s="4"/>
      <c r="ADK66" s="4"/>
      <c r="ADL66" s="4"/>
      <c r="ADM66" s="4"/>
      <c r="ADN66" s="4"/>
      <c r="ADO66" s="4"/>
      <c r="ADP66" s="4"/>
      <c r="ADQ66" s="4"/>
      <c r="ADR66" s="4"/>
      <c r="ADS66" s="4"/>
      <c r="ADT66" s="4"/>
      <c r="ADU66" s="4"/>
      <c r="ADV66" s="4"/>
      <c r="ADW66" s="4"/>
      <c r="ADX66" s="4"/>
      <c r="ADY66" s="4"/>
      <c r="ADZ66" s="4"/>
      <c r="AEA66" s="4"/>
      <c r="AEB66" s="4"/>
      <c r="AEC66" s="4"/>
      <c r="AED66" s="4"/>
      <c r="AEE66" s="4"/>
      <c r="AEF66" s="4"/>
      <c r="AEG66" s="4"/>
      <c r="AEH66" s="4"/>
      <c r="AEI66" s="4"/>
      <c r="AEJ66" s="4"/>
      <c r="AEK66" s="4"/>
      <c r="AEL66" s="4"/>
      <c r="AEM66" s="4"/>
      <c r="AEN66" s="4"/>
      <c r="AEO66" s="4"/>
      <c r="AEP66" s="4"/>
      <c r="AEQ66" s="4"/>
      <c r="AER66" s="4"/>
      <c r="AES66" s="4"/>
      <c r="AET66" s="4"/>
      <c r="AEU66" s="4"/>
      <c r="AEV66" s="4"/>
      <c r="AEW66" s="4"/>
      <c r="AEX66" s="4"/>
      <c r="AEY66" s="4"/>
      <c r="AEZ66" s="4"/>
      <c r="AFA66" s="4"/>
      <c r="AFB66" s="4"/>
      <c r="AFC66" s="4"/>
      <c r="AFD66" s="4"/>
      <c r="AFE66" s="4"/>
      <c r="AFF66" s="4"/>
      <c r="AFG66" s="4"/>
      <c r="AFH66" s="4"/>
      <c r="AFI66" s="4"/>
      <c r="AFJ66" s="4"/>
      <c r="AFK66" s="4"/>
      <c r="AFL66" s="4"/>
      <c r="AFM66" s="4"/>
      <c r="AFN66" s="4"/>
      <c r="AFO66" s="4"/>
      <c r="AFP66" s="4"/>
      <c r="AFQ66" s="4"/>
      <c r="AFR66" s="4"/>
      <c r="AFS66" s="4"/>
      <c r="AFT66" s="4"/>
      <c r="AFU66" s="4"/>
      <c r="AFV66" s="4"/>
      <c r="AFW66" s="4"/>
      <c r="AFX66" s="4"/>
      <c r="AFY66" s="4"/>
      <c r="AFZ66" s="4"/>
      <c r="AGA66" s="4"/>
      <c r="AGB66" s="4"/>
      <c r="AGC66" s="4"/>
      <c r="AGD66" s="4"/>
      <c r="AGE66" s="4"/>
      <c r="AGF66" s="4"/>
      <c r="AGG66" s="4"/>
      <c r="AGH66" s="4"/>
      <c r="AGI66" s="4"/>
      <c r="AGJ66" s="4"/>
      <c r="AGK66" s="4"/>
      <c r="AGL66" s="4"/>
      <c r="AGM66" s="4"/>
      <c r="AGN66" s="4"/>
      <c r="AGO66" s="4"/>
      <c r="AGP66" s="4"/>
      <c r="AGQ66" s="4"/>
      <c r="AGR66" s="4"/>
      <c r="AGS66" s="4"/>
      <c r="AGT66" s="4"/>
      <c r="AGU66" s="4"/>
      <c r="AGV66" s="4"/>
      <c r="AGW66" s="4"/>
      <c r="AGX66" s="4"/>
      <c r="AGY66" s="4"/>
      <c r="AGZ66" s="4"/>
      <c r="AHA66" s="4"/>
      <c r="AHB66" s="4"/>
      <c r="AHC66" s="4"/>
      <c r="AHD66" s="4"/>
      <c r="AHE66" s="4"/>
      <c r="AHF66" s="4"/>
      <c r="AHG66" s="4"/>
      <c r="AHH66" s="4"/>
      <c r="AHI66" s="4"/>
      <c r="AHJ66" s="4"/>
      <c r="AHK66" s="4"/>
      <c r="AHL66" s="4"/>
      <c r="AHM66" s="4"/>
      <c r="AHN66" s="4"/>
      <c r="AHO66" s="4"/>
      <c r="AHP66" s="4"/>
      <c r="AHQ66" s="4"/>
      <c r="AHR66" s="4"/>
      <c r="AHS66" s="4"/>
      <c r="AHT66" s="4"/>
      <c r="AHU66" s="4"/>
      <c r="AHV66" s="4"/>
      <c r="AHW66" s="4"/>
      <c r="AHX66" s="4"/>
      <c r="AHY66" s="4"/>
      <c r="AHZ66" s="4"/>
      <c r="AIA66" s="4"/>
      <c r="AIB66" s="4"/>
      <c r="AIC66" s="4"/>
      <c r="AID66" s="4"/>
      <c r="AIE66" s="4"/>
      <c r="AIF66" s="4"/>
      <c r="AIG66" s="4"/>
      <c r="AIH66" s="4"/>
      <c r="AII66" s="4"/>
      <c r="AIJ66" s="4"/>
      <c r="AIK66" s="4"/>
      <c r="AIL66" s="4"/>
      <c r="AIM66" s="4"/>
      <c r="AIN66" s="4"/>
      <c r="AIO66" s="4"/>
      <c r="AIP66" s="4"/>
      <c r="AIQ66" s="4"/>
      <c r="AIR66" s="4"/>
      <c r="AIS66" s="4"/>
      <c r="AIT66" s="4"/>
      <c r="AIU66" s="4"/>
      <c r="AIV66" s="4"/>
      <c r="AIW66" s="4"/>
      <c r="AIX66" s="4"/>
      <c r="AIY66" s="4"/>
      <c r="AIZ66" s="4"/>
      <c r="AJA66" s="4"/>
      <c r="AJB66" s="4"/>
      <c r="AJC66" s="4"/>
      <c r="AJD66" s="4"/>
      <c r="AJE66" s="4"/>
      <c r="AJF66" s="4"/>
      <c r="AJG66" s="4"/>
      <c r="AJH66" s="4"/>
      <c r="AJI66" s="4"/>
      <c r="AJJ66" s="4"/>
      <c r="AJK66" s="4"/>
      <c r="AJL66" s="4"/>
      <c r="AJM66" s="4"/>
      <c r="AJN66" s="4"/>
      <c r="AJO66" s="4"/>
      <c r="AJP66" s="4"/>
      <c r="AJQ66" s="4"/>
      <c r="AJR66" s="4"/>
      <c r="AJS66" s="4"/>
      <c r="AJT66" s="4"/>
      <c r="AJU66" s="4"/>
      <c r="AJV66" s="4"/>
      <c r="AJW66" s="4"/>
      <c r="AJX66" s="4"/>
      <c r="AJY66" s="4"/>
      <c r="AJZ66" s="4"/>
      <c r="AKA66" s="4"/>
      <c r="AKB66" s="4"/>
      <c r="AKC66" s="4"/>
      <c r="AKD66" s="4"/>
      <c r="AKE66" s="4"/>
      <c r="AKF66" s="4"/>
      <c r="AKG66" s="4"/>
      <c r="AKH66" s="4"/>
      <c r="AKI66" s="4"/>
      <c r="AKJ66" s="4"/>
      <c r="AKK66" s="4"/>
      <c r="AKL66" s="4"/>
      <c r="AKM66" s="4"/>
      <c r="AKN66" s="4"/>
      <c r="AKO66" s="4"/>
      <c r="AKP66" s="4"/>
      <c r="AKQ66" s="4"/>
      <c r="AKR66" s="4"/>
      <c r="AKS66" s="4"/>
      <c r="AKT66" s="4"/>
      <c r="AKU66" s="4"/>
      <c r="AKV66" s="4"/>
      <c r="AKW66" s="4"/>
      <c r="AKX66" s="4"/>
      <c r="AKY66" s="4"/>
      <c r="AKZ66" s="4"/>
      <c r="ALA66" s="4"/>
      <c r="ALB66" s="4"/>
      <c r="ALC66" s="4"/>
      <c r="ALD66" s="4"/>
      <c r="ALE66" s="4"/>
      <c r="ALF66" s="4"/>
      <c r="ALG66" s="4"/>
      <c r="ALH66" s="4"/>
      <c r="ALI66" s="4"/>
      <c r="ALJ66" s="4"/>
      <c r="ALK66" s="4"/>
      <c r="ALL66" s="4"/>
      <c r="ALM66" s="4"/>
      <c r="ALN66" s="4"/>
      <c r="ALO66" s="4"/>
      <c r="ALP66" s="4"/>
      <c r="ALQ66" s="4"/>
      <c r="ALR66" s="4"/>
      <c r="ALS66" s="4"/>
      <c r="ALT66" s="4"/>
      <c r="ALU66" s="4"/>
      <c r="ALV66" s="4"/>
      <c r="ALW66" s="4"/>
      <c r="ALX66" s="4"/>
      <c r="ALY66" s="4"/>
      <c r="ALZ66" s="4"/>
      <c r="AMA66" s="4"/>
      <c r="AMB66" s="4"/>
      <c r="AMC66" s="4"/>
      <c r="AMD66" s="4"/>
      <c r="AME66" s="4"/>
      <c r="AMF66" s="4"/>
      <c r="AMG66" s="4"/>
      <c r="AMH66" s="4"/>
      <c r="AMI66" s="4"/>
      <c r="AMJ66" s="4"/>
    </row>
    <row r="67" spans="1:1024" x14ac:dyDescent="0.3">
      <c r="D67" s="4" t="s">
        <v>32</v>
      </c>
    </row>
    <row r="68" spans="1:1024" x14ac:dyDescent="0.3">
      <c r="D68" s="17" t="s">
        <v>16</v>
      </c>
      <c r="E68" s="17"/>
      <c r="F68" s="17"/>
      <c r="G68" s="17"/>
      <c r="H68" s="17"/>
    </row>
    <row r="69" spans="1:1024" s="15" customFormat="1" ht="19.5" customHeight="1" x14ac:dyDescent="0.3">
      <c r="A69" s="2"/>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4"/>
      <c r="NG69" s="4"/>
      <c r="NH69" s="4"/>
      <c r="NI69" s="4"/>
      <c r="NJ69" s="4"/>
      <c r="NK69" s="4"/>
      <c r="NL69" s="4"/>
      <c r="NM69" s="4"/>
      <c r="NN69" s="4"/>
      <c r="NO69" s="4"/>
      <c r="NP69" s="4"/>
      <c r="NQ69" s="4"/>
      <c r="NR69" s="4"/>
      <c r="NS69" s="4"/>
      <c r="NT69" s="4"/>
      <c r="NU69" s="4"/>
      <c r="NV69" s="4"/>
      <c r="NW69" s="4"/>
      <c r="NX69" s="4"/>
      <c r="NY69" s="4"/>
      <c r="NZ69" s="4"/>
      <c r="OA69" s="4"/>
      <c r="OB69" s="4"/>
      <c r="OC69" s="4"/>
      <c r="OD69" s="4"/>
      <c r="OE69" s="4"/>
      <c r="OF69" s="4"/>
      <c r="OG69" s="4"/>
      <c r="OH69" s="4"/>
      <c r="OI69" s="4"/>
      <c r="OJ69" s="4"/>
      <c r="OK69" s="4"/>
      <c r="OL69" s="4"/>
      <c r="OM69" s="4"/>
      <c r="ON69" s="4"/>
      <c r="OO69" s="4"/>
      <c r="OP69" s="4"/>
      <c r="OQ69" s="4"/>
      <c r="OR69" s="4"/>
      <c r="OS69" s="4"/>
      <c r="OT69" s="4"/>
      <c r="OU69" s="4"/>
      <c r="OV69" s="4"/>
      <c r="OW69" s="4"/>
      <c r="OX69" s="4"/>
      <c r="OY69" s="4"/>
      <c r="OZ69" s="4"/>
      <c r="PA69" s="4"/>
      <c r="PB69" s="4"/>
      <c r="PC69" s="4"/>
      <c r="PD69" s="4"/>
      <c r="PE69" s="4"/>
      <c r="PF69" s="4"/>
      <c r="PG69" s="4"/>
      <c r="PH69" s="4"/>
      <c r="PI69" s="4"/>
      <c r="PJ69" s="4"/>
      <c r="PK69" s="4"/>
      <c r="PL69" s="4"/>
      <c r="PM69" s="4"/>
      <c r="PN69" s="4"/>
      <c r="PO69" s="4"/>
      <c r="PP69" s="4"/>
      <c r="PQ69" s="4"/>
      <c r="PR69" s="4"/>
      <c r="PS69" s="4"/>
      <c r="PT69" s="4"/>
      <c r="PU69" s="4"/>
      <c r="PV69" s="4"/>
      <c r="PW69" s="4"/>
      <c r="PX69" s="4"/>
      <c r="PY69" s="4"/>
      <c r="PZ69" s="4"/>
      <c r="QA69" s="4"/>
      <c r="QB69" s="4"/>
      <c r="QC69" s="4"/>
      <c r="QD69" s="4"/>
      <c r="QE69" s="4"/>
      <c r="QF69" s="4"/>
      <c r="QG69" s="4"/>
      <c r="QH69" s="4"/>
      <c r="QI69" s="4"/>
      <c r="QJ69" s="4"/>
      <c r="QK69" s="4"/>
      <c r="QL69" s="4"/>
      <c r="QM69" s="4"/>
      <c r="QN69" s="4"/>
      <c r="QO69" s="4"/>
      <c r="QP69" s="4"/>
      <c r="QQ69" s="4"/>
      <c r="QR69" s="4"/>
      <c r="QS69" s="4"/>
      <c r="QT69" s="4"/>
      <c r="QU69" s="4"/>
      <c r="QV69" s="4"/>
      <c r="QW69" s="4"/>
      <c r="QX69" s="4"/>
      <c r="QY69" s="4"/>
      <c r="QZ69" s="4"/>
      <c r="RA69" s="4"/>
      <c r="RB69" s="4"/>
      <c r="RC69" s="4"/>
      <c r="RD69" s="4"/>
      <c r="RE69" s="4"/>
      <c r="RF69" s="4"/>
      <c r="RG69" s="4"/>
      <c r="RH69" s="4"/>
      <c r="RI69" s="4"/>
      <c r="RJ69" s="4"/>
      <c r="RK69" s="4"/>
      <c r="RL69" s="4"/>
      <c r="RM69" s="4"/>
      <c r="RN69" s="4"/>
      <c r="RO69" s="4"/>
      <c r="RP69" s="4"/>
      <c r="RQ69" s="4"/>
      <c r="RR69" s="4"/>
      <c r="RS69" s="4"/>
      <c r="RT69" s="4"/>
      <c r="RU69" s="4"/>
      <c r="RV69" s="4"/>
      <c r="RW69" s="4"/>
      <c r="RX69" s="4"/>
      <c r="RY69" s="4"/>
      <c r="RZ69" s="4"/>
      <c r="SA69" s="4"/>
      <c r="SB69" s="4"/>
      <c r="SC69" s="4"/>
      <c r="SD69" s="4"/>
      <c r="SE69" s="4"/>
      <c r="SF69" s="4"/>
      <c r="SG69" s="4"/>
      <c r="SH69" s="4"/>
      <c r="SI69" s="4"/>
      <c r="SJ69" s="4"/>
      <c r="SK69" s="4"/>
      <c r="SL69" s="4"/>
      <c r="SM69" s="4"/>
      <c r="SN69" s="4"/>
      <c r="SO69" s="4"/>
      <c r="SP69" s="4"/>
      <c r="SQ69" s="4"/>
      <c r="SR69" s="4"/>
      <c r="SS69" s="4"/>
      <c r="ST69" s="4"/>
      <c r="SU69" s="4"/>
      <c r="SV69" s="4"/>
      <c r="SW69" s="4"/>
      <c r="SX69" s="4"/>
      <c r="SY69" s="4"/>
      <c r="SZ69" s="4"/>
      <c r="TA69" s="4"/>
      <c r="TB69" s="4"/>
      <c r="TC69" s="4"/>
      <c r="TD69" s="4"/>
      <c r="TE69" s="4"/>
      <c r="TF69" s="4"/>
      <c r="TG69" s="4"/>
      <c r="TH69" s="4"/>
      <c r="TI69" s="4"/>
      <c r="TJ69" s="4"/>
      <c r="TK69" s="4"/>
      <c r="TL69" s="4"/>
      <c r="TM69" s="4"/>
      <c r="TN69" s="4"/>
      <c r="TO69" s="4"/>
      <c r="TP69" s="4"/>
      <c r="TQ69" s="4"/>
      <c r="TR69" s="4"/>
      <c r="TS69" s="4"/>
      <c r="TT69" s="4"/>
      <c r="TU69" s="4"/>
      <c r="TV69" s="4"/>
      <c r="TW69" s="4"/>
      <c r="TX69" s="4"/>
      <c r="TY69" s="4"/>
      <c r="TZ69" s="4"/>
      <c r="UA69" s="4"/>
      <c r="UB69" s="4"/>
      <c r="UC69" s="4"/>
      <c r="UD69" s="4"/>
      <c r="UE69" s="4"/>
      <c r="UF69" s="4"/>
      <c r="UG69" s="4"/>
      <c r="UH69" s="4"/>
      <c r="UI69" s="4"/>
      <c r="UJ69" s="4"/>
      <c r="UK69" s="4"/>
      <c r="UL69" s="4"/>
      <c r="UM69" s="4"/>
      <c r="UN69" s="4"/>
      <c r="UO69" s="4"/>
      <c r="UP69" s="4"/>
      <c r="UQ69" s="4"/>
      <c r="UR69" s="4"/>
      <c r="US69" s="4"/>
      <c r="UT69" s="4"/>
      <c r="UU69" s="4"/>
      <c r="UV69" s="4"/>
      <c r="UW69" s="4"/>
      <c r="UX69" s="4"/>
      <c r="UY69" s="4"/>
      <c r="UZ69" s="4"/>
      <c r="VA69" s="4"/>
      <c r="VB69" s="4"/>
      <c r="VC69" s="4"/>
      <c r="VD69" s="4"/>
      <c r="VE69" s="4"/>
      <c r="VF69" s="4"/>
      <c r="VG69" s="4"/>
      <c r="VH69" s="4"/>
      <c r="VI69" s="4"/>
      <c r="VJ69" s="4"/>
      <c r="VK69" s="4"/>
      <c r="VL69" s="4"/>
      <c r="VM69" s="4"/>
      <c r="VN69" s="4"/>
      <c r="VO69" s="4"/>
      <c r="VP69" s="4"/>
      <c r="VQ69" s="4"/>
      <c r="VR69" s="4"/>
      <c r="VS69" s="4"/>
      <c r="VT69" s="4"/>
      <c r="VU69" s="4"/>
      <c r="VV69" s="4"/>
      <c r="VW69" s="4"/>
      <c r="VX69" s="4"/>
      <c r="VY69" s="4"/>
      <c r="VZ69" s="4"/>
      <c r="WA69" s="4"/>
      <c r="WB69" s="4"/>
      <c r="WC69" s="4"/>
      <c r="WD69" s="4"/>
      <c r="WE69" s="4"/>
      <c r="WF69" s="4"/>
      <c r="WG69" s="4"/>
      <c r="WH69" s="4"/>
      <c r="WI69" s="4"/>
      <c r="WJ69" s="4"/>
      <c r="WK69" s="4"/>
      <c r="WL69" s="4"/>
      <c r="WM69" s="4"/>
      <c r="WN69" s="4"/>
      <c r="WO69" s="4"/>
      <c r="WP69" s="4"/>
      <c r="WQ69" s="4"/>
      <c r="WR69" s="4"/>
      <c r="WS69" s="4"/>
      <c r="WT69" s="4"/>
      <c r="WU69" s="4"/>
      <c r="WV69" s="4"/>
      <c r="WW69" s="4"/>
      <c r="WX69" s="4"/>
      <c r="WY69" s="4"/>
      <c r="WZ69" s="4"/>
      <c r="XA69" s="4"/>
      <c r="XB69" s="4"/>
      <c r="XC69" s="4"/>
      <c r="XD69" s="4"/>
      <c r="XE69" s="4"/>
      <c r="XF69" s="4"/>
      <c r="XG69" s="4"/>
      <c r="XH69" s="4"/>
      <c r="XI69" s="4"/>
      <c r="XJ69" s="4"/>
      <c r="XK69" s="4"/>
      <c r="XL69" s="4"/>
      <c r="XM69" s="4"/>
      <c r="XN69" s="4"/>
      <c r="XO69" s="4"/>
      <c r="XP69" s="4"/>
      <c r="XQ69" s="4"/>
      <c r="XR69" s="4"/>
      <c r="XS69" s="4"/>
      <c r="XT69" s="4"/>
      <c r="XU69" s="4"/>
      <c r="XV69" s="4"/>
      <c r="XW69" s="4"/>
      <c r="XX69" s="4"/>
      <c r="XY69" s="4"/>
      <c r="XZ69" s="4"/>
      <c r="YA69" s="4"/>
      <c r="YB69" s="4"/>
      <c r="YC69" s="4"/>
      <c r="YD69" s="4"/>
      <c r="YE69" s="4"/>
      <c r="YF69" s="4"/>
      <c r="YG69" s="4"/>
      <c r="YH69" s="4"/>
      <c r="YI69" s="4"/>
      <c r="YJ69" s="4"/>
      <c r="YK69" s="4"/>
      <c r="YL69" s="4"/>
      <c r="YM69" s="4"/>
      <c r="YN69" s="4"/>
      <c r="YO69" s="4"/>
      <c r="YP69" s="4"/>
      <c r="YQ69" s="4"/>
      <c r="YR69" s="4"/>
      <c r="YS69" s="4"/>
      <c r="YT69" s="4"/>
      <c r="YU69" s="4"/>
      <c r="YV69" s="4"/>
      <c r="YW69" s="4"/>
      <c r="YX69" s="4"/>
      <c r="YY69" s="4"/>
      <c r="YZ69" s="4"/>
      <c r="ZA69" s="4"/>
      <c r="ZB69" s="4"/>
      <c r="ZC69" s="4"/>
      <c r="ZD69" s="4"/>
      <c r="ZE69" s="4"/>
      <c r="ZF69" s="4"/>
      <c r="ZG69" s="4"/>
      <c r="ZH69" s="4"/>
      <c r="ZI69" s="4"/>
      <c r="ZJ69" s="4"/>
      <c r="ZK69" s="4"/>
      <c r="ZL69" s="4"/>
      <c r="ZM69" s="4"/>
      <c r="ZN69" s="4"/>
      <c r="ZO69" s="4"/>
      <c r="ZP69" s="4"/>
      <c r="ZQ69" s="4"/>
      <c r="ZR69" s="4"/>
      <c r="ZS69" s="4"/>
      <c r="ZT69" s="4"/>
      <c r="ZU69" s="4"/>
      <c r="ZV69" s="4"/>
      <c r="ZW69" s="4"/>
      <c r="ZX69" s="4"/>
      <c r="ZY69" s="4"/>
      <c r="ZZ69" s="4"/>
      <c r="AAA69" s="4"/>
      <c r="AAB69" s="4"/>
      <c r="AAC69" s="4"/>
      <c r="AAD69" s="4"/>
      <c r="AAE69" s="4"/>
      <c r="AAF69" s="4"/>
      <c r="AAG69" s="4"/>
      <c r="AAH69" s="4"/>
      <c r="AAI69" s="4"/>
      <c r="AAJ69" s="4"/>
      <c r="AAK69" s="4"/>
      <c r="AAL69" s="4"/>
      <c r="AAM69" s="4"/>
      <c r="AAN69" s="4"/>
      <c r="AAO69" s="4"/>
      <c r="AAP69" s="4"/>
      <c r="AAQ69" s="4"/>
      <c r="AAR69" s="4"/>
      <c r="AAS69" s="4"/>
      <c r="AAT69" s="4"/>
      <c r="AAU69" s="4"/>
      <c r="AAV69" s="4"/>
      <c r="AAW69" s="4"/>
      <c r="AAX69" s="4"/>
      <c r="AAY69" s="4"/>
      <c r="AAZ69" s="4"/>
      <c r="ABA69" s="4"/>
      <c r="ABB69" s="4"/>
      <c r="ABC69" s="4"/>
      <c r="ABD69" s="4"/>
      <c r="ABE69" s="4"/>
      <c r="ABF69" s="4"/>
      <c r="ABG69" s="4"/>
      <c r="ABH69" s="4"/>
      <c r="ABI69" s="4"/>
      <c r="ABJ69" s="4"/>
      <c r="ABK69" s="4"/>
      <c r="ABL69" s="4"/>
      <c r="ABM69" s="4"/>
      <c r="ABN69" s="4"/>
      <c r="ABO69" s="4"/>
      <c r="ABP69" s="4"/>
      <c r="ABQ69" s="4"/>
      <c r="ABR69" s="4"/>
      <c r="ABS69" s="4"/>
      <c r="ABT69" s="4"/>
      <c r="ABU69" s="4"/>
      <c r="ABV69" s="4"/>
      <c r="ABW69" s="4"/>
      <c r="ABX69" s="4"/>
      <c r="ABY69" s="4"/>
      <c r="ABZ69" s="4"/>
      <c r="ACA69" s="4"/>
      <c r="ACB69" s="4"/>
      <c r="ACC69" s="4"/>
      <c r="ACD69" s="4"/>
      <c r="ACE69" s="4"/>
      <c r="ACF69" s="4"/>
      <c r="ACG69" s="4"/>
      <c r="ACH69" s="4"/>
      <c r="ACI69" s="4"/>
      <c r="ACJ69" s="4"/>
      <c r="ACK69" s="4"/>
      <c r="ACL69" s="4"/>
      <c r="ACM69" s="4"/>
      <c r="ACN69" s="4"/>
      <c r="ACO69" s="4"/>
      <c r="ACP69" s="4"/>
      <c r="ACQ69" s="4"/>
      <c r="ACR69" s="4"/>
      <c r="ACS69" s="4"/>
      <c r="ACT69" s="4"/>
      <c r="ACU69" s="4"/>
      <c r="ACV69" s="4"/>
      <c r="ACW69" s="4"/>
      <c r="ACX69" s="4"/>
      <c r="ACY69" s="4"/>
      <c r="ACZ69" s="4"/>
      <c r="ADA69" s="4"/>
      <c r="ADB69" s="4"/>
      <c r="ADC69" s="4"/>
      <c r="ADD69" s="4"/>
      <c r="ADE69" s="4"/>
      <c r="ADF69" s="4"/>
      <c r="ADG69" s="4"/>
      <c r="ADH69" s="4"/>
      <c r="ADI69" s="4"/>
      <c r="ADJ69" s="4"/>
      <c r="ADK69" s="4"/>
      <c r="ADL69" s="4"/>
      <c r="ADM69" s="4"/>
      <c r="ADN69" s="4"/>
      <c r="ADO69" s="4"/>
      <c r="ADP69" s="4"/>
      <c r="ADQ69" s="4"/>
      <c r="ADR69" s="4"/>
      <c r="ADS69" s="4"/>
      <c r="ADT69" s="4"/>
      <c r="ADU69" s="4"/>
      <c r="ADV69" s="4"/>
      <c r="ADW69" s="4"/>
      <c r="ADX69" s="4"/>
      <c r="ADY69" s="4"/>
      <c r="ADZ69" s="4"/>
      <c r="AEA69" s="4"/>
      <c r="AEB69" s="4"/>
      <c r="AEC69" s="4"/>
      <c r="AED69" s="4"/>
      <c r="AEE69" s="4"/>
      <c r="AEF69" s="4"/>
      <c r="AEG69" s="4"/>
      <c r="AEH69" s="4"/>
      <c r="AEI69" s="4"/>
      <c r="AEJ69" s="4"/>
      <c r="AEK69" s="4"/>
      <c r="AEL69" s="4"/>
      <c r="AEM69" s="4"/>
      <c r="AEN69" s="4"/>
      <c r="AEO69" s="4"/>
      <c r="AEP69" s="4"/>
      <c r="AEQ69" s="4"/>
      <c r="AER69" s="4"/>
      <c r="AES69" s="4"/>
      <c r="AET69" s="4"/>
      <c r="AEU69" s="4"/>
      <c r="AEV69" s="4"/>
      <c r="AEW69" s="4"/>
      <c r="AEX69" s="4"/>
      <c r="AEY69" s="4"/>
      <c r="AEZ69" s="4"/>
      <c r="AFA69" s="4"/>
      <c r="AFB69" s="4"/>
      <c r="AFC69" s="4"/>
      <c r="AFD69" s="4"/>
      <c r="AFE69" s="4"/>
      <c r="AFF69" s="4"/>
      <c r="AFG69" s="4"/>
      <c r="AFH69" s="4"/>
      <c r="AFI69" s="4"/>
      <c r="AFJ69" s="4"/>
      <c r="AFK69" s="4"/>
      <c r="AFL69" s="4"/>
      <c r="AFM69" s="4"/>
      <c r="AFN69" s="4"/>
      <c r="AFO69" s="4"/>
      <c r="AFP69" s="4"/>
      <c r="AFQ69" s="4"/>
      <c r="AFR69" s="4"/>
      <c r="AFS69" s="4"/>
      <c r="AFT69" s="4"/>
      <c r="AFU69" s="4"/>
      <c r="AFV69" s="4"/>
      <c r="AFW69" s="4"/>
      <c r="AFX69" s="4"/>
      <c r="AFY69" s="4"/>
      <c r="AFZ69" s="4"/>
      <c r="AGA69" s="4"/>
      <c r="AGB69" s="4"/>
      <c r="AGC69" s="4"/>
      <c r="AGD69" s="4"/>
      <c r="AGE69" s="4"/>
      <c r="AGF69" s="4"/>
      <c r="AGG69" s="4"/>
      <c r="AGH69" s="4"/>
      <c r="AGI69" s="4"/>
      <c r="AGJ69" s="4"/>
      <c r="AGK69" s="4"/>
      <c r="AGL69" s="4"/>
      <c r="AGM69" s="4"/>
      <c r="AGN69" s="4"/>
      <c r="AGO69" s="4"/>
      <c r="AGP69" s="4"/>
      <c r="AGQ69" s="4"/>
      <c r="AGR69" s="4"/>
      <c r="AGS69" s="4"/>
      <c r="AGT69" s="4"/>
      <c r="AGU69" s="4"/>
      <c r="AGV69" s="4"/>
      <c r="AGW69" s="4"/>
      <c r="AGX69" s="4"/>
      <c r="AGY69" s="4"/>
      <c r="AGZ69" s="4"/>
      <c r="AHA69" s="4"/>
      <c r="AHB69" s="4"/>
      <c r="AHC69" s="4"/>
      <c r="AHD69" s="4"/>
      <c r="AHE69" s="4"/>
      <c r="AHF69" s="4"/>
      <c r="AHG69" s="4"/>
      <c r="AHH69" s="4"/>
      <c r="AHI69" s="4"/>
      <c r="AHJ69" s="4"/>
      <c r="AHK69" s="4"/>
      <c r="AHL69" s="4"/>
      <c r="AHM69" s="4"/>
      <c r="AHN69" s="4"/>
      <c r="AHO69" s="4"/>
      <c r="AHP69" s="4"/>
      <c r="AHQ69" s="4"/>
      <c r="AHR69" s="4"/>
      <c r="AHS69" s="4"/>
      <c r="AHT69" s="4"/>
      <c r="AHU69" s="4"/>
      <c r="AHV69" s="4"/>
      <c r="AHW69" s="4"/>
      <c r="AHX69" s="4"/>
      <c r="AHY69" s="4"/>
      <c r="AHZ69" s="4"/>
      <c r="AIA69" s="4"/>
      <c r="AIB69" s="4"/>
      <c r="AIC69" s="4"/>
      <c r="AID69" s="4"/>
      <c r="AIE69" s="4"/>
      <c r="AIF69" s="4"/>
      <c r="AIG69" s="4"/>
      <c r="AIH69" s="4"/>
      <c r="AII69" s="4"/>
      <c r="AIJ69" s="4"/>
      <c r="AIK69" s="4"/>
      <c r="AIL69" s="4"/>
      <c r="AIM69" s="4"/>
      <c r="AIN69" s="4"/>
      <c r="AIO69" s="4"/>
      <c r="AIP69" s="4"/>
      <c r="AIQ69" s="4"/>
      <c r="AIR69" s="4"/>
      <c r="AIS69" s="4"/>
      <c r="AIT69" s="4"/>
      <c r="AIU69" s="4"/>
      <c r="AIV69" s="4"/>
      <c r="AIW69" s="4"/>
      <c r="AIX69" s="4"/>
      <c r="AIY69" s="4"/>
      <c r="AIZ69" s="4"/>
      <c r="AJA69" s="4"/>
      <c r="AJB69" s="4"/>
      <c r="AJC69" s="4"/>
      <c r="AJD69" s="4"/>
      <c r="AJE69" s="4"/>
      <c r="AJF69" s="4"/>
      <c r="AJG69" s="4"/>
      <c r="AJH69" s="4"/>
      <c r="AJI69" s="4"/>
      <c r="AJJ69" s="4"/>
      <c r="AJK69" s="4"/>
      <c r="AJL69" s="4"/>
      <c r="AJM69" s="4"/>
      <c r="AJN69" s="4"/>
      <c r="AJO69" s="4"/>
      <c r="AJP69" s="4"/>
      <c r="AJQ69" s="4"/>
      <c r="AJR69" s="4"/>
      <c r="AJS69" s="4"/>
      <c r="AJT69" s="4"/>
      <c r="AJU69" s="4"/>
      <c r="AJV69" s="4"/>
      <c r="AJW69" s="4"/>
      <c r="AJX69" s="4"/>
      <c r="AJY69" s="4"/>
      <c r="AJZ69" s="4"/>
      <c r="AKA69" s="4"/>
      <c r="AKB69" s="4"/>
      <c r="AKC69" s="4"/>
      <c r="AKD69" s="4"/>
      <c r="AKE69" s="4"/>
      <c r="AKF69" s="4"/>
      <c r="AKG69" s="4"/>
      <c r="AKH69" s="4"/>
      <c r="AKI69" s="4"/>
      <c r="AKJ69" s="4"/>
      <c r="AKK69" s="4"/>
      <c r="AKL69" s="4"/>
      <c r="AKM69" s="4"/>
      <c r="AKN69" s="4"/>
      <c r="AKO69" s="4"/>
      <c r="AKP69" s="4"/>
      <c r="AKQ69" s="4"/>
      <c r="AKR69" s="4"/>
      <c r="AKS69" s="4"/>
      <c r="AKT69" s="4"/>
      <c r="AKU69" s="4"/>
      <c r="AKV69" s="4"/>
      <c r="AKW69" s="4"/>
      <c r="AKX69" s="4"/>
      <c r="AKY69" s="4"/>
      <c r="AKZ69" s="4"/>
      <c r="ALA69" s="4"/>
      <c r="ALB69" s="4"/>
      <c r="ALC69" s="4"/>
      <c r="ALD69" s="4"/>
      <c r="ALE69" s="4"/>
      <c r="ALF69" s="4"/>
      <c r="ALG69" s="4"/>
      <c r="ALH69" s="4"/>
      <c r="ALI69" s="4"/>
      <c r="ALJ69" s="4"/>
      <c r="ALK69" s="4"/>
      <c r="ALL69" s="4"/>
      <c r="ALM69" s="4"/>
      <c r="ALN69" s="4"/>
      <c r="ALO69" s="4"/>
      <c r="ALP69" s="4"/>
      <c r="ALQ69" s="4"/>
      <c r="ALR69" s="4"/>
      <c r="ALS69" s="4"/>
      <c r="ALT69" s="4"/>
      <c r="ALU69" s="4"/>
      <c r="ALV69" s="4"/>
      <c r="ALW69" s="4"/>
      <c r="ALX69" s="4"/>
      <c r="ALY69" s="4"/>
      <c r="ALZ69" s="4"/>
      <c r="AMA69" s="4"/>
      <c r="AMB69" s="4"/>
      <c r="AMC69" s="4"/>
      <c r="AMD69" s="4"/>
      <c r="AME69" s="4"/>
      <c r="AMF69" s="4"/>
      <c r="AMG69" s="4"/>
      <c r="AMH69" s="4"/>
      <c r="AMI69" s="4"/>
      <c r="AMJ69" s="4"/>
    </row>
    <row r="70" spans="1:1024" s="15" customFormat="1" ht="13.8" x14ac:dyDescent="0.3">
      <c r="A70" s="11" t="s">
        <v>33</v>
      </c>
      <c r="B70" s="3" t="s">
        <v>34</v>
      </c>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c r="NZ70" s="4"/>
      <c r="OA70" s="4"/>
      <c r="OB70" s="4"/>
      <c r="OC70" s="4"/>
      <c r="OD70" s="4"/>
      <c r="OE70" s="4"/>
      <c r="OF70" s="4"/>
      <c r="OG70" s="4"/>
      <c r="OH70" s="4"/>
      <c r="OI70" s="4"/>
      <c r="OJ70" s="4"/>
      <c r="OK70" s="4"/>
      <c r="OL70" s="4"/>
      <c r="OM70" s="4"/>
      <c r="ON70" s="4"/>
      <c r="OO70" s="4"/>
      <c r="OP70" s="4"/>
      <c r="OQ70" s="4"/>
      <c r="OR70" s="4"/>
      <c r="OS70" s="4"/>
      <c r="OT70" s="4"/>
      <c r="OU70" s="4"/>
      <c r="OV70" s="4"/>
      <c r="OW70" s="4"/>
      <c r="OX70" s="4"/>
      <c r="OY70" s="4"/>
      <c r="OZ70" s="4"/>
      <c r="PA70" s="4"/>
      <c r="PB70" s="4"/>
      <c r="PC70" s="4"/>
      <c r="PD70" s="4"/>
      <c r="PE70" s="4"/>
      <c r="PF70" s="4"/>
      <c r="PG70" s="4"/>
      <c r="PH70" s="4"/>
      <c r="PI70" s="4"/>
      <c r="PJ70" s="4"/>
      <c r="PK70" s="4"/>
      <c r="PL70" s="4"/>
      <c r="PM70" s="4"/>
      <c r="PN70" s="4"/>
      <c r="PO70" s="4"/>
      <c r="PP70" s="4"/>
      <c r="PQ70" s="4"/>
      <c r="PR70" s="4"/>
      <c r="PS70" s="4"/>
      <c r="PT70" s="4"/>
      <c r="PU70" s="4"/>
      <c r="PV70" s="4"/>
      <c r="PW70" s="4"/>
      <c r="PX70" s="4"/>
      <c r="PY70" s="4"/>
      <c r="PZ70" s="4"/>
      <c r="QA70" s="4"/>
      <c r="QB70" s="4"/>
      <c r="QC70" s="4"/>
      <c r="QD70" s="4"/>
      <c r="QE70" s="4"/>
      <c r="QF70" s="4"/>
      <c r="QG70" s="4"/>
      <c r="QH70" s="4"/>
      <c r="QI70" s="4"/>
      <c r="QJ70" s="4"/>
      <c r="QK70" s="4"/>
      <c r="QL70" s="4"/>
      <c r="QM70" s="4"/>
      <c r="QN70" s="4"/>
      <c r="QO70" s="4"/>
      <c r="QP70" s="4"/>
      <c r="QQ70" s="4"/>
      <c r="QR70" s="4"/>
      <c r="QS70" s="4"/>
      <c r="QT70" s="4"/>
      <c r="QU70" s="4"/>
      <c r="QV70" s="4"/>
      <c r="QW70" s="4"/>
      <c r="QX70" s="4"/>
      <c r="QY70" s="4"/>
      <c r="QZ70" s="4"/>
      <c r="RA70" s="4"/>
      <c r="RB70" s="4"/>
      <c r="RC70" s="4"/>
      <c r="RD70" s="4"/>
      <c r="RE70" s="4"/>
      <c r="RF70" s="4"/>
      <c r="RG70" s="4"/>
      <c r="RH70" s="4"/>
      <c r="RI70" s="4"/>
      <c r="RJ70" s="4"/>
      <c r="RK70" s="4"/>
      <c r="RL70" s="4"/>
      <c r="RM70" s="4"/>
      <c r="RN70" s="4"/>
      <c r="RO70" s="4"/>
      <c r="RP70" s="4"/>
      <c r="RQ70" s="4"/>
      <c r="RR70" s="4"/>
      <c r="RS70" s="4"/>
      <c r="RT70" s="4"/>
      <c r="RU70" s="4"/>
      <c r="RV70" s="4"/>
      <c r="RW70" s="4"/>
      <c r="RX70" s="4"/>
      <c r="RY70" s="4"/>
      <c r="RZ70" s="4"/>
      <c r="SA70" s="4"/>
      <c r="SB70" s="4"/>
      <c r="SC70" s="4"/>
      <c r="SD70" s="4"/>
      <c r="SE70" s="4"/>
      <c r="SF70" s="4"/>
      <c r="SG70" s="4"/>
      <c r="SH70" s="4"/>
      <c r="SI70" s="4"/>
      <c r="SJ70" s="4"/>
      <c r="SK70" s="4"/>
      <c r="SL70" s="4"/>
      <c r="SM70" s="4"/>
      <c r="SN70" s="4"/>
      <c r="SO70" s="4"/>
      <c r="SP70" s="4"/>
      <c r="SQ70" s="4"/>
      <c r="SR70" s="4"/>
      <c r="SS70" s="4"/>
      <c r="ST70" s="4"/>
      <c r="SU70" s="4"/>
      <c r="SV70" s="4"/>
      <c r="SW70" s="4"/>
      <c r="SX70" s="4"/>
      <c r="SY70" s="4"/>
      <c r="SZ70" s="4"/>
      <c r="TA70" s="4"/>
      <c r="TB70" s="4"/>
      <c r="TC70" s="4"/>
      <c r="TD70" s="4"/>
      <c r="TE70" s="4"/>
      <c r="TF70" s="4"/>
      <c r="TG70" s="4"/>
      <c r="TH70" s="4"/>
      <c r="TI70" s="4"/>
      <c r="TJ70" s="4"/>
      <c r="TK70" s="4"/>
      <c r="TL70" s="4"/>
      <c r="TM70" s="4"/>
      <c r="TN70" s="4"/>
      <c r="TO70" s="4"/>
      <c r="TP70" s="4"/>
      <c r="TQ70" s="4"/>
      <c r="TR70" s="4"/>
      <c r="TS70" s="4"/>
      <c r="TT70" s="4"/>
      <c r="TU70" s="4"/>
      <c r="TV70" s="4"/>
      <c r="TW70" s="4"/>
      <c r="TX70" s="4"/>
      <c r="TY70" s="4"/>
      <c r="TZ70" s="4"/>
      <c r="UA70" s="4"/>
      <c r="UB70" s="4"/>
      <c r="UC70" s="4"/>
      <c r="UD70" s="4"/>
      <c r="UE70" s="4"/>
      <c r="UF70" s="4"/>
      <c r="UG70" s="4"/>
      <c r="UH70" s="4"/>
      <c r="UI70" s="4"/>
      <c r="UJ70" s="4"/>
      <c r="UK70" s="4"/>
      <c r="UL70" s="4"/>
      <c r="UM70" s="4"/>
      <c r="UN70" s="4"/>
      <c r="UO70" s="4"/>
      <c r="UP70" s="4"/>
      <c r="UQ70" s="4"/>
      <c r="UR70" s="4"/>
      <c r="US70" s="4"/>
      <c r="UT70" s="4"/>
      <c r="UU70" s="4"/>
      <c r="UV70" s="4"/>
      <c r="UW70" s="4"/>
      <c r="UX70" s="4"/>
      <c r="UY70" s="4"/>
      <c r="UZ70" s="4"/>
      <c r="VA70" s="4"/>
      <c r="VB70" s="4"/>
      <c r="VC70" s="4"/>
      <c r="VD70" s="4"/>
      <c r="VE70" s="4"/>
      <c r="VF70" s="4"/>
      <c r="VG70" s="4"/>
      <c r="VH70" s="4"/>
      <c r="VI70" s="4"/>
      <c r="VJ70" s="4"/>
      <c r="VK70" s="4"/>
      <c r="VL70" s="4"/>
      <c r="VM70" s="4"/>
      <c r="VN70" s="4"/>
      <c r="VO70" s="4"/>
      <c r="VP70" s="4"/>
      <c r="VQ70" s="4"/>
      <c r="VR70" s="4"/>
      <c r="VS70" s="4"/>
      <c r="VT70" s="4"/>
      <c r="VU70" s="4"/>
      <c r="VV70" s="4"/>
      <c r="VW70" s="4"/>
      <c r="VX70" s="4"/>
      <c r="VY70" s="4"/>
      <c r="VZ70" s="4"/>
      <c r="WA70" s="4"/>
      <c r="WB70" s="4"/>
      <c r="WC70" s="4"/>
      <c r="WD70" s="4"/>
      <c r="WE70" s="4"/>
      <c r="WF70" s="4"/>
      <c r="WG70" s="4"/>
      <c r="WH70" s="4"/>
      <c r="WI70" s="4"/>
      <c r="WJ70" s="4"/>
      <c r="WK70" s="4"/>
      <c r="WL70" s="4"/>
      <c r="WM70" s="4"/>
      <c r="WN70" s="4"/>
      <c r="WO70" s="4"/>
      <c r="WP70" s="4"/>
      <c r="WQ70" s="4"/>
      <c r="WR70" s="4"/>
      <c r="WS70" s="4"/>
      <c r="WT70" s="4"/>
      <c r="WU70" s="4"/>
      <c r="WV70" s="4"/>
      <c r="WW70" s="4"/>
      <c r="WX70" s="4"/>
      <c r="WY70" s="4"/>
      <c r="WZ70" s="4"/>
      <c r="XA70" s="4"/>
      <c r="XB70" s="4"/>
      <c r="XC70" s="4"/>
      <c r="XD70" s="4"/>
      <c r="XE70" s="4"/>
      <c r="XF70" s="4"/>
      <c r="XG70" s="4"/>
      <c r="XH70" s="4"/>
      <c r="XI70" s="4"/>
      <c r="XJ70" s="4"/>
      <c r="XK70" s="4"/>
      <c r="XL70" s="4"/>
      <c r="XM70" s="4"/>
      <c r="XN70" s="4"/>
      <c r="XO70" s="4"/>
      <c r="XP70" s="4"/>
      <c r="XQ70" s="4"/>
      <c r="XR70" s="4"/>
      <c r="XS70" s="4"/>
      <c r="XT70" s="4"/>
      <c r="XU70" s="4"/>
      <c r="XV70" s="4"/>
      <c r="XW70" s="4"/>
      <c r="XX70" s="4"/>
      <c r="XY70" s="4"/>
      <c r="XZ70" s="4"/>
      <c r="YA70" s="4"/>
      <c r="YB70" s="4"/>
      <c r="YC70" s="4"/>
      <c r="YD70" s="4"/>
      <c r="YE70" s="4"/>
      <c r="YF70" s="4"/>
      <c r="YG70" s="4"/>
      <c r="YH70" s="4"/>
      <c r="YI70" s="4"/>
      <c r="YJ70" s="4"/>
      <c r="YK70" s="4"/>
      <c r="YL70" s="4"/>
      <c r="YM70" s="4"/>
      <c r="YN70" s="4"/>
      <c r="YO70" s="4"/>
      <c r="YP70" s="4"/>
      <c r="YQ70" s="4"/>
      <c r="YR70" s="4"/>
      <c r="YS70" s="4"/>
      <c r="YT70" s="4"/>
      <c r="YU70" s="4"/>
      <c r="YV70" s="4"/>
      <c r="YW70" s="4"/>
      <c r="YX70" s="4"/>
      <c r="YY70" s="4"/>
      <c r="YZ70" s="4"/>
      <c r="ZA70" s="4"/>
      <c r="ZB70" s="4"/>
      <c r="ZC70" s="4"/>
      <c r="ZD70" s="4"/>
      <c r="ZE70" s="4"/>
      <c r="ZF70" s="4"/>
      <c r="ZG70" s="4"/>
      <c r="ZH70" s="4"/>
      <c r="ZI70" s="4"/>
      <c r="ZJ70" s="4"/>
      <c r="ZK70" s="4"/>
      <c r="ZL70" s="4"/>
      <c r="ZM70" s="4"/>
      <c r="ZN70" s="4"/>
      <c r="ZO70" s="4"/>
      <c r="ZP70" s="4"/>
      <c r="ZQ70" s="4"/>
      <c r="ZR70" s="4"/>
      <c r="ZS70" s="4"/>
      <c r="ZT70" s="4"/>
      <c r="ZU70" s="4"/>
      <c r="ZV70" s="4"/>
      <c r="ZW70" s="4"/>
      <c r="ZX70" s="4"/>
      <c r="ZY70" s="4"/>
      <c r="ZZ70" s="4"/>
      <c r="AAA70" s="4"/>
      <c r="AAB70" s="4"/>
      <c r="AAC70" s="4"/>
      <c r="AAD70" s="4"/>
      <c r="AAE70" s="4"/>
      <c r="AAF70" s="4"/>
      <c r="AAG70" s="4"/>
      <c r="AAH70" s="4"/>
      <c r="AAI70" s="4"/>
      <c r="AAJ70" s="4"/>
      <c r="AAK70" s="4"/>
      <c r="AAL70" s="4"/>
      <c r="AAM70" s="4"/>
      <c r="AAN70" s="4"/>
      <c r="AAO70" s="4"/>
      <c r="AAP70" s="4"/>
      <c r="AAQ70" s="4"/>
      <c r="AAR70" s="4"/>
      <c r="AAS70" s="4"/>
      <c r="AAT70" s="4"/>
      <c r="AAU70" s="4"/>
      <c r="AAV70" s="4"/>
      <c r="AAW70" s="4"/>
      <c r="AAX70" s="4"/>
      <c r="AAY70" s="4"/>
      <c r="AAZ70" s="4"/>
      <c r="ABA70" s="4"/>
      <c r="ABB70" s="4"/>
      <c r="ABC70" s="4"/>
      <c r="ABD70" s="4"/>
      <c r="ABE70" s="4"/>
      <c r="ABF70" s="4"/>
      <c r="ABG70" s="4"/>
      <c r="ABH70" s="4"/>
      <c r="ABI70" s="4"/>
      <c r="ABJ70" s="4"/>
      <c r="ABK70" s="4"/>
      <c r="ABL70" s="4"/>
      <c r="ABM70" s="4"/>
      <c r="ABN70" s="4"/>
      <c r="ABO70" s="4"/>
      <c r="ABP70" s="4"/>
      <c r="ABQ70" s="4"/>
      <c r="ABR70" s="4"/>
      <c r="ABS70" s="4"/>
      <c r="ABT70" s="4"/>
      <c r="ABU70" s="4"/>
      <c r="ABV70" s="4"/>
      <c r="ABW70" s="4"/>
      <c r="ABX70" s="4"/>
      <c r="ABY70" s="4"/>
      <c r="ABZ70" s="4"/>
      <c r="ACA70" s="4"/>
      <c r="ACB70" s="4"/>
      <c r="ACC70" s="4"/>
      <c r="ACD70" s="4"/>
      <c r="ACE70" s="4"/>
      <c r="ACF70" s="4"/>
      <c r="ACG70" s="4"/>
      <c r="ACH70" s="4"/>
      <c r="ACI70" s="4"/>
      <c r="ACJ70" s="4"/>
      <c r="ACK70" s="4"/>
      <c r="ACL70" s="4"/>
      <c r="ACM70" s="4"/>
      <c r="ACN70" s="4"/>
      <c r="ACO70" s="4"/>
      <c r="ACP70" s="4"/>
      <c r="ACQ70" s="4"/>
      <c r="ACR70" s="4"/>
      <c r="ACS70" s="4"/>
      <c r="ACT70" s="4"/>
      <c r="ACU70" s="4"/>
      <c r="ACV70" s="4"/>
      <c r="ACW70" s="4"/>
      <c r="ACX70" s="4"/>
      <c r="ACY70" s="4"/>
      <c r="ACZ70" s="4"/>
      <c r="ADA70" s="4"/>
      <c r="ADB70" s="4"/>
      <c r="ADC70" s="4"/>
      <c r="ADD70" s="4"/>
      <c r="ADE70" s="4"/>
      <c r="ADF70" s="4"/>
      <c r="ADG70" s="4"/>
      <c r="ADH70" s="4"/>
      <c r="ADI70" s="4"/>
      <c r="ADJ70" s="4"/>
      <c r="ADK70" s="4"/>
      <c r="ADL70" s="4"/>
      <c r="ADM70" s="4"/>
      <c r="ADN70" s="4"/>
      <c r="ADO70" s="4"/>
      <c r="ADP70" s="4"/>
      <c r="ADQ70" s="4"/>
      <c r="ADR70" s="4"/>
      <c r="ADS70" s="4"/>
      <c r="ADT70" s="4"/>
      <c r="ADU70" s="4"/>
      <c r="ADV70" s="4"/>
      <c r="ADW70" s="4"/>
      <c r="ADX70" s="4"/>
      <c r="ADY70" s="4"/>
      <c r="ADZ70" s="4"/>
      <c r="AEA70" s="4"/>
      <c r="AEB70" s="4"/>
      <c r="AEC70" s="4"/>
      <c r="AED70" s="4"/>
      <c r="AEE70" s="4"/>
      <c r="AEF70" s="4"/>
      <c r="AEG70" s="4"/>
      <c r="AEH70" s="4"/>
      <c r="AEI70" s="4"/>
      <c r="AEJ70" s="4"/>
      <c r="AEK70" s="4"/>
      <c r="AEL70" s="4"/>
      <c r="AEM70" s="4"/>
      <c r="AEN70" s="4"/>
      <c r="AEO70" s="4"/>
      <c r="AEP70" s="4"/>
      <c r="AEQ70" s="4"/>
      <c r="AER70" s="4"/>
      <c r="AES70" s="4"/>
      <c r="AET70" s="4"/>
      <c r="AEU70" s="4"/>
      <c r="AEV70" s="4"/>
      <c r="AEW70" s="4"/>
      <c r="AEX70" s="4"/>
      <c r="AEY70" s="4"/>
      <c r="AEZ70" s="4"/>
      <c r="AFA70" s="4"/>
      <c r="AFB70" s="4"/>
      <c r="AFC70" s="4"/>
      <c r="AFD70" s="4"/>
      <c r="AFE70" s="4"/>
      <c r="AFF70" s="4"/>
      <c r="AFG70" s="4"/>
      <c r="AFH70" s="4"/>
      <c r="AFI70" s="4"/>
      <c r="AFJ70" s="4"/>
      <c r="AFK70" s="4"/>
      <c r="AFL70" s="4"/>
      <c r="AFM70" s="4"/>
      <c r="AFN70" s="4"/>
      <c r="AFO70" s="4"/>
      <c r="AFP70" s="4"/>
      <c r="AFQ70" s="4"/>
      <c r="AFR70" s="4"/>
      <c r="AFS70" s="4"/>
      <c r="AFT70" s="4"/>
      <c r="AFU70" s="4"/>
      <c r="AFV70" s="4"/>
      <c r="AFW70" s="4"/>
      <c r="AFX70" s="4"/>
      <c r="AFY70" s="4"/>
      <c r="AFZ70" s="4"/>
      <c r="AGA70" s="4"/>
      <c r="AGB70" s="4"/>
      <c r="AGC70" s="4"/>
      <c r="AGD70" s="4"/>
      <c r="AGE70" s="4"/>
      <c r="AGF70" s="4"/>
      <c r="AGG70" s="4"/>
      <c r="AGH70" s="4"/>
      <c r="AGI70" s="4"/>
      <c r="AGJ70" s="4"/>
      <c r="AGK70" s="4"/>
      <c r="AGL70" s="4"/>
      <c r="AGM70" s="4"/>
      <c r="AGN70" s="4"/>
      <c r="AGO70" s="4"/>
      <c r="AGP70" s="4"/>
      <c r="AGQ70" s="4"/>
      <c r="AGR70" s="4"/>
      <c r="AGS70" s="4"/>
      <c r="AGT70" s="4"/>
      <c r="AGU70" s="4"/>
      <c r="AGV70" s="4"/>
      <c r="AGW70" s="4"/>
      <c r="AGX70" s="4"/>
      <c r="AGY70" s="4"/>
      <c r="AGZ70" s="4"/>
      <c r="AHA70" s="4"/>
      <c r="AHB70" s="4"/>
      <c r="AHC70" s="4"/>
      <c r="AHD70" s="4"/>
      <c r="AHE70" s="4"/>
      <c r="AHF70" s="4"/>
      <c r="AHG70" s="4"/>
      <c r="AHH70" s="4"/>
      <c r="AHI70" s="4"/>
      <c r="AHJ70" s="4"/>
      <c r="AHK70" s="4"/>
      <c r="AHL70" s="4"/>
      <c r="AHM70" s="4"/>
      <c r="AHN70" s="4"/>
      <c r="AHO70" s="4"/>
      <c r="AHP70" s="4"/>
      <c r="AHQ70" s="4"/>
      <c r="AHR70" s="4"/>
      <c r="AHS70" s="4"/>
      <c r="AHT70" s="4"/>
      <c r="AHU70" s="4"/>
      <c r="AHV70" s="4"/>
      <c r="AHW70" s="4"/>
      <c r="AHX70" s="4"/>
      <c r="AHY70" s="4"/>
      <c r="AHZ70" s="4"/>
      <c r="AIA70" s="4"/>
      <c r="AIB70" s="4"/>
      <c r="AIC70" s="4"/>
      <c r="AID70" s="4"/>
      <c r="AIE70" s="4"/>
      <c r="AIF70" s="4"/>
      <c r="AIG70" s="4"/>
      <c r="AIH70" s="4"/>
      <c r="AII70" s="4"/>
      <c r="AIJ70" s="4"/>
      <c r="AIK70" s="4"/>
      <c r="AIL70" s="4"/>
      <c r="AIM70" s="4"/>
      <c r="AIN70" s="4"/>
      <c r="AIO70" s="4"/>
      <c r="AIP70" s="4"/>
      <c r="AIQ70" s="4"/>
      <c r="AIR70" s="4"/>
      <c r="AIS70" s="4"/>
      <c r="AIT70" s="4"/>
      <c r="AIU70" s="4"/>
      <c r="AIV70" s="4"/>
      <c r="AIW70" s="4"/>
      <c r="AIX70" s="4"/>
      <c r="AIY70" s="4"/>
      <c r="AIZ70" s="4"/>
      <c r="AJA70" s="4"/>
      <c r="AJB70" s="4"/>
      <c r="AJC70" s="4"/>
      <c r="AJD70" s="4"/>
      <c r="AJE70" s="4"/>
      <c r="AJF70" s="4"/>
      <c r="AJG70" s="4"/>
      <c r="AJH70" s="4"/>
      <c r="AJI70" s="4"/>
      <c r="AJJ70" s="4"/>
      <c r="AJK70" s="4"/>
      <c r="AJL70" s="4"/>
      <c r="AJM70" s="4"/>
      <c r="AJN70" s="4"/>
      <c r="AJO70" s="4"/>
      <c r="AJP70" s="4"/>
      <c r="AJQ70" s="4"/>
      <c r="AJR70" s="4"/>
      <c r="AJS70" s="4"/>
      <c r="AJT70" s="4"/>
      <c r="AJU70" s="4"/>
      <c r="AJV70" s="4"/>
      <c r="AJW70" s="4"/>
      <c r="AJX70" s="4"/>
      <c r="AJY70" s="4"/>
      <c r="AJZ70" s="4"/>
      <c r="AKA70" s="4"/>
      <c r="AKB70" s="4"/>
      <c r="AKC70" s="4"/>
      <c r="AKD70" s="4"/>
      <c r="AKE70" s="4"/>
      <c r="AKF70" s="4"/>
      <c r="AKG70" s="4"/>
      <c r="AKH70" s="4"/>
      <c r="AKI70" s="4"/>
      <c r="AKJ70" s="4"/>
      <c r="AKK70" s="4"/>
      <c r="AKL70" s="4"/>
      <c r="AKM70" s="4"/>
      <c r="AKN70" s="4"/>
      <c r="AKO70" s="4"/>
      <c r="AKP70" s="4"/>
      <c r="AKQ70" s="4"/>
      <c r="AKR70" s="4"/>
      <c r="AKS70" s="4"/>
      <c r="AKT70" s="4"/>
      <c r="AKU70" s="4"/>
      <c r="AKV70" s="4"/>
      <c r="AKW70" s="4"/>
      <c r="AKX70" s="4"/>
      <c r="AKY70" s="4"/>
      <c r="AKZ70" s="4"/>
      <c r="ALA70" s="4"/>
      <c r="ALB70" s="4"/>
      <c r="ALC70" s="4"/>
      <c r="ALD70" s="4"/>
      <c r="ALE70" s="4"/>
      <c r="ALF70" s="4"/>
      <c r="ALG70" s="4"/>
      <c r="ALH70" s="4"/>
      <c r="ALI70" s="4"/>
      <c r="ALJ70" s="4"/>
      <c r="ALK70" s="4"/>
      <c r="ALL70" s="4"/>
      <c r="ALM70" s="4"/>
      <c r="ALN70" s="4"/>
      <c r="ALO70" s="4"/>
      <c r="ALP70" s="4"/>
      <c r="ALQ70" s="4"/>
      <c r="ALR70" s="4"/>
      <c r="ALS70" s="4"/>
      <c r="ALT70" s="4"/>
      <c r="ALU70" s="4"/>
      <c r="ALV70" s="4"/>
      <c r="ALW70" s="4"/>
      <c r="ALX70" s="4"/>
      <c r="ALY70" s="4"/>
      <c r="ALZ70" s="4"/>
      <c r="AMA70" s="4"/>
      <c r="AMB70" s="4"/>
      <c r="AMC70" s="4"/>
      <c r="AMD70" s="4"/>
      <c r="AME70" s="4"/>
      <c r="AMF70" s="4"/>
      <c r="AMG70" s="4"/>
      <c r="AMH70" s="4"/>
      <c r="AMI70" s="4"/>
      <c r="AMJ70" s="4"/>
    </row>
    <row r="71" spans="1:1024" x14ac:dyDescent="0.3">
      <c r="A71" s="11"/>
      <c r="B71" s="3" t="s">
        <v>10</v>
      </c>
    </row>
    <row r="72" spans="1:1024" ht="18" customHeight="1" x14ac:dyDescent="0.3">
      <c r="B72" s="11" t="s">
        <v>35</v>
      </c>
      <c r="C72" s="15" t="s">
        <v>36</v>
      </c>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c r="IX72" s="15"/>
      <c r="IY72" s="15"/>
      <c r="IZ72" s="15"/>
      <c r="JA72" s="15"/>
      <c r="JB72" s="15"/>
      <c r="JC72" s="15"/>
      <c r="JD72" s="15"/>
      <c r="JE72" s="15"/>
      <c r="JF72" s="15"/>
      <c r="JG72" s="15"/>
      <c r="JH72" s="15"/>
      <c r="JI72" s="15"/>
      <c r="JJ72" s="15"/>
      <c r="JK72" s="15"/>
      <c r="JL72" s="15"/>
      <c r="JM72" s="15"/>
      <c r="JN72" s="15"/>
      <c r="JO72" s="15"/>
      <c r="JP72" s="15"/>
      <c r="JQ72" s="15"/>
      <c r="JR72" s="15"/>
      <c r="JS72" s="15"/>
      <c r="JT72" s="15"/>
      <c r="JU72" s="15"/>
      <c r="JV72" s="15"/>
      <c r="JW72" s="15"/>
      <c r="JX72" s="15"/>
      <c r="JY72" s="15"/>
      <c r="JZ72" s="15"/>
      <c r="KA72" s="15"/>
      <c r="KB72" s="15"/>
      <c r="KC72" s="15"/>
      <c r="KD72" s="15"/>
      <c r="KE72" s="15"/>
      <c r="KF72" s="15"/>
      <c r="KG72" s="15"/>
      <c r="KH72" s="15"/>
      <c r="KI72" s="15"/>
      <c r="KJ72" s="15"/>
      <c r="KK72" s="15"/>
      <c r="KL72" s="15"/>
      <c r="KM72" s="15"/>
      <c r="KN72" s="15"/>
      <c r="KO72" s="15"/>
      <c r="KP72" s="15"/>
      <c r="KQ72" s="15"/>
      <c r="KR72" s="15"/>
      <c r="KS72" s="15"/>
      <c r="KT72" s="15"/>
      <c r="KU72" s="15"/>
      <c r="KV72" s="15"/>
      <c r="KW72" s="15"/>
      <c r="KX72" s="15"/>
      <c r="KY72" s="15"/>
      <c r="KZ72" s="15"/>
      <c r="LA72" s="15"/>
      <c r="LB72" s="15"/>
      <c r="LC72" s="15"/>
      <c r="LD72" s="15"/>
      <c r="LE72" s="15"/>
      <c r="LF72" s="15"/>
      <c r="LG72" s="15"/>
      <c r="LH72" s="15"/>
      <c r="LI72" s="15"/>
      <c r="LJ72" s="15"/>
      <c r="LK72" s="15"/>
      <c r="LL72" s="15"/>
      <c r="LM72" s="15"/>
      <c r="LN72" s="15"/>
      <c r="LO72" s="15"/>
      <c r="LP72" s="15"/>
      <c r="LQ72" s="15"/>
      <c r="LR72" s="15"/>
      <c r="LS72" s="15"/>
      <c r="LT72" s="15"/>
      <c r="LU72" s="15"/>
      <c r="LV72" s="15"/>
      <c r="LW72" s="15"/>
      <c r="LX72" s="15"/>
      <c r="LY72" s="15"/>
      <c r="LZ72" s="15"/>
      <c r="MA72" s="15"/>
      <c r="MB72" s="15"/>
      <c r="MC72" s="15"/>
      <c r="MD72" s="15"/>
      <c r="ME72" s="15"/>
      <c r="MF72" s="15"/>
      <c r="MG72" s="15"/>
      <c r="MH72" s="15"/>
      <c r="MI72" s="15"/>
      <c r="MJ72" s="15"/>
      <c r="MK72" s="15"/>
      <c r="ML72" s="15"/>
      <c r="MM72" s="15"/>
      <c r="MN72" s="15"/>
      <c r="MO72" s="15"/>
      <c r="MP72" s="15"/>
      <c r="MQ72" s="15"/>
      <c r="MR72" s="15"/>
      <c r="MS72" s="15"/>
      <c r="MT72" s="15"/>
      <c r="MU72" s="15"/>
      <c r="MV72" s="15"/>
      <c r="MW72" s="15"/>
      <c r="MX72" s="15"/>
      <c r="MY72" s="15"/>
      <c r="MZ72" s="15"/>
      <c r="NA72" s="15"/>
      <c r="NB72" s="15"/>
      <c r="NC72" s="15"/>
      <c r="ND72" s="15"/>
      <c r="NE72" s="15"/>
      <c r="NF72" s="15"/>
      <c r="NG72" s="15"/>
      <c r="NH72" s="15"/>
      <c r="NI72" s="15"/>
      <c r="NJ72" s="15"/>
      <c r="NK72" s="15"/>
      <c r="NL72" s="15"/>
      <c r="NM72" s="15"/>
      <c r="NN72" s="15"/>
      <c r="NO72" s="15"/>
      <c r="NP72" s="15"/>
      <c r="NQ72" s="15"/>
      <c r="NR72" s="15"/>
      <c r="NS72" s="15"/>
      <c r="NT72" s="15"/>
      <c r="NU72" s="15"/>
      <c r="NV72" s="15"/>
      <c r="NW72" s="15"/>
      <c r="NX72" s="15"/>
      <c r="NY72" s="15"/>
      <c r="NZ72" s="15"/>
      <c r="OA72" s="15"/>
      <c r="OB72" s="15"/>
      <c r="OC72" s="15"/>
      <c r="OD72" s="15"/>
      <c r="OE72" s="15"/>
      <c r="OF72" s="15"/>
      <c r="OG72" s="15"/>
      <c r="OH72" s="15"/>
      <c r="OI72" s="15"/>
      <c r="OJ72" s="15"/>
      <c r="OK72" s="15"/>
      <c r="OL72" s="15"/>
      <c r="OM72" s="15"/>
      <c r="ON72" s="15"/>
      <c r="OO72" s="15"/>
      <c r="OP72" s="15"/>
      <c r="OQ72" s="15"/>
      <c r="OR72" s="15"/>
      <c r="OS72" s="15"/>
      <c r="OT72" s="15"/>
      <c r="OU72" s="15"/>
      <c r="OV72" s="15"/>
      <c r="OW72" s="15"/>
      <c r="OX72" s="15"/>
      <c r="OY72" s="15"/>
      <c r="OZ72" s="15"/>
      <c r="PA72" s="15"/>
      <c r="PB72" s="15"/>
      <c r="PC72" s="15"/>
      <c r="PD72" s="15"/>
      <c r="PE72" s="15"/>
      <c r="PF72" s="15"/>
      <c r="PG72" s="15"/>
      <c r="PH72" s="15"/>
      <c r="PI72" s="15"/>
      <c r="PJ72" s="15"/>
      <c r="PK72" s="15"/>
      <c r="PL72" s="15"/>
      <c r="PM72" s="15"/>
      <c r="PN72" s="15"/>
      <c r="PO72" s="15"/>
      <c r="PP72" s="15"/>
      <c r="PQ72" s="15"/>
      <c r="PR72" s="15"/>
      <c r="PS72" s="15"/>
      <c r="PT72" s="15"/>
      <c r="PU72" s="15"/>
      <c r="PV72" s="15"/>
      <c r="PW72" s="15"/>
      <c r="PX72" s="15"/>
      <c r="PY72" s="15"/>
      <c r="PZ72" s="15"/>
      <c r="QA72" s="15"/>
      <c r="QB72" s="15"/>
      <c r="QC72" s="15"/>
      <c r="QD72" s="15"/>
      <c r="QE72" s="15"/>
      <c r="QF72" s="15"/>
      <c r="QG72" s="15"/>
      <c r="QH72" s="15"/>
      <c r="QI72" s="15"/>
      <c r="QJ72" s="15"/>
      <c r="QK72" s="15"/>
      <c r="QL72" s="15"/>
      <c r="QM72" s="15"/>
      <c r="QN72" s="15"/>
      <c r="QO72" s="15"/>
      <c r="QP72" s="15"/>
      <c r="QQ72" s="15"/>
      <c r="QR72" s="15"/>
      <c r="QS72" s="15"/>
      <c r="QT72" s="15"/>
      <c r="QU72" s="15"/>
      <c r="QV72" s="15"/>
      <c r="QW72" s="15"/>
      <c r="QX72" s="15"/>
      <c r="QY72" s="15"/>
      <c r="QZ72" s="15"/>
      <c r="RA72" s="15"/>
      <c r="RB72" s="15"/>
      <c r="RC72" s="15"/>
      <c r="RD72" s="15"/>
      <c r="RE72" s="15"/>
      <c r="RF72" s="15"/>
      <c r="RG72" s="15"/>
      <c r="RH72" s="15"/>
      <c r="RI72" s="15"/>
      <c r="RJ72" s="15"/>
      <c r="RK72" s="15"/>
      <c r="RL72" s="15"/>
      <c r="RM72" s="15"/>
      <c r="RN72" s="15"/>
      <c r="RO72" s="15"/>
      <c r="RP72" s="15"/>
      <c r="RQ72" s="15"/>
      <c r="RR72" s="15"/>
      <c r="RS72" s="15"/>
      <c r="RT72" s="15"/>
      <c r="RU72" s="15"/>
      <c r="RV72" s="15"/>
      <c r="RW72" s="15"/>
      <c r="RX72" s="15"/>
      <c r="RY72" s="15"/>
      <c r="RZ72" s="15"/>
      <c r="SA72" s="15"/>
      <c r="SB72" s="15"/>
      <c r="SC72" s="15"/>
      <c r="SD72" s="15"/>
      <c r="SE72" s="15"/>
      <c r="SF72" s="15"/>
      <c r="SG72" s="15"/>
      <c r="SH72" s="15"/>
      <c r="SI72" s="15"/>
      <c r="SJ72" s="15"/>
      <c r="SK72" s="15"/>
      <c r="SL72" s="15"/>
      <c r="SM72" s="15"/>
      <c r="SN72" s="15"/>
      <c r="SO72" s="15"/>
      <c r="SP72" s="15"/>
      <c r="SQ72" s="15"/>
      <c r="SR72" s="15"/>
      <c r="SS72" s="15"/>
      <c r="ST72" s="15"/>
      <c r="SU72" s="15"/>
      <c r="SV72" s="15"/>
      <c r="SW72" s="15"/>
      <c r="SX72" s="15"/>
      <c r="SY72" s="15"/>
      <c r="SZ72" s="15"/>
      <c r="TA72" s="15"/>
      <c r="TB72" s="15"/>
      <c r="TC72" s="15"/>
      <c r="TD72" s="15"/>
      <c r="TE72" s="15"/>
      <c r="TF72" s="15"/>
      <c r="TG72" s="15"/>
      <c r="TH72" s="15"/>
      <c r="TI72" s="15"/>
      <c r="TJ72" s="15"/>
      <c r="TK72" s="15"/>
      <c r="TL72" s="15"/>
      <c r="TM72" s="15"/>
      <c r="TN72" s="15"/>
      <c r="TO72" s="15"/>
      <c r="TP72" s="15"/>
      <c r="TQ72" s="15"/>
      <c r="TR72" s="15"/>
      <c r="TS72" s="15"/>
      <c r="TT72" s="15"/>
      <c r="TU72" s="15"/>
      <c r="TV72" s="15"/>
      <c r="TW72" s="15"/>
      <c r="TX72" s="15"/>
      <c r="TY72" s="15"/>
      <c r="TZ72" s="15"/>
      <c r="UA72" s="15"/>
      <c r="UB72" s="15"/>
      <c r="UC72" s="15"/>
      <c r="UD72" s="15"/>
      <c r="UE72" s="15"/>
      <c r="UF72" s="15"/>
      <c r="UG72" s="15"/>
      <c r="UH72" s="15"/>
      <c r="UI72" s="15"/>
      <c r="UJ72" s="15"/>
      <c r="UK72" s="15"/>
      <c r="UL72" s="15"/>
      <c r="UM72" s="15"/>
      <c r="UN72" s="15"/>
      <c r="UO72" s="15"/>
      <c r="UP72" s="15"/>
      <c r="UQ72" s="15"/>
      <c r="UR72" s="15"/>
      <c r="US72" s="15"/>
      <c r="UT72" s="15"/>
      <c r="UU72" s="15"/>
      <c r="UV72" s="15"/>
      <c r="UW72" s="15"/>
      <c r="UX72" s="15"/>
      <c r="UY72" s="15"/>
      <c r="UZ72" s="15"/>
      <c r="VA72" s="15"/>
      <c r="VB72" s="15"/>
      <c r="VC72" s="15"/>
      <c r="VD72" s="15"/>
      <c r="VE72" s="15"/>
      <c r="VF72" s="15"/>
      <c r="VG72" s="15"/>
      <c r="VH72" s="15"/>
      <c r="VI72" s="15"/>
      <c r="VJ72" s="15"/>
      <c r="VK72" s="15"/>
      <c r="VL72" s="15"/>
      <c r="VM72" s="15"/>
      <c r="VN72" s="15"/>
      <c r="VO72" s="15"/>
      <c r="VP72" s="15"/>
      <c r="VQ72" s="15"/>
      <c r="VR72" s="15"/>
      <c r="VS72" s="15"/>
      <c r="VT72" s="15"/>
      <c r="VU72" s="15"/>
      <c r="VV72" s="15"/>
      <c r="VW72" s="15"/>
      <c r="VX72" s="15"/>
      <c r="VY72" s="15"/>
      <c r="VZ72" s="15"/>
      <c r="WA72" s="15"/>
      <c r="WB72" s="15"/>
      <c r="WC72" s="15"/>
      <c r="WD72" s="15"/>
      <c r="WE72" s="15"/>
      <c r="WF72" s="15"/>
      <c r="WG72" s="15"/>
      <c r="WH72" s="15"/>
      <c r="WI72" s="15"/>
      <c r="WJ72" s="15"/>
      <c r="WK72" s="15"/>
      <c r="WL72" s="15"/>
      <c r="WM72" s="15"/>
      <c r="WN72" s="15"/>
      <c r="WO72" s="15"/>
      <c r="WP72" s="15"/>
      <c r="WQ72" s="15"/>
      <c r="WR72" s="15"/>
      <c r="WS72" s="15"/>
      <c r="WT72" s="15"/>
      <c r="WU72" s="15"/>
      <c r="WV72" s="15"/>
      <c r="WW72" s="15"/>
      <c r="WX72" s="15"/>
      <c r="WY72" s="15"/>
      <c r="WZ72" s="15"/>
      <c r="XA72" s="15"/>
      <c r="XB72" s="15"/>
      <c r="XC72" s="15"/>
      <c r="XD72" s="15"/>
      <c r="XE72" s="15"/>
      <c r="XF72" s="15"/>
      <c r="XG72" s="15"/>
      <c r="XH72" s="15"/>
      <c r="XI72" s="15"/>
      <c r="XJ72" s="15"/>
      <c r="XK72" s="15"/>
      <c r="XL72" s="15"/>
      <c r="XM72" s="15"/>
      <c r="XN72" s="15"/>
      <c r="XO72" s="15"/>
      <c r="XP72" s="15"/>
      <c r="XQ72" s="15"/>
      <c r="XR72" s="15"/>
      <c r="XS72" s="15"/>
      <c r="XT72" s="15"/>
      <c r="XU72" s="15"/>
      <c r="XV72" s="15"/>
      <c r="XW72" s="15"/>
      <c r="XX72" s="15"/>
      <c r="XY72" s="15"/>
      <c r="XZ72" s="15"/>
      <c r="YA72" s="15"/>
      <c r="YB72" s="15"/>
      <c r="YC72" s="15"/>
      <c r="YD72" s="15"/>
      <c r="YE72" s="15"/>
      <c r="YF72" s="15"/>
      <c r="YG72" s="15"/>
      <c r="YH72" s="15"/>
      <c r="YI72" s="15"/>
      <c r="YJ72" s="15"/>
      <c r="YK72" s="15"/>
      <c r="YL72" s="15"/>
      <c r="YM72" s="15"/>
      <c r="YN72" s="15"/>
      <c r="YO72" s="15"/>
      <c r="YP72" s="15"/>
      <c r="YQ72" s="15"/>
      <c r="YR72" s="15"/>
      <c r="YS72" s="15"/>
      <c r="YT72" s="15"/>
      <c r="YU72" s="15"/>
      <c r="YV72" s="15"/>
      <c r="YW72" s="15"/>
      <c r="YX72" s="15"/>
      <c r="YY72" s="15"/>
      <c r="YZ72" s="15"/>
      <c r="ZA72" s="15"/>
      <c r="ZB72" s="15"/>
      <c r="ZC72" s="15"/>
      <c r="ZD72" s="15"/>
      <c r="ZE72" s="15"/>
      <c r="ZF72" s="15"/>
      <c r="ZG72" s="15"/>
      <c r="ZH72" s="15"/>
      <c r="ZI72" s="15"/>
      <c r="ZJ72" s="15"/>
      <c r="ZK72" s="15"/>
      <c r="ZL72" s="15"/>
      <c r="ZM72" s="15"/>
      <c r="ZN72" s="15"/>
      <c r="ZO72" s="15"/>
      <c r="ZP72" s="15"/>
      <c r="ZQ72" s="15"/>
      <c r="ZR72" s="15"/>
      <c r="ZS72" s="15"/>
      <c r="ZT72" s="15"/>
      <c r="ZU72" s="15"/>
      <c r="ZV72" s="15"/>
      <c r="ZW72" s="15"/>
      <c r="ZX72" s="15"/>
      <c r="ZY72" s="15"/>
      <c r="ZZ72" s="15"/>
      <c r="AAA72" s="15"/>
      <c r="AAB72" s="15"/>
      <c r="AAC72" s="15"/>
      <c r="AAD72" s="15"/>
      <c r="AAE72" s="15"/>
      <c r="AAF72" s="15"/>
      <c r="AAG72" s="15"/>
      <c r="AAH72" s="15"/>
      <c r="AAI72" s="15"/>
      <c r="AAJ72" s="15"/>
      <c r="AAK72" s="15"/>
      <c r="AAL72" s="15"/>
      <c r="AAM72" s="15"/>
      <c r="AAN72" s="15"/>
      <c r="AAO72" s="15"/>
      <c r="AAP72" s="15"/>
      <c r="AAQ72" s="15"/>
      <c r="AAR72" s="15"/>
      <c r="AAS72" s="15"/>
      <c r="AAT72" s="15"/>
      <c r="AAU72" s="15"/>
      <c r="AAV72" s="15"/>
      <c r="AAW72" s="15"/>
      <c r="AAX72" s="15"/>
      <c r="AAY72" s="15"/>
      <c r="AAZ72" s="15"/>
      <c r="ABA72" s="15"/>
      <c r="ABB72" s="15"/>
      <c r="ABC72" s="15"/>
      <c r="ABD72" s="15"/>
      <c r="ABE72" s="15"/>
      <c r="ABF72" s="15"/>
      <c r="ABG72" s="15"/>
      <c r="ABH72" s="15"/>
      <c r="ABI72" s="15"/>
      <c r="ABJ72" s="15"/>
      <c r="ABK72" s="15"/>
      <c r="ABL72" s="15"/>
      <c r="ABM72" s="15"/>
      <c r="ABN72" s="15"/>
      <c r="ABO72" s="15"/>
      <c r="ABP72" s="15"/>
      <c r="ABQ72" s="15"/>
      <c r="ABR72" s="15"/>
      <c r="ABS72" s="15"/>
      <c r="ABT72" s="15"/>
      <c r="ABU72" s="15"/>
      <c r="ABV72" s="15"/>
      <c r="ABW72" s="15"/>
      <c r="ABX72" s="15"/>
      <c r="ABY72" s="15"/>
      <c r="ABZ72" s="15"/>
      <c r="ACA72" s="15"/>
      <c r="ACB72" s="15"/>
      <c r="ACC72" s="15"/>
      <c r="ACD72" s="15"/>
      <c r="ACE72" s="15"/>
      <c r="ACF72" s="15"/>
      <c r="ACG72" s="15"/>
      <c r="ACH72" s="15"/>
      <c r="ACI72" s="15"/>
      <c r="ACJ72" s="15"/>
      <c r="ACK72" s="15"/>
      <c r="ACL72" s="15"/>
      <c r="ACM72" s="15"/>
      <c r="ACN72" s="15"/>
      <c r="ACO72" s="15"/>
      <c r="ACP72" s="15"/>
      <c r="ACQ72" s="15"/>
      <c r="ACR72" s="15"/>
      <c r="ACS72" s="15"/>
      <c r="ACT72" s="15"/>
      <c r="ACU72" s="15"/>
      <c r="ACV72" s="15"/>
      <c r="ACW72" s="15"/>
      <c r="ACX72" s="15"/>
      <c r="ACY72" s="15"/>
      <c r="ACZ72" s="15"/>
      <c r="ADA72" s="15"/>
      <c r="ADB72" s="15"/>
      <c r="ADC72" s="15"/>
      <c r="ADD72" s="15"/>
      <c r="ADE72" s="15"/>
      <c r="ADF72" s="15"/>
      <c r="ADG72" s="15"/>
      <c r="ADH72" s="15"/>
      <c r="ADI72" s="15"/>
      <c r="ADJ72" s="15"/>
      <c r="ADK72" s="15"/>
      <c r="ADL72" s="15"/>
      <c r="ADM72" s="15"/>
      <c r="ADN72" s="15"/>
      <c r="ADO72" s="15"/>
      <c r="ADP72" s="15"/>
      <c r="ADQ72" s="15"/>
      <c r="ADR72" s="15"/>
      <c r="ADS72" s="15"/>
      <c r="ADT72" s="15"/>
      <c r="ADU72" s="15"/>
      <c r="ADV72" s="15"/>
      <c r="ADW72" s="15"/>
      <c r="ADX72" s="15"/>
      <c r="ADY72" s="15"/>
      <c r="ADZ72" s="15"/>
      <c r="AEA72" s="15"/>
      <c r="AEB72" s="15"/>
      <c r="AEC72" s="15"/>
      <c r="AED72" s="15"/>
      <c r="AEE72" s="15"/>
      <c r="AEF72" s="15"/>
      <c r="AEG72" s="15"/>
      <c r="AEH72" s="15"/>
      <c r="AEI72" s="15"/>
      <c r="AEJ72" s="15"/>
      <c r="AEK72" s="15"/>
      <c r="AEL72" s="15"/>
      <c r="AEM72" s="15"/>
      <c r="AEN72" s="15"/>
      <c r="AEO72" s="15"/>
      <c r="AEP72" s="15"/>
      <c r="AEQ72" s="15"/>
      <c r="AER72" s="15"/>
      <c r="AES72" s="15"/>
      <c r="AET72" s="15"/>
      <c r="AEU72" s="15"/>
      <c r="AEV72" s="15"/>
      <c r="AEW72" s="15"/>
      <c r="AEX72" s="15"/>
      <c r="AEY72" s="15"/>
      <c r="AEZ72" s="15"/>
      <c r="AFA72" s="15"/>
      <c r="AFB72" s="15"/>
      <c r="AFC72" s="15"/>
      <c r="AFD72" s="15"/>
      <c r="AFE72" s="15"/>
      <c r="AFF72" s="15"/>
      <c r="AFG72" s="15"/>
      <c r="AFH72" s="15"/>
      <c r="AFI72" s="15"/>
      <c r="AFJ72" s="15"/>
      <c r="AFK72" s="15"/>
      <c r="AFL72" s="15"/>
      <c r="AFM72" s="15"/>
      <c r="AFN72" s="15"/>
      <c r="AFO72" s="15"/>
      <c r="AFP72" s="15"/>
      <c r="AFQ72" s="15"/>
      <c r="AFR72" s="15"/>
      <c r="AFS72" s="15"/>
      <c r="AFT72" s="15"/>
      <c r="AFU72" s="15"/>
      <c r="AFV72" s="15"/>
      <c r="AFW72" s="15"/>
      <c r="AFX72" s="15"/>
      <c r="AFY72" s="15"/>
      <c r="AFZ72" s="15"/>
      <c r="AGA72" s="15"/>
      <c r="AGB72" s="15"/>
      <c r="AGC72" s="15"/>
      <c r="AGD72" s="15"/>
      <c r="AGE72" s="15"/>
      <c r="AGF72" s="15"/>
      <c r="AGG72" s="15"/>
      <c r="AGH72" s="15"/>
      <c r="AGI72" s="15"/>
      <c r="AGJ72" s="15"/>
      <c r="AGK72" s="15"/>
      <c r="AGL72" s="15"/>
      <c r="AGM72" s="15"/>
      <c r="AGN72" s="15"/>
      <c r="AGO72" s="15"/>
      <c r="AGP72" s="15"/>
      <c r="AGQ72" s="15"/>
      <c r="AGR72" s="15"/>
      <c r="AGS72" s="15"/>
      <c r="AGT72" s="15"/>
      <c r="AGU72" s="15"/>
      <c r="AGV72" s="15"/>
      <c r="AGW72" s="15"/>
      <c r="AGX72" s="15"/>
      <c r="AGY72" s="15"/>
      <c r="AGZ72" s="15"/>
      <c r="AHA72" s="15"/>
      <c r="AHB72" s="15"/>
      <c r="AHC72" s="15"/>
      <c r="AHD72" s="15"/>
      <c r="AHE72" s="15"/>
      <c r="AHF72" s="15"/>
      <c r="AHG72" s="15"/>
      <c r="AHH72" s="15"/>
      <c r="AHI72" s="15"/>
      <c r="AHJ72" s="15"/>
      <c r="AHK72" s="15"/>
      <c r="AHL72" s="15"/>
      <c r="AHM72" s="15"/>
      <c r="AHN72" s="15"/>
      <c r="AHO72" s="15"/>
      <c r="AHP72" s="15"/>
      <c r="AHQ72" s="15"/>
      <c r="AHR72" s="15"/>
      <c r="AHS72" s="15"/>
      <c r="AHT72" s="15"/>
      <c r="AHU72" s="15"/>
      <c r="AHV72" s="15"/>
      <c r="AHW72" s="15"/>
      <c r="AHX72" s="15"/>
      <c r="AHY72" s="15"/>
      <c r="AHZ72" s="15"/>
      <c r="AIA72" s="15"/>
      <c r="AIB72" s="15"/>
      <c r="AIC72" s="15"/>
      <c r="AID72" s="15"/>
      <c r="AIE72" s="15"/>
      <c r="AIF72" s="15"/>
      <c r="AIG72" s="15"/>
      <c r="AIH72" s="15"/>
      <c r="AII72" s="15"/>
      <c r="AIJ72" s="15"/>
      <c r="AIK72" s="15"/>
      <c r="AIL72" s="15"/>
      <c r="AIM72" s="15"/>
      <c r="AIN72" s="15"/>
      <c r="AIO72" s="15"/>
      <c r="AIP72" s="15"/>
      <c r="AIQ72" s="15"/>
      <c r="AIR72" s="15"/>
      <c r="AIS72" s="15"/>
      <c r="AIT72" s="15"/>
      <c r="AIU72" s="15"/>
      <c r="AIV72" s="15"/>
      <c r="AIW72" s="15"/>
      <c r="AIX72" s="15"/>
      <c r="AIY72" s="15"/>
      <c r="AIZ72" s="15"/>
      <c r="AJA72" s="15"/>
      <c r="AJB72" s="15"/>
      <c r="AJC72" s="15"/>
      <c r="AJD72" s="15"/>
      <c r="AJE72" s="15"/>
      <c r="AJF72" s="15"/>
      <c r="AJG72" s="15"/>
      <c r="AJH72" s="15"/>
      <c r="AJI72" s="15"/>
      <c r="AJJ72" s="15"/>
      <c r="AJK72" s="15"/>
      <c r="AJL72" s="15"/>
      <c r="AJM72" s="15"/>
      <c r="AJN72" s="15"/>
      <c r="AJO72" s="15"/>
      <c r="AJP72" s="15"/>
      <c r="AJQ72" s="15"/>
      <c r="AJR72" s="15"/>
      <c r="AJS72" s="15"/>
      <c r="AJT72" s="15"/>
      <c r="AJU72" s="15"/>
      <c r="AJV72" s="15"/>
      <c r="AJW72" s="15"/>
      <c r="AJX72" s="15"/>
      <c r="AJY72" s="15"/>
      <c r="AJZ72" s="15"/>
      <c r="AKA72" s="15"/>
      <c r="AKB72" s="15"/>
      <c r="AKC72" s="15"/>
      <c r="AKD72" s="15"/>
      <c r="AKE72" s="15"/>
      <c r="AKF72" s="15"/>
      <c r="AKG72" s="15"/>
      <c r="AKH72" s="15"/>
      <c r="AKI72" s="15"/>
      <c r="AKJ72" s="15"/>
      <c r="AKK72" s="15"/>
      <c r="AKL72" s="15"/>
      <c r="AKM72" s="15"/>
      <c r="AKN72" s="15"/>
      <c r="AKO72" s="15"/>
      <c r="AKP72" s="15"/>
      <c r="AKQ72" s="15"/>
      <c r="AKR72" s="15"/>
      <c r="AKS72" s="15"/>
      <c r="AKT72" s="15"/>
      <c r="AKU72" s="15"/>
      <c r="AKV72" s="15"/>
      <c r="AKW72" s="15"/>
      <c r="AKX72" s="15"/>
      <c r="AKY72" s="15"/>
      <c r="AKZ72" s="15"/>
      <c r="ALA72" s="15"/>
      <c r="ALB72" s="15"/>
      <c r="ALC72" s="15"/>
      <c r="ALD72" s="15"/>
      <c r="ALE72" s="15"/>
      <c r="ALF72" s="15"/>
      <c r="ALG72" s="15"/>
      <c r="ALH72" s="15"/>
      <c r="ALI72" s="15"/>
      <c r="ALJ72" s="15"/>
      <c r="ALK72" s="15"/>
      <c r="ALL72" s="15"/>
      <c r="ALM72" s="15"/>
      <c r="ALN72" s="15"/>
      <c r="ALO72" s="15"/>
      <c r="ALP72" s="15"/>
      <c r="ALQ72" s="15"/>
      <c r="ALR72" s="15"/>
      <c r="ALS72" s="15"/>
      <c r="ALT72" s="15"/>
      <c r="ALU72" s="15"/>
      <c r="ALV72" s="15"/>
      <c r="ALW72" s="15"/>
      <c r="ALX72" s="15"/>
      <c r="ALY72" s="15"/>
      <c r="ALZ72" s="15"/>
      <c r="AMA72" s="15"/>
      <c r="AMB72" s="15"/>
      <c r="AMC72" s="15"/>
      <c r="AMD72" s="15"/>
      <c r="AME72" s="15"/>
      <c r="AMF72" s="15"/>
      <c r="AMG72" s="15"/>
      <c r="AMH72" s="15"/>
      <c r="AMI72" s="15"/>
      <c r="AMJ72" s="15"/>
    </row>
    <row r="73" spans="1:1024" x14ac:dyDescent="0.3">
      <c r="B73" s="16" t="s">
        <v>37</v>
      </c>
      <c r="C73" s="20" t="s">
        <v>38</v>
      </c>
      <c r="D73" s="20"/>
      <c r="E73" s="20"/>
      <c r="F73" s="20"/>
      <c r="G73" s="20"/>
    </row>
    <row r="74" spans="1:1024" s="15" customFormat="1" ht="24.75" customHeight="1" x14ac:dyDescent="0.3">
      <c r="A74" s="2"/>
      <c r="B74" s="3"/>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c r="NZ74" s="4"/>
      <c r="OA74" s="4"/>
      <c r="OB74" s="4"/>
      <c r="OC74" s="4"/>
      <c r="OD74" s="4"/>
      <c r="OE74" s="4"/>
      <c r="OF74" s="4"/>
      <c r="OG74" s="4"/>
      <c r="OH74" s="4"/>
      <c r="OI74" s="4"/>
      <c r="OJ74" s="4"/>
      <c r="OK74" s="4"/>
      <c r="OL74" s="4"/>
      <c r="OM74" s="4"/>
      <c r="ON74" s="4"/>
      <c r="OO74" s="4"/>
      <c r="OP74" s="4"/>
      <c r="OQ74" s="4"/>
      <c r="OR74" s="4"/>
      <c r="OS74" s="4"/>
      <c r="OT74" s="4"/>
      <c r="OU74" s="4"/>
      <c r="OV74" s="4"/>
      <c r="OW74" s="4"/>
      <c r="OX74" s="4"/>
      <c r="OY74" s="4"/>
      <c r="OZ74" s="4"/>
      <c r="PA74" s="4"/>
      <c r="PB74" s="4"/>
      <c r="PC74" s="4"/>
      <c r="PD74" s="4"/>
      <c r="PE74" s="4"/>
      <c r="PF74" s="4"/>
      <c r="PG74" s="4"/>
      <c r="PH74" s="4"/>
      <c r="PI74" s="4"/>
      <c r="PJ74" s="4"/>
      <c r="PK74" s="4"/>
      <c r="PL74" s="4"/>
      <c r="PM74" s="4"/>
      <c r="PN74" s="4"/>
      <c r="PO74" s="4"/>
      <c r="PP74" s="4"/>
      <c r="PQ74" s="4"/>
      <c r="PR74" s="4"/>
      <c r="PS74" s="4"/>
      <c r="PT74" s="4"/>
      <c r="PU74" s="4"/>
      <c r="PV74" s="4"/>
      <c r="PW74" s="4"/>
      <c r="PX74" s="4"/>
      <c r="PY74" s="4"/>
      <c r="PZ74" s="4"/>
      <c r="QA74" s="4"/>
      <c r="QB74" s="4"/>
      <c r="QC74" s="4"/>
      <c r="QD74" s="4"/>
      <c r="QE74" s="4"/>
      <c r="QF74" s="4"/>
      <c r="QG74" s="4"/>
      <c r="QH74" s="4"/>
      <c r="QI74" s="4"/>
      <c r="QJ74" s="4"/>
      <c r="QK74" s="4"/>
      <c r="QL74" s="4"/>
      <c r="QM74" s="4"/>
      <c r="QN74" s="4"/>
      <c r="QO74" s="4"/>
      <c r="QP74" s="4"/>
      <c r="QQ74" s="4"/>
      <c r="QR74" s="4"/>
      <c r="QS74" s="4"/>
      <c r="QT74" s="4"/>
      <c r="QU74" s="4"/>
      <c r="QV74" s="4"/>
      <c r="QW74" s="4"/>
      <c r="QX74" s="4"/>
      <c r="QY74" s="4"/>
      <c r="QZ74" s="4"/>
      <c r="RA74" s="4"/>
      <c r="RB74" s="4"/>
      <c r="RC74" s="4"/>
      <c r="RD74" s="4"/>
      <c r="RE74" s="4"/>
      <c r="RF74" s="4"/>
      <c r="RG74" s="4"/>
      <c r="RH74" s="4"/>
      <c r="RI74" s="4"/>
      <c r="RJ74" s="4"/>
      <c r="RK74" s="4"/>
      <c r="RL74" s="4"/>
      <c r="RM74" s="4"/>
      <c r="RN74" s="4"/>
      <c r="RO74" s="4"/>
      <c r="RP74" s="4"/>
      <c r="RQ74" s="4"/>
      <c r="RR74" s="4"/>
      <c r="RS74" s="4"/>
      <c r="RT74" s="4"/>
      <c r="RU74" s="4"/>
      <c r="RV74" s="4"/>
      <c r="RW74" s="4"/>
      <c r="RX74" s="4"/>
      <c r="RY74" s="4"/>
      <c r="RZ74" s="4"/>
      <c r="SA74" s="4"/>
      <c r="SB74" s="4"/>
      <c r="SC74" s="4"/>
      <c r="SD74" s="4"/>
      <c r="SE74" s="4"/>
      <c r="SF74" s="4"/>
      <c r="SG74" s="4"/>
      <c r="SH74" s="4"/>
      <c r="SI74" s="4"/>
      <c r="SJ74" s="4"/>
      <c r="SK74" s="4"/>
      <c r="SL74" s="4"/>
      <c r="SM74" s="4"/>
      <c r="SN74" s="4"/>
      <c r="SO74" s="4"/>
      <c r="SP74" s="4"/>
      <c r="SQ74" s="4"/>
      <c r="SR74" s="4"/>
      <c r="SS74" s="4"/>
      <c r="ST74" s="4"/>
      <c r="SU74" s="4"/>
      <c r="SV74" s="4"/>
      <c r="SW74" s="4"/>
      <c r="SX74" s="4"/>
      <c r="SY74" s="4"/>
      <c r="SZ74" s="4"/>
      <c r="TA74" s="4"/>
      <c r="TB74" s="4"/>
      <c r="TC74" s="4"/>
      <c r="TD74" s="4"/>
      <c r="TE74" s="4"/>
      <c r="TF74" s="4"/>
      <c r="TG74" s="4"/>
      <c r="TH74" s="4"/>
      <c r="TI74" s="4"/>
      <c r="TJ74" s="4"/>
      <c r="TK74" s="4"/>
      <c r="TL74" s="4"/>
      <c r="TM74" s="4"/>
      <c r="TN74" s="4"/>
      <c r="TO74" s="4"/>
      <c r="TP74" s="4"/>
      <c r="TQ74" s="4"/>
      <c r="TR74" s="4"/>
      <c r="TS74" s="4"/>
      <c r="TT74" s="4"/>
      <c r="TU74" s="4"/>
      <c r="TV74" s="4"/>
      <c r="TW74" s="4"/>
      <c r="TX74" s="4"/>
      <c r="TY74" s="4"/>
      <c r="TZ74" s="4"/>
      <c r="UA74" s="4"/>
      <c r="UB74" s="4"/>
      <c r="UC74" s="4"/>
      <c r="UD74" s="4"/>
      <c r="UE74" s="4"/>
      <c r="UF74" s="4"/>
      <c r="UG74" s="4"/>
      <c r="UH74" s="4"/>
      <c r="UI74" s="4"/>
      <c r="UJ74" s="4"/>
      <c r="UK74" s="4"/>
      <c r="UL74" s="4"/>
      <c r="UM74" s="4"/>
      <c r="UN74" s="4"/>
      <c r="UO74" s="4"/>
      <c r="UP74" s="4"/>
      <c r="UQ74" s="4"/>
      <c r="UR74" s="4"/>
      <c r="US74" s="4"/>
      <c r="UT74" s="4"/>
      <c r="UU74" s="4"/>
      <c r="UV74" s="4"/>
      <c r="UW74" s="4"/>
      <c r="UX74" s="4"/>
      <c r="UY74" s="4"/>
      <c r="UZ74" s="4"/>
      <c r="VA74" s="4"/>
      <c r="VB74" s="4"/>
      <c r="VC74" s="4"/>
      <c r="VD74" s="4"/>
      <c r="VE74" s="4"/>
      <c r="VF74" s="4"/>
      <c r="VG74" s="4"/>
      <c r="VH74" s="4"/>
      <c r="VI74" s="4"/>
      <c r="VJ74" s="4"/>
      <c r="VK74" s="4"/>
      <c r="VL74" s="4"/>
      <c r="VM74" s="4"/>
      <c r="VN74" s="4"/>
      <c r="VO74" s="4"/>
      <c r="VP74" s="4"/>
      <c r="VQ74" s="4"/>
      <c r="VR74" s="4"/>
      <c r="VS74" s="4"/>
      <c r="VT74" s="4"/>
      <c r="VU74" s="4"/>
      <c r="VV74" s="4"/>
      <c r="VW74" s="4"/>
      <c r="VX74" s="4"/>
      <c r="VY74" s="4"/>
      <c r="VZ74" s="4"/>
      <c r="WA74" s="4"/>
      <c r="WB74" s="4"/>
      <c r="WC74" s="4"/>
      <c r="WD74" s="4"/>
      <c r="WE74" s="4"/>
      <c r="WF74" s="4"/>
      <c r="WG74" s="4"/>
      <c r="WH74" s="4"/>
      <c r="WI74" s="4"/>
      <c r="WJ74" s="4"/>
      <c r="WK74" s="4"/>
      <c r="WL74" s="4"/>
      <c r="WM74" s="4"/>
      <c r="WN74" s="4"/>
      <c r="WO74" s="4"/>
      <c r="WP74" s="4"/>
      <c r="WQ74" s="4"/>
      <c r="WR74" s="4"/>
      <c r="WS74" s="4"/>
      <c r="WT74" s="4"/>
      <c r="WU74" s="4"/>
      <c r="WV74" s="4"/>
      <c r="WW74" s="4"/>
      <c r="WX74" s="4"/>
      <c r="WY74" s="4"/>
      <c r="WZ74" s="4"/>
      <c r="XA74" s="4"/>
      <c r="XB74" s="4"/>
      <c r="XC74" s="4"/>
      <c r="XD74" s="4"/>
      <c r="XE74" s="4"/>
      <c r="XF74" s="4"/>
      <c r="XG74" s="4"/>
      <c r="XH74" s="4"/>
      <c r="XI74" s="4"/>
      <c r="XJ74" s="4"/>
      <c r="XK74" s="4"/>
      <c r="XL74" s="4"/>
      <c r="XM74" s="4"/>
      <c r="XN74" s="4"/>
      <c r="XO74" s="4"/>
      <c r="XP74" s="4"/>
      <c r="XQ74" s="4"/>
      <c r="XR74" s="4"/>
      <c r="XS74" s="4"/>
      <c r="XT74" s="4"/>
      <c r="XU74" s="4"/>
      <c r="XV74" s="4"/>
      <c r="XW74" s="4"/>
      <c r="XX74" s="4"/>
      <c r="XY74" s="4"/>
      <c r="XZ74" s="4"/>
      <c r="YA74" s="4"/>
      <c r="YB74" s="4"/>
      <c r="YC74" s="4"/>
      <c r="YD74" s="4"/>
      <c r="YE74" s="4"/>
      <c r="YF74" s="4"/>
      <c r="YG74" s="4"/>
      <c r="YH74" s="4"/>
      <c r="YI74" s="4"/>
      <c r="YJ74" s="4"/>
      <c r="YK74" s="4"/>
      <c r="YL74" s="4"/>
      <c r="YM74" s="4"/>
      <c r="YN74" s="4"/>
      <c r="YO74" s="4"/>
      <c r="YP74" s="4"/>
      <c r="YQ74" s="4"/>
      <c r="YR74" s="4"/>
      <c r="YS74" s="4"/>
      <c r="YT74" s="4"/>
      <c r="YU74" s="4"/>
      <c r="YV74" s="4"/>
      <c r="YW74" s="4"/>
      <c r="YX74" s="4"/>
      <c r="YY74" s="4"/>
      <c r="YZ74" s="4"/>
      <c r="ZA74" s="4"/>
      <c r="ZB74" s="4"/>
      <c r="ZC74" s="4"/>
      <c r="ZD74" s="4"/>
      <c r="ZE74" s="4"/>
      <c r="ZF74" s="4"/>
      <c r="ZG74" s="4"/>
      <c r="ZH74" s="4"/>
      <c r="ZI74" s="4"/>
      <c r="ZJ74" s="4"/>
      <c r="ZK74" s="4"/>
      <c r="ZL74" s="4"/>
      <c r="ZM74" s="4"/>
      <c r="ZN74" s="4"/>
      <c r="ZO74" s="4"/>
      <c r="ZP74" s="4"/>
      <c r="ZQ74" s="4"/>
      <c r="ZR74" s="4"/>
      <c r="ZS74" s="4"/>
      <c r="ZT74" s="4"/>
      <c r="ZU74" s="4"/>
      <c r="ZV74" s="4"/>
      <c r="ZW74" s="4"/>
      <c r="ZX74" s="4"/>
      <c r="ZY74" s="4"/>
      <c r="ZZ74" s="4"/>
      <c r="AAA74" s="4"/>
      <c r="AAB74" s="4"/>
      <c r="AAC74" s="4"/>
      <c r="AAD74" s="4"/>
      <c r="AAE74" s="4"/>
      <c r="AAF74" s="4"/>
      <c r="AAG74" s="4"/>
      <c r="AAH74" s="4"/>
      <c r="AAI74" s="4"/>
      <c r="AAJ74" s="4"/>
      <c r="AAK74" s="4"/>
      <c r="AAL74" s="4"/>
      <c r="AAM74" s="4"/>
      <c r="AAN74" s="4"/>
      <c r="AAO74" s="4"/>
      <c r="AAP74" s="4"/>
      <c r="AAQ74" s="4"/>
      <c r="AAR74" s="4"/>
      <c r="AAS74" s="4"/>
      <c r="AAT74" s="4"/>
      <c r="AAU74" s="4"/>
      <c r="AAV74" s="4"/>
      <c r="AAW74" s="4"/>
      <c r="AAX74" s="4"/>
      <c r="AAY74" s="4"/>
      <c r="AAZ74" s="4"/>
      <c r="ABA74" s="4"/>
      <c r="ABB74" s="4"/>
      <c r="ABC74" s="4"/>
      <c r="ABD74" s="4"/>
      <c r="ABE74" s="4"/>
      <c r="ABF74" s="4"/>
      <c r="ABG74" s="4"/>
      <c r="ABH74" s="4"/>
      <c r="ABI74" s="4"/>
      <c r="ABJ74" s="4"/>
      <c r="ABK74" s="4"/>
      <c r="ABL74" s="4"/>
      <c r="ABM74" s="4"/>
      <c r="ABN74" s="4"/>
      <c r="ABO74" s="4"/>
      <c r="ABP74" s="4"/>
      <c r="ABQ74" s="4"/>
      <c r="ABR74" s="4"/>
      <c r="ABS74" s="4"/>
      <c r="ABT74" s="4"/>
      <c r="ABU74" s="4"/>
      <c r="ABV74" s="4"/>
      <c r="ABW74" s="4"/>
      <c r="ABX74" s="4"/>
      <c r="ABY74" s="4"/>
      <c r="ABZ74" s="4"/>
      <c r="ACA74" s="4"/>
      <c r="ACB74" s="4"/>
      <c r="ACC74" s="4"/>
      <c r="ACD74" s="4"/>
      <c r="ACE74" s="4"/>
      <c r="ACF74" s="4"/>
      <c r="ACG74" s="4"/>
      <c r="ACH74" s="4"/>
      <c r="ACI74" s="4"/>
      <c r="ACJ74" s="4"/>
      <c r="ACK74" s="4"/>
      <c r="ACL74" s="4"/>
      <c r="ACM74" s="4"/>
      <c r="ACN74" s="4"/>
      <c r="ACO74" s="4"/>
      <c r="ACP74" s="4"/>
      <c r="ACQ74" s="4"/>
      <c r="ACR74" s="4"/>
      <c r="ACS74" s="4"/>
      <c r="ACT74" s="4"/>
      <c r="ACU74" s="4"/>
      <c r="ACV74" s="4"/>
      <c r="ACW74" s="4"/>
      <c r="ACX74" s="4"/>
      <c r="ACY74" s="4"/>
      <c r="ACZ74" s="4"/>
      <c r="ADA74" s="4"/>
      <c r="ADB74" s="4"/>
      <c r="ADC74" s="4"/>
      <c r="ADD74" s="4"/>
      <c r="ADE74" s="4"/>
      <c r="ADF74" s="4"/>
      <c r="ADG74" s="4"/>
      <c r="ADH74" s="4"/>
      <c r="ADI74" s="4"/>
      <c r="ADJ74" s="4"/>
      <c r="ADK74" s="4"/>
      <c r="ADL74" s="4"/>
      <c r="ADM74" s="4"/>
      <c r="ADN74" s="4"/>
      <c r="ADO74" s="4"/>
      <c r="ADP74" s="4"/>
      <c r="ADQ74" s="4"/>
      <c r="ADR74" s="4"/>
      <c r="ADS74" s="4"/>
      <c r="ADT74" s="4"/>
      <c r="ADU74" s="4"/>
      <c r="ADV74" s="4"/>
      <c r="ADW74" s="4"/>
      <c r="ADX74" s="4"/>
      <c r="ADY74" s="4"/>
      <c r="ADZ74" s="4"/>
      <c r="AEA74" s="4"/>
      <c r="AEB74" s="4"/>
      <c r="AEC74" s="4"/>
      <c r="AED74" s="4"/>
      <c r="AEE74" s="4"/>
      <c r="AEF74" s="4"/>
      <c r="AEG74" s="4"/>
      <c r="AEH74" s="4"/>
      <c r="AEI74" s="4"/>
      <c r="AEJ74" s="4"/>
      <c r="AEK74" s="4"/>
      <c r="AEL74" s="4"/>
      <c r="AEM74" s="4"/>
      <c r="AEN74" s="4"/>
      <c r="AEO74" s="4"/>
      <c r="AEP74" s="4"/>
      <c r="AEQ74" s="4"/>
      <c r="AER74" s="4"/>
      <c r="AES74" s="4"/>
      <c r="AET74" s="4"/>
      <c r="AEU74" s="4"/>
      <c r="AEV74" s="4"/>
      <c r="AEW74" s="4"/>
      <c r="AEX74" s="4"/>
      <c r="AEY74" s="4"/>
      <c r="AEZ74" s="4"/>
      <c r="AFA74" s="4"/>
      <c r="AFB74" s="4"/>
      <c r="AFC74" s="4"/>
      <c r="AFD74" s="4"/>
      <c r="AFE74" s="4"/>
      <c r="AFF74" s="4"/>
      <c r="AFG74" s="4"/>
      <c r="AFH74" s="4"/>
      <c r="AFI74" s="4"/>
      <c r="AFJ74" s="4"/>
      <c r="AFK74" s="4"/>
      <c r="AFL74" s="4"/>
      <c r="AFM74" s="4"/>
      <c r="AFN74" s="4"/>
      <c r="AFO74" s="4"/>
      <c r="AFP74" s="4"/>
      <c r="AFQ74" s="4"/>
      <c r="AFR74" s="4"/>
      <c r="AFS74" s="4"/>
      <c r="AFT74" s="4"/>
      <c r="AFU74" s="4"/>
      <c r="AFV74" s="4"/>
      <c r="AFW74" s="4"/>
      <c r="AFX74" s="4"/>
      <c r="AFY74" s="4"/>
      <c r="AFZ74" s="4"/>
      <c r="AGA74" s="4"/>
      <c r="AGB74" s="4"/>
      <c r="AGC74" s="4"/>
      <c r="AGD74" s="4"/>
      <c r="AGE74" s="4"/>
      <c r="AGF74" s="4"/>
      <c r="AGG74" s="4"/>
      <c r="AGH74" s="4"/>
      <c r="AGI74" s="4"/>
      <c r="AGJ74" s="4"/>
      <c r="AGK74" s="4"/>
      <c r="AGL74" s="4"/>
      <c r="AGM74" s="4"/>
      <c r="AGN74" s="4"/>
      <c r="AGO74" s="4"/>
      <c r="AGP74" s="4"/>
      <c r="AGQ74" s="4"/>
      <c r="AGR74" s="4"/>
      <c r="AGS74" s="4"/>
      <c r="AGT74" s="4"/>
      <c r="AGU74" s="4"/>
      <c r="AGV74" s="4"/>
      <c r="AGW74" s="4"/>
      <c r="AGX74" s="4"/>
      <c r="AGY74" s="4"/>
      <c r="AGZ74" s="4"/>
      <c r="AHA74" s="4"/>
      <c r="AHB74" s="4"/>
      <c r="AHC74" s="4"/>
      <c r="AHD74" s="4"/>
      <c r="AHE74" s="4"/>
      <c r="AHF74" s="4"/>
      <c r="AHG74" s="4"/>
      <c r="AHH74" s="4"/>
      <c r="AHI74" s="4"/>
      <c r="AHJ74" s="4"/>
      <c r="AHK74" s="4"/>
      <c r="AHL74" s="4"/>
      <c r="AHM74" s="4"/>
      <c r="AHN74" s="4"/>
      <c r="AHO74" s="4"/>
      <c r="AHP74" s="4"/>
      <c r="AHQ74" s="4"/>
      <c r="AHR74" s="4"/>
      <c r="AHS74" s="4"/>
      <c r="AHT74" s="4"/>
      <c r="AHU74" s="4"/>
      <c r="AHV74" s="4"/>
      <c r="AHW74" s="4"/>
      <c r="AHX74" s="4"/>
      <c r="AHY74" s="4"/>
      <c r="AHZ74" s="4"/>
      <c r="AIA74" s="4"/>
      <c r="AIB74" s="4"/>
      <c r="AIC74" s="4"/>
      <c r="AID74" s="4"/>
      <c r="AIE74" s="4"/>
      <c r="AIF74" s="4"/>
      <c r="AIG74" s="4"/>
      <c r="AIH74" s="4"/>
      <c r="AII74" s="4"/>
      <c r="AIJ74" s="4"/>
      <c r="AIK74" s="4"/>
      <c r="AIL74" s="4"/>
      <c r="AIM74" s="4"/>
      <c r="AIN74" s="4"/>
      <c r="AIO74" s="4"/>
      <c r="AIP74" s="4"/>
      <c r="AIQ74" s="4"/>
      <c r="AIR74" s="4"/>
      <c r="AIS74" s="4"/>
      <c r="AIT74" s="4"/>
      <c r="AIU74" s="4"/>
      <c r="AIV74" s="4"/>
      <c r="AIW74" s="4"/>
      <c r="AIX74" s="4"/>
      <c r="AIY74" s="4"/>
      <c r="AIZ74" s="4"/>
      <c r="AJA74" s="4"/>
      <c r="AJB74" s="4"/>
      <c r="AJC74" s="4"/>
      <c r="AJD74" s="4"/>
      <c r="AJE74" s="4"/>
      <c r="AJF74" s="4"/>
      <c r="AJG74" s="4"/>
      <c r="AJH74" s="4"/>
      <c r="AJI74" s="4"/>
      <c r="AJJ74" s="4"/>
      <c r="AJK74" s="4"/>
      <c r="AJL74" s="4"/>
      <c r="AJM74" s="4"/>
      <c r="AJN74" s="4"/>
      <c r="AJO74" s="4"/>
      <c r="AJP74" s="4"/>
      <c r="AJQ74" s="4"/>
      <c r="AJR74" s="4"/>
      <c r="AJS74" s="4"/>
      <c r="AJT74" s="4"/>
      <c r="AJU74" s="4"/>
      <c r="AJV74" s="4"/>
      <c r="AJW74" s="4"/>
      <c r="AJX74" s="4"/>
      <c r="AJY74" s="4"/>
      <c r="AJZ74" s="4"/>
      <c r="AKA74" s="4"/>
      <c r="AKB74" s="4"/>
      <c r="AKC74" s="4"/>
      <c r="AKD74" s="4"/>
      <c r="AKE74" s="4"/>
      <c r="AKF74" s="4"/>
      <c r="AKG74" s="4"/>
      <c r="AKH74" s="4"/>
      <c r="AKI74" s="4"/>
      <c r="AKJ74" s="4"/>
      <c r="AKK74" s="4"/>
      <c r="AKL74" s="4"/>
      <c r="AKM74" s="4"/>
      <c r="AKN74" s="4"/>
      <c r="AKO74" s="4"/>
      <c r="AKP74" s="4"/>
      <c r="AKQ74" s="4"/>
      <c r="AKR74" s="4"/>
      <c r="AKS74" s="4"/>
      <c r="AKT74" s="4"/>
      <c r="AKU74" s="4"/>
      <c r="AKV74" s="4"/>
      <c r="AKW74" s="4"/>
      <c r="AKX74" s="4"/>
      <c r="AKY74" s="4"/>
      <c r="AKZ74" s="4"/>
      <c r="ALA74" s="4"/>
      <c r="ALB74" s="4"/>
      <c r="ALC74" s="4"/>
      <c r="ALD74" s="4"/>
      <c r="ALE74" s="4"/>
      <c r="ALF74" s="4"/>
      <c r="ALG74" s="4"/>
      <c r="ALH74" s="4"/>
      <c r="ALI74" s="4"/>
      <c r="ALJ74" s="4"/>
      <c r="ALK74" s="4"/>
      <c r="ALL74" s="4"/>
      <c r="ALM74" s="4"/>
      <c r="ALN74" s="4"/>
      <c r="ALO74" s="4"/>
      <c r="ALP74" s="4"/>
      <c r="ALQ74" s="4"/>
      <c r="ALR74" s="4"/>
      <c r="ALS74" s="4"/>
      <c r="ALT74" s="4"/>
      <c r="ALU74" s="4"/>
      <c r="ALV74" s="4"/>
      <c r="ALW74" s="4"/>
      <c r="ALX74" s="4"/>
      <c r="ALY74" s="4"/>
      <c r="ALZ74" s="4"/>
      <c r="AMA74" s="4"/>
      <c r="AMB74" s="4"/>
      <c r="AMC74" s="4"/>
      <c r="AMD74" s="4"/>
      <c r="AME74" s="4"/>
      <c r="AMF74" s="4"/>
      <c r="AMG74" s="4"/>
      <c r="AMH74" s="4"/>
      <c r="AMI74" s="4"/>
      <c r="AMJ74" s="4"/>
    </row>
    <row r="75" spans="1:1024" s="15" customFormat="1" ht="15" customHeight="1" x14ac:dyDescent="0.3">
      <c r="A75" s="11" t="s">
        <v>39</v>
      </c>
      <c r="B75" s="21" t="s">
        <v>40</v>
      </c>
    </row>
    <row r="76" spans="1:1024" s="15" customFormat="1" ht="15.75" customHeight="1" x14ac:dyDescent="0.3">
      <c r="A76" s="2"/>
      <c r="B76" s="11" t="s">
        <v>41</v>
      </c>
      <c r="C76" s="22" t="s">
        <v>42</v>
      </c>
    </row>
    <row r="77" spans="1:1024" x14ac:dyDescent="0.3">
      <c r="B77" s="16" t="s">
        <v>43</v>
      </c>
      <c r="C77" s="23" t="s">
        <v>44</v>
      </c>
      <c r="D77" s="23"/>
      <c r="E77" s="23"/>
      <c r="F77" s="23"/>
    </row>
    <row r="78" spans="1:1024" ht="24.75" customHeight="1" x14ac:dyDescent="0.3"/>
    <row r="79" spans="1:1024" x14ac:dyDescent="0.3">
      <c r="A79" s="11" t="s">
        <v>45</v>
      </c>
      <c r="B79" s="3" t="s">
        <v>46</v>
      </c>
    </row>
    <row r="80" spans="1:1024" ht="16.5" customHeight="1" x14ac:dyDescent="0.3">
      <c r="B80" s="11" t="s">
        <v>47</v>
      </c>
      <c r="C80" s="22" t="s">
        <v>48</v>
      </c>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c r="IX80" s="15"/>
      <c r="IY80" s="15"/>
      <c r="IZ80" s="15"/>
      <c r="JA80" s="15"/>
      <c r="JB80" s="15"/>
      <c r="JC80" s="15"/>
      <c r="JD80" s="15"/>
      <c r="JE80" s="15"/>
      <c r="JF80" s="15"/>
      <c r="JG80" s="15"/>
      <c r="JH80" s="15"/>
      <c r="JI80" s="15"/>
      <c r="JJ80" s="15"/>
      <c r="JK80" s="15"/>
      <c r="JL80" s="15"/>
      <c r="JM80" s="15"/>
      <c r="JN80" s="15"/>
      <c r="JO80" s="15"/>
      <c r="JP80" s="15"/>
      <c r="JQ80" s="15"/>
      <c r="JR80" s="15"/>
      <c r="JS80" s="15"/>
      <c r="JT80" s="15"/>
      <c r="JU80" s="15"/>
      <c r="JV80" s="15"/>
      <c r="JW80" s="15"/>
      <c r="JX80" s="15"/>
      <c r="JY80" s="15"/>
      <c r="JZ80" s="15"/>
      <c r="KA80" s="15"/>
      <c r="KB80" s="15"/>
      <c r="KC80" s="15"/>
      <c r="KD80" s="15"/>
      <c r="KE80" s="15"/>
      <c r="KF80" s="15"/>
      <c r="KG80" s="15"/>
      <c r="KH80" s="15"/>
      <c r="KI80" s="15"/>
      <c r="KJ80" s="15"/>
      <c r="KK80" s="15"/>
      <c r="KL80" s="15"/>
      <c r="KM80" s="15"/>
      <c r="KN80" s="15"/>
      <c r="KO80" s="15"/>
      <c r="KP80" s="15"/>
      <c r="KQ80" s="15"/>
      <c r="KR80" s="15"/>
      <c r="KS80" s="15"/>
      <c r="KT80" s="15"/>
      <c r="KU80" s="15"/>
      <c r="KV80" s="15"/>
      <c r="KW80" s="15"/>
      <c r="KX80" s="15"/>
      <c r="KY80" s="15"/>
      <c r="KZ80" s="15"/>
      <c r="LA80" s="15"/>
      <c r="LB80" s="15"/>
      <c r="LC80" s="15"/>
      <c r="LD80" s="15"/>
      <c r="LE80" s="15"/>
      <c r="LF80" s="15"/>
      <c r="LG80" s="15"/>
      <c r="LH80" s="15"/>
      <c r="LI80" s="15"/>
      <c r="LJ80" s="15"/>
      <c r="LK80" s="15"/>
      <c r="LL80" s="15"/>
      <c r="LM80" s="15"/>
      <c r="LN80" s="15"/>
      <c r="LO80" s="15"/>
      <c r="LP80" s="15"/>
      <c r="LQ80" s="15"/>
      <c r="LR80" s="15"/>
      <c r="LS80" s="15"/>
      <c r="LT80" s="15"/>
      <c r="LU80" s="15"/>
      <c r="LV80" s="15"/>
      <c r="LW80" s="15"/>
      <c r="LX80" s="15"/>
      <c r="LY80" s="15"/>
      <c r="LZ80" s="15"/>
      <c r="MA80" s="15"/>
      <c r="MB80" s="15"/>
      <c r="MC80" s="15"/>
      <c r="MD80" s="15"/>
      <c r="ME80" s="15"/>
      <c r="MF80" s="15"/>
      <c r="MG80" s="15"/>
      <c r="MH80" s="15"/>
      <c r="MI80" s="15"/>
      <c r="MJ80" s="15"/>
      <c r="MK80" s="15"/>
      <c r="ML80" s="15"/>
      <c r="MM80" s="15"/>
      <c r="MN80" s="15"/>
      <c r="MO80" s="15"/>
      <c r="MP80" s="15"/>
      <c r="MQ80" s="15"/>
      <c r="MR80" s="15"/>
      <c r="MS80" s="15"/>
      <c r="MT80" s="15"/>
      <c r="MU80" s="15"/>
      <c r="MV80" s="15"/>
      <c r="MW80" s="15"/>
      <c r="MX80" s="15"/>
      <c r="MY80" s="15"/>
      <c r="MZ80" s="15"/>
      <c r="NA80" s="15"/>
      <c r="NB80" s="15"/>
      <c r="NC80" s="15"/>
      <c r="ND80" s="15"/>
      <c r="NE80" s="15"/>
      <c r="NF80" s="15"/>
      <c r="NG80" s="15"/>
      <c r="NH80" s="15"/>
      <c r="NI80" s="15"/>
      <c r="NJ80" s="15"/>
      <c r="NK80" s="15"/>
      <c r="NL80" s="15"/>
      <c r="NM80" s="15"/>
      <c r="NN80" s="15"/>
      <c r="NO80" s="15"/>
      <c r="NP80" s="15"/>
      <c r="NQ80" s="15"/>
      <c r="NR80" s="15"/>
      <c r="NS80" s="15"/>
      <c r="NT80" s="15"/>
      <c r="NU80" s="15"/>
      <c r="NV80" s="15"/>
      <c r="NW80" s="15"/>
      <c r="NX80" s="15"/>
      <c r="NY80" s="15"/>
      <c r="NZ80" s="15"/>
      <c r="OA80" s="15"/>
      <c r="OB80" s="15"/>
      <c r="OC80" s="15"/>
      <c r="OD80" s="15"/>
      <c r="OE80" s="15"/>
      <c r="OF80" s="15"/>
      <c r="OG80" s="15"/>
      <c r="OH80" s="15"/>
      <c r="OI80" s="15"/>
      <c r="OJ80" s="15"/>
      <c r="OK80" s="15"/>
      <c r="OL80" s="15"/>
      <c r="OM80" s="15"/>
      <c r="ON80" s="15"/>
      <c r="OO80" s="15"/>
      <c r="OP80" s="15"/>
      <c r="OQ80" s="15"/>
      <c r="OR80" s="15"/>
      <c r="OS80" s="15"/>
      <c r="OT80" s="15"/>
      <c r="OU80" s="15"/>
      <c r="OV80" s="15"/>
      <c r="OW80" s="15"/>
      <c r="OX80" s="15"/>
      <c r="OY80" s="15"/>
      <c r="OZ80" s="15"/>
      <c r="PA80" s="15"/>
      <c r="PB80" s="15"/>
      <c r="PC80" s="15"/>
      <c r="PD80" s="15"/>
      <c r="PE80" s="15"/>
      <c r="PF80" s="15"/>
      <c r="PG80" s="15"/>
      <c r="PH80" s="15"/>
      <c r="PI80" s="15"/>
      <c r="PJ80" s="15"/>
      <c r="PK80" s="15"/>
      <c r="PL80" s="15"/>
      <c r="PM80" s="15"/>
      <c r="PN80" s="15"/>
      <c r="PO80" s="15"/>
      <c r="PP80" s="15"/>
      <c r="PQ80" s="15"/>
      <c r="PR80" s="15"/>
      <c r="PS80" s="15"/>
      <c r="PT80" s="15"/>
      <c r="PU80" s="15"/>
      <c r="PV80" s="15"/>
      <c r="PW80" s="15"/>
      <c r="PX80" s="15"/>
      <c r="PY80" s="15"/>
      <c r="PZ80" s="15"/>
      <c r="QA80" s="15"/>
      <c r="QB80" s="15"/>
      <c r="QC80" s="15"/>
      <c r="QD80" s="15"/>
      <c r="QE80" s="15"/>
      <c r="QF80" s="15"/>
      <c r="QG80" s="15"/>
      <c r="QH80" s="15"/>
      <c r="QI80" s="15"/>
      <c r="QJ80" s="15"/>
      <c r="QK80" s="15"/>
      <c r="QL80" s="15"/>
      <c r="QM80" s="15"/>
      <c r="QN80" s="15"/>
      <c r="QO80" s="15"/>
      <c r="QP80" s="15"/>
      <c r="QQ80" s="15"/>
      <c r="QR80" s="15"/>
      <c r="QS80" s="15"/>
      <c r="QT80" s="15"/>
      <c r="QU80" s="15"/>
      <c r="QV80" s="15"/>
      <c r="QW80" s="15"/>
      <c r="QX80" s="15"/>
      <c r="QY80" s="15"/>
      <c r="QZ80" s="15"/>
      <c r="RA80" s="15"/>
      <c r="RB80" s="15"/>
      <c r="RC80" s="15"/>
      <c r="RD80" s="15"/>
      <c r="RE80" s="15"/>
      <c r="RF80" s="15"/>
      <c r="RG80" s="15"/>
      <c r="RH80" s="15"/>
      <c r="RI80" s="15"/>
      <c r="RJ80" s="15"/>
      <c r="RK80" s="15"/>
      <c r="RL80" s="15"/>
      <c r="RM80" s="15"/>
      <c r="RN80" s="15"/>
      <c r="RO80" s="15"/>
      <c r="RP80" s="15"/>
      <c r="RQ80" s="15"/>
      <c r="RR80" s="15"/>
      <c r="RS80" s="15"/>
      <c r="RT80" s="15"/>
      <c r="RU80" s="15"/>
      <c r="RV80" s="15"/>
      <c r="RW80" s="15"/>
      <c r="RX80" s="15"/>
      <c r="RY80" s="15"/>
      <c r="RZ80" s="15"/>
      <c r="SA80" s="15"/>
      <c r="SB80" s="15"/>
      <c r="SC80" s="15"/>
      <c r="SD80" s="15"/>
      <c r="SE80" s="15"/>
      <c r="SF80" s="15"/>
      <c r="SG80" s="15"/>
      <c r="SH80" s="15"/>
      <c r="SI80" s="15"/>
      <c r="SJ80" s="15"/>
      <c r="SK80" s="15"/>
      <c r="SL80" s="15"/>
      <c r="SM80" s="15"/>
      <c r="SN80" s="15"/>
      <c r="SO80" s="15"/>
      <c r="SP80" s="15"/>
      <c r="SQ80" s="15"/>
      <c r="SR80" s="15"/>
      <c r="SS80" s="15"/>
      <c r="ST80" s="15"/>
      <c r="SU80" s="15"/>
      <c r="SV80" s="15"/>
      <c r="SW80" s="15"/>
      <c r="SX80" s="15"/>
      <c r="SY80" s="15"/>
      <c r="SZ80" s="15"/>
      <c r="TA80" s="15"/>
      <c r="TB80" s="15"/>
      <c r="TC80" s="15"/>
      <c r="TD80" s="15"/>
      <c r="TE80" s="15"/>
      <c r="TF80" s="15"/>
      <c r="TG80" s="15"/>
      <c r="TH80" s="15"/>
      <c r="TI80" s="15"/>
      <c r="TJ80" s="15"/>
      <c r="TK80" s="15"/>
      <c r="TL80" s="15"/>
      <c r="TM80" s="15"/>
      <c r="TN80" s="15"/>
      <c r="TO80" s="15"/>
      <c r="TP80" s="15"/>
      <c r="TQ80" s="15"/>
      <c r="TR80" s="15"/>
      <c r="TS80" s="15"/>
      <c r="TT80" s="15"/>
      <c r="TU80" s="15"/>
      <c r="TV80" s="15"/>
      <c r="TW80" s="15"/>
      <c r="TX80" s="15"/>
      <c r="TY80" s="15"/>
      <c r="TZ80" s="15"/>
      <c r="UA80" s="15"/>
      <c r="UB80" s="15"/>
      <c r="UC80" s="15"/>
      <c r="UD80" s="15"/>
      <c r="UE80" s="15"/>
      <c r="UF80" s="15"/>
      <c r="UG80" s="15"/>
      <c r="UH80" s="15"/>
      <c r="UI80" s="15"/>
      <c r="UJ80" s="15"/>
      <c r="UK80" s="15"/>
      <c r="UL80" s="15"/>
      <c r="UM80" s="15"/>
      <c r="UN80" s="15"/>
      <c r="UO80" s="15"/>
      <c r="UP80" s="15"/>
      <c r="UQ80" s="15"/>
      <c r="UR80" s="15"/>
      <c r="US80" s="15"/>
      <c r="UT80" s="15"/>
      <c r="UU80" s="15"/>
      <c r="UV80" s="15"/>
      <c r="UW80" s="15"/>
      <c r="UX80" s="15"/>
      <c r="UY80" s="15"/>
      <c r="UZ80" s="15"/>
      <c r="VA80" s="15"/>
      <c r="VB80" s="15"/>
      <c r="VC80" s="15"/>
      <c r="VD80" s="15"/>
      <c r="VE80" s="15"/>
      <c r="VF80" s="15"/>
      <c r="VG80" s="15"/>
      <c r="VH80" s="15"/>
      <c r="VI80" s="15"/>
      <c r="VJ80" s="15"/>
      <c r="VK80" s="15"/>
      <c r="VL80" s="15"/>
      <c r="VM80" s="15"/>
      <c r="VN80" s="15"/>
      <c r="VO80" s="15"/>
      <c r="VP80" s="15"/>
      <c r="VQ80" s="15"/>
      <c r="VR80" s="15"/>
      <c r="VS80" s="15"/>
      <c r="VT80" s="15"/>
      <c r="VU80" s="15"/>
      <c r="VV80" s="15"/>
      <c r="VW80" s="15"/>
      <c r="VX80" s="15"/>
      <c r="VY80" s="15"/>
      <c r="VZ80" s="15"/>
      <c r="WA80" s="15"/>
      <c r="WB80" s="15"/>
      <c r="WC80" s="15"/>
      <c r="WD80" s="15"/>
      <c r="WE80" s="15"/>
      <c r="WF80" s="15"/>
      <c r="WG80" s="15"/>
      <c r="WH80" s="15"/>
      <c r="WI80" s="15"/>
      <c r="WJ80" s="15"/>
      <c r="WK80" s="15"/>
      <c r="WL80" s="15"/>
      <c r="WM80" s="15"/>
      <c r="WN80" s="15"/>
      <c r="WO80" s="15"/>
      <c r="WP80" s="15"/>
      <c r="WQ80" s="15"/>
      <c r="WR80" s="15"/>
      <c r="WS80" s="15"/>
      <c r="WT80" s="15"/>
      <c r="WU80" s="15"/>
      <c r="WV80" s="15"/>
      <c r="WW80" s="15"/>
      <c r="WX80" s="15"/>
      <c r="WY80" s="15"/>
      <c r="WZ80" s="15"/>
      <c r="XA80" s="15"/>
      <c r="XB80" s="15"/>
      <c r="XC80" s="15"/>
      <c r="XD80" s="15"/>
      <c r="XE80" s="15"/>
      <c r="XF80" s="15"/>
      <c r="XG80" s="15"/>
      <c r="XH80" s="15"/>
      <c r="XI80" s="15"/>
      <c r="XJ80" s="15"/>
      <c r="XK80" s="15"/>
      <c r="XL80" s="15"/>
      <c r="XM80" s="15"/>
      <c r="XN80" s="15"/>
      <c r="XO80" s="15"/>
      <c r="XP80" s="15"/>
      <c r="XQ80" s="15"/>
      <c r="XR80" s="15"/>
      <c r="XS80" s="15"/>
      <c r="XT80" s="15"/>
      <c r="XU80" s="15"/>
      <c r="XV80" s="15"/>
      <c r="XW80" s="15"/>
      <c r="XX80" s="15"/>
      <c r="XY80" s="15"/>
      <c r="XZ80" s="15"/>
      <c r="YA80" s="15"/>
      <c r="YB80" s="15"/>
      <c r="YC80" s="15"/>
      <c r="YD80" s="15"/>
      <c r="YE80" s="15"/>
      <c r="YF80" s="15"/>
      <c r="YG80" s="15"/>
      <c r="YH80" s="15"/>
      <c r="YI80" s="15"/>
      <c r="YJ80" s="15"/>
      <c r="YK80" s="15"/>
      <c r="YL80" s="15"/>
      <c r="YM80" s="15"/>
      <c r="YN80" s="15"/>
      <c r="YO80" s="15"/>
      <c r="YP80" s="15"/>
      <c r="YQ80" s="15"/>
      <c r="YR80" s="15"/>
      <c r="YS80" s="15"/>
      <c r="YT80" s="15"/>
      <c r="YU80" s="15"/>
      <c r="YV80" s="15"/>
      <c r="YW80" s="15"/>
      <c r="YX80" s="15"/>
      <c r="YY80" s="15"/>
      <c r="YZ80" s="15"/>
      <c r="ZA80" s="15"/>
      <c r="ZB80" s="15"/>
      <c r="ZC80" s="15"/>
      <c r="ZD80" s="15"/>
      <c r="ZE80" s="15"/>
      <c r="ZF80" s="15"/>
      <c r="ZG80" s="15"/>
      <c r="ZH80" s="15"/>
      <c r="ZI80" s="15"/>
      <c r="ZJ80" s="15"/>
      <c r="ZK80" s="15"/>
      <c r="ZL80" s="15"/>
      <c r="ZM80" s="15"/>
      <c r="ZN80" s="15"/>
      <c r="ZO80" s="15"/>
      <c r="ZP80" s="15"/>
      <c r="ZQ80" s="15"/>
      <c r="ZR80" s="15"/>
      <c r="ZS80" s="15"/>
      <c r="ZT80" s="15"/>
      <c r="ZU80" s="15"/>
      <c r="ZV80" s="15"/>
      <c r="ZW80" s="15"/>
      <c r="ZX80" s="15"/>
      <c r="ZY80" s="15"/>
      <c r="ZZ80" s="15"/>
      <c r="AAA80" s="15"/>
      <c r="AAB80" s="15"/>
      <c r="AAC80" s="15"/>
      <c r="AAD80" s="15"/>
      <c r="AAE80" s="15"/>
      <c r="AAF80" s="15"/>
      <c r="AAG80" s="15"/>
      <c r="AAH80" s="15"/>
      <c r="AAI80" s="15"/>
      <c r="AAJ80" s="15"/>
      <c r="AAK80" s="15"/>
      <c r="AAL80" s="15"/>
      <c r="AAM80" s="15"/>
      <c r="AAN80" s="15"/>
      <c r="AAO80" s="15"/>
      <c r="AAP80" s="15"/>
      <c r="AAQ80" s="15"/>
      <c r="AAR80" s="15"/>
      <c r="AAS80" s="15"/>
      <c r="AAT80" s="15"/>
      <c r="AAU80" s="15"/>
      <c r="AAV80" s="15"/>
      <c r="AAW80" s="15"/>
      <c r="AAX80" s="15"/>
      <c r="AAY80" s="15"/>
      <c r="AAZ80" s="15"/>
      <c r="ABA80" s="15"/>
      <c r="ABB80" s="15"/>
      <c r="ABC80" s="15"/>
      <c r="ABD80" s="15"/>
      <c r="ABE80" s="15"/>
      <c r="ABF80" s="15"/>
      <c r="ABG80" s="15"/>
      <c r="ABH80" s="15"/>
      <c r="ABI80" s="15"/>
      <c r="ABJ80" s="15"/>
      <c r="ABK80" s="15"/>
      <c r="ABL80" s="15"/>
      <c r="ABM80" s="15"/>
      <c r="ABN80" s="15"/>
      <c r="ABO80" s="15"/>
      <c r="ABP80" s="15"/>
      <c r="ABQ80" s="15"/>
      <c r="ABR80" s="15"/>
      <c r="ABS80" s="15"/>
      <c r="ABT80" s="15"/>
      <c r="ABU80" s="15"/>
      <c r="ABV80" s="15"/>
      <c r="ABW80" s="15"/>
      <c r="ABX80" s="15"/>
      <c r="ABY80" s="15"/>
      <c r="ABZ80" s="15"/>
      <c r="ACA80" s="15"/>
      <c r="ACB80" s="15"/>
      <c r="ACC80" s="15"/>
      <c r="ACD80" s="15"/>
      <c r="ACE80" s="15"/>
      <c r="ACF80" s="15"/>
      <c r="ACG80" s="15"/>
      <c r="ACH80" s="15"/>
      <c r="ACI80" s="15"/>
      <c r="ACJ80" s="15"/>
      <c r="ACK80" s="15"/>
      <c r="ACL80" s="15"/>
      <c r="ACM80" s="15"/>
      <c r="ACN80" s="15"/>
      <c r="ACO80" s="15"/>
      <c r="ACP80" s="15"/>
      <c r="ACQ80" s="15"/>
      <c r="ACR80" s="15"/>
      <c r="ACS80" s="15"/>
      <c r="ACT80" s="15"/>
      <c r="ACU80" s="15"/>
      <c r="ACV80" s="15"/>
      <c r="ACW80" s="15"/>
      <c r="ACX80" s="15"/>
      <c r="ACY80" s="15"/>
      <c r="ACZ80" s="15"/>
      <c r="ADA80" s="15"/>
      <c r="ADB80" s="15"/>
      <c r="ADC80" s="15"/>
      <c r="ADD80" s="15"/>
      <c r="ADE80" s="15"/>
      <c r="ADF80" s="15"/>
      <c r="ADG80" s="15"/>
      <c r="ADH80" s="15"/>
      <c r="ADI80" s="15"/>
      <c r="ADJ80" s="15"/>
      <c r="ADK80" s="15"/>
      <c r="ADL80" s="15"/>
      <c r="ADM80" s="15"/>
      <c r="ADN80" s="15"/>
      <c r="ADO80" s="15"/>
      <c r="ADP80" s="15"/>
      <c r="ADQ80" s="15"/>
      <c r="ADR80" s="15"/>
      <c r="ADS80" s="15"/>
      <c r="ADT80" s="15"/>
      <c r="ADU80" s="15"/>
      <c r="ADV80" s="15"/>
      <c r="ADW80" s="15"/>
      <c r="ADX80" s="15"/>
      <c r="ADY80" s="15"/>
      <c r="ADZ80" s="15"/>
      <c r="AEA80" s="15"/>
      <c r="AEB80" s="15"/>
      <c r="AEC80" s="15"/>
      <c r="AED80" s="15"/>
      <c r="AEE80" s="15"/>
      <c r="AEF80" s="15"/>
      <c r="AEG80" s="15"/>
      <c r="AEH80" s="15"/>
      <c r="AEI80" s="15"/>
      <c r="AEJ80" s="15"/>
      <c r="AEK80" s="15"/>
      <c r="AEL80" s="15"/>
      <c r="AEM80" s="15"/>
      <c r="AEN80" s="15"/>
      <c r="AEO80" s="15"/>
      <c r="AEP80" s="15"/>
      <c r="AEQ80" s="15"/>
      <c r="AER80" s="15"/>
      <c r="AES80" s="15"/>
      <c r="AET80" s="15"/>
      <c r="AEU80" s="15"/>
      <c r="AEV80" s="15"/>
      <c r="AEW80" s="15"/>
      <c r="AEX80" s="15"/>
      <c r="AEY80" s="15"/>
      <c r="AEZ80" s="15"/>
      <c r="AFA80" s="15"/>
      <c r="AFB80" s="15"/>
      <c r="AFC80" s="15"/>
      <c r="AFD80" s="15"/>
      <c r="AFE80" s="15"/>
      <c r="AFF80" s="15"/>
      <c r="AFG80" s="15"/>
      <c r="AFH80" s="15"/>
      <c r="AFI80" s="15"/>
      <c r="AFJ80" s="15"/>
      <c r="AFK80" s="15"/>
      <c r="AFL80" s="15"/>
      <c r="AFM80" s="15"/>
      <c r="AFN80" s="15"/>
      <c r="AFO80" s="15"/>
      <c r="AFP80" s="15"/>
      <c r="AFQ80" s="15"/>
      <c r="AFR80" s="15"/>
      <c r="AFS80" s="15"/>
      <c r="AFT80" s="15"/>
      <c r="AFU80" s="15"/>
      <c r="AFV80" s="15"/>
      <c r="AFW80" s="15"/>
      <c r="AFX80" s="15"/>
      <c r="AFY80" s="15"/>
      <c r="AFZ80" s="15"/>
      <c r="AGA80" s="15"/>
      <c r="AGB80" s="15"/>
      <c r="AGC80" s="15"/>
      <c r="AGD80" s="15"/>
      <c r="AGE80" s="15"/>
      <c r="AGF80" s="15"/>
      <c r="AGG80" s="15"/>
      <c r="AGH80" s="15"/>
      <c r="AGI80" s="15"/>
      <c r="AGJ80" s="15"/>
      <c r="AGK80" s="15"/>
      <c r="AGL80" s="15"/>
      <c r="AGM80" s="15"/>
      <c r="AGN80" s="15"/>
      <c r="AGO80" s="15"/>
      <c r="AGP80" s="15"/>
      <c r="AGQ80" s="15"/>
      <c r="AGR80" s="15"/>
      <c r="AGS80" s="15"/>
      <c r="AGT80" s="15"/>
      <c r="AGU80" s="15"/>
      <c r="AGV80" s="15"/>
      <c r="AGW80" s="15"/>
      <c r="AGX80" s="15"/>
      <c r="AGY80" s="15"/>
      <c r="AGZ80" s="15"/>
      <c r="AHA80" s="15"/>
      <c r="AHB80" s="15"/>
      <c r="AHC80" s="15"/>
      <c r="AHD80" s="15"/>
      <c r="AHE80" s="15"/>
      <c r="AHF80" s="15"/>
      <c r="AHG80" s="15"/>
      <c r="AHH80" s="15"/>
      <c r="AHI80" s="15"/>
      <c r="AHJ80" s="15"/>
      <c r="AHK80" s="15"/>
      <c r="AHL80" s="15"/>
      <c r="AHM80" s="15"/>
      <c r="AHN80" s="15"/>
      <c r="AHO80" s="15"/>
      <c r="AHP80" s="15"/>
      <c r="AHQ80" s="15"/>
      <c r="AHR80" s="15"/>
      <c r="AHS80" s="15"/>
      <c r="AHT80" s="15"/>
      <c r="AHU80" s="15"/>
      <c r="AHV80" s="15"/>
      <c r="AHW80" s="15"/>
      <c r="AHX80" s="15"/>
      <c r="AHY80" s="15"/>
      <c r="AHZ80" s="15"/>
      <c r="AIA80" s="15"/>
      <c r="AIB80" s="15"/>
      <c r="AIC80" s="15"/>
      <c r="AID80" s="15"/>
      <c r="AIE80" s="15"/>
      <c r="AIF80" s="15"/>
      <c r="AIG80" s="15"/>
      <c r="AIH80" s="15"/>
      <c r="AII80" s="15"/>
      <c r="AIJ80" s="15"/>
      <c r="AIK80" s="15"/>
      <c r="AIL80" s="15"/>
      <c r="AIM80" s="15"/>
      <c r="AIN80" s="15"/>
      <c r="AIO80" s="15"/>
      <c r="AIP80" s="15"/>
      <c r="AIQ80" s="15"/>
      <c r="AIR80" s="15"/>
      <c r="AIS80" s="15"/>
      <c r="AIT80" s="15"/>
      <c r="AIU80" s="15"/>
      <c r="AIV80" s="15"/>
      <c r="AIW80" s="15"/>
      <c r="AIX80" s="15"/>
      <c r="AIY80" s="15"/>
      <c r="AIZ80" s="15"/>
      <c r="AJA80" s="15"/>
      <c r="AJB80" s="15"/>
      <c r="AJC80" s="15"/>
      <c r="AJD80" s="15"/>
      <c r="AJE80" s="15"/>
      <c r="AJF80" s="15"/>
      <c r="AJG80" s="15"/>
      <c r="AJH80" s="15"/>
      <c r="AJI80" s="15"/>
      <c r="AJJ80" s="15"/>
      <c r="AJK80" s="15"/>
      <c r="AJL80" s="15"/>
      <c r="AJM80" s="15"/>
      <c r="AJN80" s="15"/>
      <c r="AJO80" s="15"/>
      <c r="AJP80" s="15"/>
      <c r="AJQ80" s="15"/>
      <c r="AJR80" s="15"/>
      <c r="AJS80" s="15"/>
      <c r="AJT80" s="15"/>
      <c r="AJU80" s="15"/>
      <c r="AJV80" s="15"/>
      <c r="AJW80" s="15"/>
      <c r="AJX80" s="15"/>
      <c r="AJY80" s="15"/>
      <c r="AJZ80" s="15"/>
      <c r="AKA80" s="15"/>
      <c r="AKB80" s="15"/>
      <c r="AKC80" s="15"/>
      <c r="AKD80" s="15"/>
      <c r="AKE80" s="15"/>
      <c r="AKF80" s="15"/>
      <c r="AKG80" s="15"/>
      <c r="AKH80" s="15"/>
      <c r="AKI80" s="15"/>
      <c r="AKJ80" s="15"/>
      <c r="AKK80" s="15"/>
      <c r="AKL80" s="15"/>
      <c r="AKM80" s="15"/>
      <c r="AKN80" s="15"/>
      <c r="AKO80" s="15"/>
      <c r="AKP80" s="15"/>
      <c r="AKQ80" s="15"/>
      <c r="AKR80" s="15"/>
      <c r="AKS80" s="15"/>
      <c r="AKT80" s="15"/>
      <c r="AKU80" s="15"/>
      <c r="AKV80" s="15"/>
      <c r="AKW80" s="15"/>
      <c r="AKX80" s="15"/>
      <c r="AKY80" s="15"/>
      <c r="AKZ80" s="15"/>
      <c r="ALA80" s="15"/>
      <c r="ALB80" s="15"/>
      <c r="ALC80" s="15"/>
      <c r="ALD80" s="15"/>
      <c r="ALE80" s="15"/>
      <c r="ALF80" s="15"/>
      <c r="ALG80" s="15"/>
      <c r="ALH80" s="15"/>
      <c r="ALI80" s="15"/>
      <c r="ALJ80" s="15"/>
      <c r="ALK80" s="15"/>
      <c r="ALL80" s="15"/>
      <c r="ALM80" s="15"/>
      <c r="ALN80" s="15"/>
      <c r="ALO80" s="15"/>
      <c r="ALP80" s="15"/>
      <c r="ALQ80" s="15"/>
      <c r="ALR80" s="15"/>
      <c r="ALS80" s="15"/>
      <c r="ALT80" s="15"/>
      <c r="ALU80" s="15"/>
      <c r="ALV80" s="15"/>
      <c r="ALW80" s="15"/>
      <c r="ALX80" s="15"/>
      <c r="ALY80" s="15"/>
      <c r="ALZ80" s="15"/>
      <c r="AMA80" s="15"/>
      <c r="AMB80" s="15"/>
      <c r="AMC80" s="15"/>
      <c r="AMD80" s="15"/>
      <c r="AME80" s="15"/>
      <c r="AMF80" s="15"/>
      <c r="AMG80" s="15"/>
      <c r="AMH80" s="15"/>
      <c r="AMI80" s="15"/>
      <c r="AMJ80" s="15"/>
    </row>
    <row r="81" spans="2:1024" ht="14.25" customHeight="1" x14ac:dyDescent="0.3">
      <c r="B81" s="11" t="s">
        <v>49</v>
      </c>
      <c r="C81" s="24" t="s">
        <v>38</v>
      </c>
      <c r="D81" s="24"/>
      <c r="E81" s="24"/>
      <c r="F81" s="24"/>
      <c r="G81" s="2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c r="IX81" s="15"/>
      <c r="IY81" s="15"/>
      <c r="IZ81" s="15"/>
      <c r="JA81" s="15"/>
      <c r="JB81" s="15"/>
      <c r="JC81" s="15"/>
      <c r="JD81" s="15"/>
      <c r="JE81" s="15"/>
      <c r="JF81" s="15"/>
      <c r="JG81" s="15"/>
      <c r="JH81" s="15"/>
      <c r="JI81" s="15"/>
      <c r="JJ81" s="15"/>
      <c r="JK81" s="15"/>
      <c r="JL81" s="15"/>
      <c r="JM81" s="15"/>
      <c r="JN81" s="15"/>
      <c r="JO81" s="15"/>
      <c r="JP81" s="15"/>
      <c r="JQ81" s="15"/>
      <c r="JR81" s="15"/>
      <c r="JS81" s="15"/>
      <c r="JT81" s="15"/>
      <c r="JU81" s="15"/>
      <c r="JV81" s="15"/>
      <c r="JW81" s="15"/>
      <c r="JX81" s="15"/>
      <c r="JY81" s="15"/>
      <c r="JZ81" s="15"/>
      <c r="KA81" s="15"/>
      <c r="KB81" s="15"/>
      <c r="KC81" s="15"/>
      <c r="KD81" s="15"/>
      <c r="KE81" s="15"/>
      <c r="KF81" s="15"/>
      <c r="KG81" s="15"/>
      <c r="KH81" s="15"/>
      <c r="KI81" s="15"/>
      <c r="KJ81" s="15"/>
      <c r="KK81" s="15"/>
      <c r="KL81" s="15"/>
      <c r="KM81" s="15"/>
      <c r="KN81" s="15"/>
      <c r="KO81" s="15"/>
      <c r="KP81" s="15"/>
      <c r="KQ81" s="15"/>
      <c r="KR81" s="15"/>
      <c r="KS81" s="15"/>
      <c r="KT81" s="15"/>
      <c r="KU81" s="15"/>
      <c r="KV81" s="15"/>
      <c r="KW81" s="15"/>
      <c r="KX81" s="15"/>
      <c r="KY81" s="15"/>
      <c r="KZ81" s="15"/>
      <c r="LA81" s="15"/>
      <c r="LB81" s="15"/>
      <c r="LC81" s="15"/>
      <c r="LD81" s="15"/>
      <c r="LE81" s="15"/>
      <c r="LF81" s="15"/>
      <c r="LG81" s="15"/>
      <c r="LH81" s="15"/>
      <c r="LI81" s="15"/>
      <c r="LJ81" s="15"/>
      <c r="LK81" s="15"/>
      <c r="LL81" s="15"/>
      <c r="LM81" s="15"/>
      <c r="LN81" s="15"/>
      <c r="LO81" s="15"/>
      <c r="LP81" s="15"/>
      <c r="LQ81" s="15"/>
      <c r="LR81" s="15"/>
      <c r="LS81" s="15"/>
      <c r="LT81" s="15"/>
      <c r="LU81" s="15"/>
      <c r="LV81" s="15"/>
      <c r="LW81" s="15"/>
      <c r="LX81" s="15"/>
      <c r="LY81" s="15"/>
      <c r="LZ81" s="15"/>
      <c r="MA81" s="15"/>
      <c r="MB81" s="15"/>
      <c r="MC81" s="15"/>
      <c r="MD81" s="15"/>
      <c r="ME81" s="15"/>
      <c r="MF81" s="15"/>
      <c r="MG81" s="15"/>
      <c r="MH81" s="15"/>
      <c r="MI81" s="15"/>
      <c r="MJ81" s="15"/>
      <c r="MK81" s="15"/>
      <c r="ML81" s="15"/>
      <c r="MM81" s="15"/>
      <c r="MN81" s="15"/>
      <c r="MO81" s="15"/>
      <c r="MP81" s="15"/>
      <c r="MQ81" s="15"/>
      <c r="MR81" s="15"/>
      <c r="MS81" s="15"/>
      <c r="MT81" s="15"/>
      <c r="MU81" s="15"/>
      <c r="MV81" s="15"/>
      <c r="MW81" s="15"/>
      <c r="MX81" s="15"/>
      <c r="MY81" s="15"/>
      <c r="MZ81" s="15"/>
      <c r="NA81" s="15"/>
      <c r="NB81" s="15"/>
      <c r="NC81" s="15"/>
      <c r="ND81" s="15"/>
      <c r="NE81" s="15"/>
      <c r="NF81" s="15"/>
      <c r="NG81" s="15"/>
      <c r="NH81" s="15"/>
      <c r="NI81" s="15"/>
      <c r="NJ81" s="15"/>
      <c r="NK81" s="15"/>
      <c r="NL81" s="15"/>
      <c r="NM81" s="15"/>
      <c r="NN81" s="15"/>
      <c r="NO81" s="15"/>
      <c r="NP81" s="15"/>
      <c r="NQ81" s="15"/>
      <c r="NR81" s="15"/>
      <c r="NS81" s="15"/>
      <c r="NT81" s="15"/>
      <c r="NU81" s="15"/>
      <c r="NV81" s="15"/>
      <c r="NW81" s="15"/>
      <c r="NX81" s="15"/>
      <c r="NY81" s="15"/>
      <c r="NZ81" s="15"/>
      <c r="OA81" s="15"/>
      <c r="OB81" s="15"/>
      <c r="OC81" s="15"/>
      <c r="OD81" s="15"/>
      <c r="OE81" s="15"/>
      <c r="OF81" s="15"/>
      <c r="OG81" s="15"/>
      <c r="OH81" s="15"/>
      <c r="OI81" s="15"/>
      <c r="OJ81" s="15"/>
      <c r="OK81" s="15"/>
      <c r="OL81" s="15"/>
      <c r="OM81" s="15"/>
      <c r="ON81" s="15"/>
      <c r="OO81" s="15"/>
      <c r="OP81" s="15"/>
      <c r="OQ81" s="15"/>
      <c r="OR81" s="15"/>
      <c r="OS81" s="15"/>
      <c r="OT81" s="15"/>
      <c r="OU81" s="15"/>
      <c r="OV81" s="15"/>
      <c r="OW81" s="15"/>
      <c r="OX81" s="15"/>
      <c r="OY81" s="15"/>
      <c r="OZ81" s="15"/>
      <c r="PA81" s="15"/>
      <c r="PB81" s="15"/>
      <c r="PC81" s="15"/>
      <c r="PD81" s="15"/>
      <c r="PE81" s="15"/>
      <c r="PF81" s="15"/>
      <c r="PG81" s="15"/>
      <c r="PH81" s="15"/>
      <c r="PI81" s="15"/>
      <c r="PJ81" s="15"/>
      <c r="PK81" s="15"/>
      <c r="PL81" s="15"/>
      <c r="PM81" s="15"/>
      <c r="PN81" s="15"/>
      <c r="PO81" s="15"/>
      <c r="PP81" s="15"/>
      <c r="PQ81" s="15"/>
      <c r="PR81" s="15"/>
      <c r="PS81" s="15"/>
      <c r="PT81" s="15"/>
      <c r="PU81" s="15"/>
      <c r="PV81" s="15"/>
      <c r="PW81" s="15"/>
      <c r="PX81" s="15"/>
      <c r="PY81" s="15"/>
      <c r="PZ81" s="15"/>
      <c r="QA81" s="15"/>
      <c r="QB81" s="15"/>
      <c r="QC81" s="15"/>
      <c r="QD81" s="15"/>
      <c r="QE81" s="15"/>
      <c r="QF81" s="15"/>
      <c r="QG81" s="15"/>
      <c r="QH81" s="15"/>
      <c r="QI81" s="15"/>
      <c r="QJ81" s="15"/>
      <c r="QK81" s="15"/>
      <c r="QL81" s="15"/>
      <c r="QM81" s="15"/>
      <c r="QN81" s="15"/>
      <c r="QO81" s="15"/>
      <c r="QP81" s="15"/>
      <c r="QQ81" s="15"/>
      <c r="QR81" s="15"/>
      <c r="QS81" s="15"/>
      <c r="QT81" s="15"/>
      <c r="QU81" s="15"/>
      <c r="QV81" s="15"/>
      <c r="QW81" s="15"/>
      <c r="QX81" s="15"/>
      <c r="QY81" s="15"/>
      <c r="QZ81" s="15"/>
      <c r="RA81" s="15"/>
      <c r="RB81" s="15"/>
      <c r="RC81" s="15"/>
      <c r="RD81" s="15"/>
      <c r="RE81" s="15"/>
      <c r="RF81" s="15"/>
      <c r="RG81" s="15"/>
      <c r="RH81" s="15"/>
      <c r="RI81" s="15"/>
      <c r="RJ81" s="15"/>
      <c r="RK81" s="15"/>
      <c r="RL81" s="15"/>
      <c r="RM81" s="15"/>
      <c r="RN81" s="15"/>
      <c r="RO81" s="15"/>
      <c r="RP81" s="15"/>
      <c r="RQ81" s="15"/>
      <c r="RR81" s="15"/>
      <c r="RS81" s="15"/>
      <c r="RT81" s="15"/>
      <c r="RU81" s="15"/>
      <c r="RV81" s="15"/>
      <c r="RW81" s="15"/>
      <c r="RX81" s="15"/>
      <c r="RY81" s="15"/>
      <c r="RZ81" s="15"/>
      <c r="SA81" s="15"/>
      <c r="SB81" s="15"/>
      <c r="SC81" s="15"/>
      <c r="SD81" s="15"/>
      <c r="SE81" s="15"/>
      <c r="SF81" s="15"/>
      <c r="SG81" s="15"/>
      <c r="SH81" s="15"/>
      <c r="SI81" s="15"/>
      <c r="SJ81" s="15"/>
      <c r="SK81" s="15"/>
      <c r="SL81" s="15"/>
      <c r="SM81" s="15"/>
      <c r="SN81" s="15"/>
      <c r="SO81" s="15"/>
      <c r="SP81" s="15"/>
      <c r="SQ81" s="15"/>
      <c r="SR81" s="15"/>
      <c r="SS81" s="15"/>
      <c r="ST81" s="15"/>
      <c r="SU81" s="15"/>
      <c r="SV81" s="15"/>
      <c r="SW81" s="15"/>
      <c r="SX81" s="15"/>
      <c r="SY81" s="15"/>
      <c r="SZ81" s="15"/>
      <c r="TA81" s="15"/>
      <c r="TB81" s="15"/>
      <c r="TC81" s="15"/>
      <c r="TD81" s="15"/>
      <c r="TE81" s="15"/>
      <c r="TF81" s="15"/>
      <c r="TG81" s="15"/>
      <c r="TH81" s="15"/>
      <c r="TI81" s="15"/>
      <c r="TJ81" s="15"/>
      <c r="TK81" s="15"/>
      <c r="TL81" s="15"/>
      <c r="TM81" s="15"/>
      <c r="TN81" s="15"/>
      <c r="TO81" s="15"/>
      <c r="TP81" s="15"/>
      <c r="TQ81" s="15"/>
      <c r="TR81" s="15"/>
      <c r="TS81" s="15"/>
      <c r="TT81" s="15"/>
      <c r="TU81" s="15"/>
      <c r="TV81" s="15"/>
      <c r="TW81" s="15"/>
      <c r="TX81" s="15"/>
      <c r="TY81" s="15"/>
      <c r="TZ81" s="15"/>
      <c r="UA81" s="15"/>
      <c r="UB81" s="15"/>
      <c r="UC81" s="15"/>
      <c r="UD81" s="15"/>
      <c r="UE81" s="15"/>
      <c r="UF81" s="15"/>
      <c r="UG81" s="15"/>
      <c r="UH81" s="15"/>
      <c r="UI81" s="15"/>
      <c r="UJ81" s="15"/>
      <c r="UK81" s="15"/>
      <c r="UL81" s="15"/>
      <c r="UM81" s="15"/>
      <c r="UN81" s="15"/>
      <c r="UO81" s="15"/>
      <c r="UP81" s="15"/>
      <c r="UQ81" s="15"/>
      <c r="UR81" s="15"/>
      <c r="US81" s="15"/>
      <c r="UT81" s="15"/>
      <c r="UU81" s="15"/>
      <c r="UV81" s="15"/>
      <c r="UW81" s="15"/>
      <c r="UX81" s="15"/>
      <c r="UY81" s="15"/>
      <c r="UZ81" s="15"/>
      <c r="VA81" s="15"/>
      <c r="VB81" s="15"/>
      <c r="VC81" s="15"/>
      <c r="VD81" s="15"/>
      <c r="VE81" s="15"/>
      <c r="VF81" s="15"/>
      <c r="VG81" s="15"/>
      <c r="VH81" s="15"/>
      <c r="VI81" s="15"/>
      <c r="VJ81" s="15"/>
      <c r="VK81" s="15"/>
      <c r="VL81" s="15"/>
      <c r="VM81" s="15"/>
      <c r="VN81" s="15"/>
      <c r="VO81" s="15"/>
      <c r="VP81" s="15"/>
      <c r="VQ81" s="15"/>
      <c r="VR81" s="15"/>
      <c r="VS81" s="15"/>
      <c r="VT81" s="15"/>
      <c r="VU81" s="15"/>
      <c r="VV81" s="15"/>
      <c r="VW81" s="15"/>
      <c r="VX81" s="15"/>
      <c r="VY81" s="15"/>
      <c r="VZ81" s="15"/>
      <c r="WA81" s="15"/>
      <c r="WB81" s="15"/>
      <c r="WC81" s="15"/>
      <c r="WD81" s="15"/>
      <c r="WE81" s="15"/>
      <c r="WF81" s="15"/>
      <c r="WG81" s="15"/>
      <c r="WH81" s="15"/>
      <c r="WI81" s="15"/>
      <c r="WJ81" s="15"/>
      <c r="WK81" s="15"/>
      <c r="WL81" s="15"/>
      <c r="WM81" s="15"/>
      <c r="WN81" s="15"/>
      <c r="WO81" s="15"/>
      <c r="WP81" s="15"/>
      <c r="WQ81" s="15"/>
      <c r="WR81" s="15"/>
      <c r="WS81" s="15"/>
      <c r="WT81" s="15"/>
      <c r="WU81" s="15"/>
      <c r="WV81" s="15"/>
      <c r="WW81" s="15"/>
      <c r="WX81" s="15"/>
      <c r="WY81" s="15"/>
      <c r="WZ81" s="15"/>
      <c r="XA81" s="15"/>
      <c r="XB81" s="15"/>
      <c r="XC81" s="15"/>
      <c r="XD81" s="15"/>
      <c r="XE81" s="15"/>
      <c r="XF81" s="15"/>
      <c r="XG81" s="15"/>
      <c r="XH81" s="15"/>
      <c r="XI81" s="15"/>
      <c r="XJ81" s="15"/>
      <c r="XK81" s="15"/>
      <c r="XL81" s="15"/>
      <c r="XM81" s="15"/>
      <c r="XN81" s="15"/>
      <c r="XO81" s="15"/>
      <c r="XP81" s="15"/>
      <c r="XQ81" s="15"/>
      <c r="XR81" s="15"/>
      <c r="XS81" s="15"/>
      <c r="XT81" s="15"/>
      <c r="XU81" s="15"/>
      <c r="XV81" s="15"/>
      <c r="XW81" s="15"/>
      <c r="XX81" s="15"/>
      <c r="XY81" s="15"/>
      <c r="XZ81" s="15"/>
      <c r="YA81" s="15"/>
      <c r="YB81" s="15"/>
      <c r="YC81" s="15"/>
      <c r="YD81" s="15"/>
      <c r="YE81" s="15"/>
      <c r="YF81" s="15"/>
      <c r="YG81" s="15"/>
      <c r="YH81" s="15"/>
      <c r="YI81" s="15"/>
      <c r="YJ81" s="15"/>
      <c r="YK81" s="15"/>
      <c r="YL81" s="15"/>
      <c r="YM81" s="15"/>
      <c r="YN81" s="15"/>
      <c r="YO81" s="15"/>
      <c r="YP81" s="15"/>
      <c r="YQ81" s="15"/>
      <c r="YR81" s="15"/>
      <c r="YS81" s="15"/>
      <c r="YT81" s="15"/>
      <c r="YU81" s="15"/>
      <c r="YV81" s="15"/>
      <c r="YW81" s="15"/>
      <c r="YX81" s="15"/>
      <c r="YY81" s="15"/>
      <c r="YZ81" s="15"/>
      <c r="ZA81" s="15"/>
      <c r="ZB81" s="15"/>
      <c r="ZC81" s="15"/>
      <c r="ZD81" s="15"/>
      <c r="ZE81" s="15"/>
      <c r="ZF81" s="15"/>
      <c r="ZG81" s="15"/>
      <c r="ZH81" s="15"/>
      <c r="ZI81" s="15"/>
      <c r="ZJ81" s="15"/>
      <c r="ZK81" s="15"/>
      <c r="ZL81" s="15"/>
      <c r="ZM81" s="15"/>
      <c r="ZN81" s="15"/>
      <c r="ZO81" s="15"/>
      <c r="ZP81" s="15"/>
      <c r="ZQ81" s="15"/>
      <c r="ZR81" s="15"/>
      <c r="ZS81" s="15"/>
      <c r="ZT81" s="15"/>
      <c r="ZU81" s="15"/>
      <c r="ZV81" s="15"/>
      <c r="ZW81" s="15"/>
      <c r="ZX81" s="15"/>
      <c r="ZY81" s="15"/>
      <c r="ZZ81" s="15"/>
      <c r="AAA81" s="15"/>
      <c r="AAB81" s="15"/>
      <c r="AAC81" s="15"/>
      <c r="AAD81" s="15"/>
      <c r="AAE81" s="15"/>
      <c r="AAF81" s="15"/>
      <c r="AAG81" s="15"/>
      <c r="AAH81" s="15"/>
      <c r="AAI81" s="15"/>
      <c r="AAJ81" s="15"/>
      <c r="AAK81" s="15"/>
      <c r="AAL81" s="15"/>
      <c r="AAM81" s="15"/>
      <c r="AAN81" s="15"/>
      <c r="AAO81" s="15"/>
      <c r="AAP81" s="15"/>
      <c r="AAQ81" s="15"/>
      <c r="AAR81" s="15"/>
      <c r="AAS81" s="15"/>
      <c r="AAT81" s="15"/>
      <c r="AAU81" s="15"/>
      <c r="AAV81" s="15"/>
      <c r="AAW81" s="15"/>
      <c r="AAX81" s="15"/>
      <c r="AAY81" s="15"/>
      <c r="AAZ81" s="15"/>
      <c r="ABA81" s="15"/>
      <c r="ABB81" s="15"/>
      <c r="ABC81" s="15"/>
      <c r="ABD81" s="15"/>
      <c r="ABE81" s="15"/>
      <c r="ABF81" s="15"/>
      <c r="ABG81" s="15"/>
      <c r="ABH81" s="15"/>
      <c r="ABI81" s="15"/>
      <c r="ABJ81" s="15"/>
      <c r="ABK81" s="15"/>
      <c r="ABL81" s="15"/>
      <c r="ABM81" s="15"/>
      <c r="ABN81" s="15"/>
      <c r="ABO81" s="15"/>
      <c r="ABP81" s="15"/>
      <c r="ABQ81" s="15"/>
      <c r="ABR81" s="15"/>
      <c r="ABS81" s="15"/>
      <c r="ABT81" s="15"/>
      <c r="ABU81" s="15"/>
      <c r="ABV81" s="15"/>
      <c r="ABW81" s="15"/>
      <c r="ABX81" s="15"/>
      <c r="ABY81" s="15"/>
      <c r="ABZ81" s="15"/>
      <c r="ACA81" s="15"/>
      <c r="ACB81" s="15"/>
      <c r="ACC81" s="15"/>
      <c r="ACD81" s="15"/>
      <c r="ACE81" s="15"/>
      <c r="ACF81" s="15"/>
      <c r="ACG81" s="15"/>
      <c r="ACH81" s="15"/>
      <c r="ACI81" s="15"/>
      <c r="ACJ81" s="15"/>
      <c r="ACK81" s="15"/>
      <c r="ACL81" s="15"/>
      <c r="ACM81" s="15"/>
      <c r="ACN81" s="15"/>
      <c r="ACO81" s="15"/>
      <c r="ACP81" s="15"/>
      <c r="ACQ81" s="15"/>
      <c r="ACR81" s="15"/>
      <c r="ACS81" s="15"/>
      <c r="ACT81" s="15"/>
      <c r="ACU81" s="15"/>
      <c r="ACV81" s="15"/>
      <c r="ACW81" s="15"/>
      <c r="ACX81" s="15"/>
      <c r="ACY81" s="15"/>
      <c r="ACZ81" s="15"/>
      <c r="ADA81" s="15"/>
      <c r="ADB81" s="15"/>
      <c r="ADC81" s="15"/>
      <c r="ADD81" s="15"/>
      <c r="ADE81" s="15"/>
      <c r="ADF81" s="15"/>
      <c r="ADG81" s="15"/>
      <c r="ADH81" s="15"/>
      <c r="ADI81" s="15"/>
      <c r="ADJ81" s="15"/>
      <c r="ADK81" s="15"/>
      <c r="ADL81" s="15"/>
      <c r="ADM81" s="15"/>
      <c r="ADN81" s="15"/>
      <c r="ADO81" s="15"/>
      <c r="ADP81" s="15"/>
      <c r="ADQ81" s="15"/>
      <c r="ADR81" s="15"/>
      <c r="ADS81" s="15"/>
      <c r="ADT81" s="15"/>
      <c r="ADU81" s="15"/>
      <c r="ADV81" s="15"/>
      <c r="ADW81" s="15"/>
      <c r="ADX81" s="15"/>
      <c r="ADY81" s="15"/>
      <c r="ADZ81" s="15"/>
      <c r="AEA81" s="15"/>
      <c r="AEB81" s="15"/>
      <c r="AEC81" s="15"/>
      <c r="AED81" s="15"/>
      <c r="AEE81" s="15"/>
      <c r="AEF81" s="15"/>
      <c r="AEG81" s="15"/>
      <c r="AEH81" s="15"/>
      <c r="AEI81" s="15"/>
      <c r="AEJ81" s="15"/>
      <c r="AEK81" s="15"/>
      <c r="AEL81" s="15"/>
      <c r="AEM81" s="15"/>
      <c r="AEN81" s="15"/>
      <c r="AEO81" s="15"/>
      <c r="AEP81" s="15"/>
      <c r="AEQ81" s="15"/>
      <c r="AER81" s="15"/>
      <c r="AES81" s="15"/>
      <c r="AET81" s="15"/>
      <c r="AEU81" s="15"/>
      <c r="AEV81" s="15"/>
      <c r="AEW81" s="15"/>
      <c r="AEX81" s="15"/>
      <c r="AEY81" s="15"/>
      <c r="AEZ81" s="15"/>
      <c r="AFA81" s="15"/>
      <c r="AFB81" s="15"/>
      <c r="AFC81" s="15"/>
      <c r="AFD81" s="15"/>
      <c r="AFE81" s="15"/>
      <c r="AFF81" s="15"/>
      <c r="AFG81" s="15"/>
      <c r="AFH81" s="15"/>
      <c r="AFI81" s="15"/>
      <c r="AFJ81" s="15"/>
      <c r="AFK81" s="15"/>
      <c r="AFL81" s="15"/>
      <c r="AFM81" s="15"/>
      <c r="AFN81" s="15"/>
      <c r="AFO81" s="15"/>
      <c r="AFP81" s="15"/>
      <c r="AFQ81" s="15"/>
      <c r="AFR81" s="15"/>
      <c r="AFS81" s="15"/>
      <c r="AFT81" s="15"/>
      <c r="AFU81" s="15"/>
      <c r="AFV81" s="15"/>
      <c r="AFW81" s="15"/>
      <c r="AFX81" s="15"/>
      <c r="AFY81" s="15"/>
      <c r="AFZ81" s="15"/>
      <c r="AGA81" s="15"/>
      <c r="AGB81" s="15"/>
      <c r="AGC81" s="15"/>
      <c r="AGD81" s="15"/>
      <c r="AGE81" s="15"/>
      <c r="AGF81" s="15"/>
      <c r="AGG81" s="15"/>
      <c r="AGH81" s="15"/>
      <c r="AGI81" s="15"/>
      <c r="AGJ81" s="15"/>
      <c r="AGK81" s="15"/>
      <c r="AGL81" s="15"/>
      <c r="AGM81" s="15"/>
      <c r="AGN81" s="15"/>
      <c r="AGO81" s="15"/>
      <c r="AGP81" s="15"/>
      <c r="AGQ81" s="15"/>
      <c r="AGR81" s="15"/>
      <c r="AGS81" s="15"/>
      <c r="AGT81" s="15"/>
      <c r="AGU81" s="15"/>
      <c r="AGV81" s="15"/>
      <c r="AGW81" s="15"/>
      <c r="AGX81" s="15"/>
      <c r="AGY81" s="15"/>
      <c r="AGZ81" s="15"/>
      <c r="AHA81" s="15"/>
      <c r="AHB81" s="15"/>
      <c r="AHC81" s="15"/>
      <c r="AHD81" s="15"/>
      <c r="AHE81" s="15"/>
      <c r="AHF81" s="15"/>
      <c r="AHG81" s="15"/>
      <c r="AHH81" s="15"/>
      <c r="AHI81" s="15"/>
      <c r="AHJ81" s="15"/>
      <c r="AHK81" s="15"/>
      <c r="AHL81" s="15"/>
      <c r="AHM81" s="15"/>
      <c r="AHN81" s="15"/>
      <c r="AHO81" s="15"/>
      <c r="AHP81" s="15"/>
      <c r="AHQ81" s="15"/>
      <c r="AHR81" s="15"/>
      <c r="AHS81" s="15"/>
      <c r="AHT81" s="15"/>
      <c r="AHU81" s="15"/>
      <c r="AHV81" s="15"/>
      <c r="AHW81" s="15"/>
      <c r="AHX81" s="15"/>
      <c r="AHY81" s="15"/>
      <c r="AHZ81" s="15"/>
      <c r="AIA81" s="15"/>
      <c r="AIB81" s="15"/>
      <c r="AIC81" s="15"/>
      <c r="AID81" s="15"/>
      <c r="AIE81" s="15"/>
      <c r="AIF81" s="15"/>
      <c r="AIG81" s="15"/>
      <c r="AIH81" s="15"/>
      <c r="AII81" s="15"/>
      <c r="AIJ81" s="15"/>
      <c r="AIK81" s="15"/>
      <c r="AIL81" s="15"/>
      <c r="AIM81" s="15"/>
      <c r="AIN81" s="15"/>
      <c r="AIO81" s="15"/>
      <c r="AIP81" s="15"/>
      <c r="AIQ81" s="15"/>
      <c r="AIR81" s="15"/>
      <c r="AIS81" s="15"/>
      <c r="AIT81" s="15"/>
      <c r="AIU81" s="15"/>
      <c r="AIV81" s="15"/>
      <c r="AIW81" s="15"/>
      <c r="AIX81" s="15"/>
      <c r="AIY81" s="15"/>
      <c r="AIZ81" s="15"/>
      <c r="AJA81" s="15"/>
      <c r="AJB81" s="15"/>
      <c r="AJC81" s="15"/>
      <c r="AJD81" s="15"/>
      <c r="AJE81" s="15"/>
      <c r="AJF81" s="15"/>
      <c r="AJG81" s="15"/>
      <c r="AJH81" s="15"/>
      <c r="AJI81" s="15"/>
      <c r="AJJ81" s="15"/>
      <c r="AJK81" s="15"/>
      <c r="AJL81" s="15"/>
      <c r="AJM81" s="15"/>
      <c r="AJN81" s="15"/>
      <c r="AJO81" s="15"/>
      <c r="AJP81" s="15"/>
      <c r="AJQ81" s="15"/>
      <c r="AJR81" s="15"/>
      <c r="AJS81" s="15"/>
      <c r="AJT81" s="15"/>
      <c r="AJU81" s="15"/>
      <c r="AJV81" s="15"/>
      <c r="AJW81" s="15"/>
      <c r="AJX81" s="15"/>
      <c r="AJY81" s="15"/>
      <c r="AJZ81" s="15"/>
      <c r="AKA81" s="15"/>
      <c r="AKB81" s="15"/>
      <c r="AKC81" s="15"/>
      <c r="AKD81" s="15"/>
      <c r="AKE81" s="15"/>
      <c r="AKF81" s="15"/>
      <c r="AKG81" s="15"/>
      <c r="AKH81" s="15"/>
      <c r="AKI81" s="15"/>
      <c r="AKJ81" s="15"/>
      <c r="AKK81" s="15"/>
      <c r="AKL81" s="15"/>
      <c r="AKM81" s="15"/>
      <c r="AKN81" s="15"/>
      <c r="AKO81" s="15"/>
      <c r="AKP81" s="15"/>
      <c r="AKQ81" s="15"/>
      <c r="AKR81" s="15"/>
      <c r="AKS81" s="15"/>
      <c r="AKT81" s="15"/>
      <c r="AKU81" s="15"/>
      <c r="AKV81" s="15"/>
      <c r="AKW81" s="15"/>
      <c r="AKX81" s="15"/>
      <c r="AKY81" s="15"/>
      <c r="AKZ81" s="15"/>
      <c r="ALA81" s="15"/>
      <c r="ALB81" s="15"/>
      <c r="ALC81" s="15"/>
      <c r="ALD81" s="15"/>
      <c r="ALE81" s="15"/>
      <c r="ALF81" s="15"/>
      <c r="ALG81" s="15"/>
      <c r="ALH81" s="15"/>
      <c r="ALI81" s="15"/>
      <c r="ALJ81" s="15"/>
      <c r="ALK81" s="15"/>
      <c r="ALL81" s="15"/>
      <c r="ALM81" s="15"/>
      <c r="ALN81" s="15"/>
      <c r="ALO81" s="15"/>
      <c r="ALP81" s="15"/>
      <c r="ALQ81" s="15"/>
      <c r="ALR81" s="15"/>
      <c r="ALS81" s="15"/>
      <c r="ALT81" s="15"/>
      <c r="ALU81" s="15"/>
      <c r="ALV81" s="15"/>
      <c r="ALW81" s="15"/>
      <c r="ALX81" s="15"/>
      <c r="ALY81" s="15"/>
      <c r="ALZ81" s="15"/>
      <c r="AMA81" s="15"/>
      <c r="AMB81" s="15"/>
      <c r="AMC81" s="15"/>
      <c r="AMD81" s="15"/>
      <c r="AME81" s="15"/>
      <c r="AMF81" s="15"/>
      <c r="AMG81" s="15"/>
      <c r="AMH81" s="15"/>
      <c r="AMI81" s="15"/>
      <c r="AMJ81" s="15"/>
    </row>
    <row r="82" spans="2:1024" ht="23.25" customHeight="1" x14ac:dyDescent="0.3">
      <c r="B82" s="11"/>
      <c r="C82" s="25"/>
      <c r="D82" s="25"/>
      <c r="E82" s="25"/>
      <c r="F82" s="25"/>
      <c r="G82" s="2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15"/>
      <c r="NI82" s="15"/>
      <c r="NJ82" s="15"/>
      <c r="NK82" s="15"/>
      <c r="NL82" s="15"/>
      <c r="NM82" s="15"/>
      <c r="NN82" s="15"/>
      <c r="NO82" s="15"/>
      <c r="NP82" s="15"/>
      <c r="NQ82" s="15"/>
      <c r="NR82" s="15"/>
      <c r="NS82" s="15"/>
      <c r="NT82" s="15"/>
      <c r="NU82" s="15"/>
      <c r="NV82" s="15"/>
      <c r="NW82" s="15"/>
      <c r="NX82" s="15"/>
      <c r="NY82" s="15"/>
      <c r="NZ82" s="15"/>
      <c r="OA82" s="15"/>
      <c r="OB82" s="15"/>
      <c r="OC82" s="15"/>
      <c r="OD82" s="15"/>
      <c r="OE82" s="15"/>
      <c r="OF82" s="15"/>
      <c r="OG82" s="15"/>
      <c r="OH82" s="15"/>
      <c r="OI82" s="15"/>
      <c r="OJ82" s="15"/>
      <c r="OK82" s="15"/>
      <c r="OL82" s="15"/>
      <c r="OM82" s="15"/>
      <c r="ON82" s="15"/>
      <c r="OO82" s="15"/>
      <c r="OP82" s="15"/>
      <c r="OQ82" s="15"/>
      <c r="OR82" s="15"/>
      <c r="OS82" s="15"/>
      <c r="OT82" s="15"/>
      <c r="OU82" s="15"/>
      <c r="OV82" s="15"/>
      <c r="OW82" s="15"/>
      <c r="OX82" s="15"/>
      <c r="OY82" s="15"/>
      <c r="OZ82" s="15"/>
      <c r="PA82" s="15"/>
      <c r="PB82" s="15"/>
      <c r="PC82" s="15"/>
      <c r="PD82" s="15"/>
      <c r="PE82" s="15"/>
      <c r="PF82" s="15"/>
      <c r="PG82" s="15"/>
      <c r="PH82" s="15"/>
      <c r="PI82" s="15"/>
      <c r="PJ82" s="15"/>
      <c r="PK82" s="15"/>
      <c r="PL82" s="15"/>
      <c r="PM82" s="15"/>
      <c r="PN82" s="15"/>
      <c r="PO82" s="15"/>
      <c r="PP82" s="15"/>
      <c r="PQ82" s="15"/>
      <c r="PR82" s="15"/>
      <c r="PS82" s="15"/>
      <c r="PT82" s="15"/>
      <c r="PU82" s="15"/>
      <c r="PV82" s="15"/>
      <c r="PW82" s="15"/>
      <c r="PX82" s="15"/>
      <c r="PY82" s="15"/>
      <c r="PZ82" s="15"/>
      <c r="QA82" s="15"/>
      <c r="QB82" s="15"/>
      <c r="QC82" s="15"/>
      <c r="QD82" s="15"/>
      <c r="QE82" s="15"/>
      <c r="QF82" s="15"/>
      <c r="QG82" s="15"/>
      <c r="QH82" s="15"/>
      <c r="QI82" s="15"/>
      <c r="QJ82" s="15"/>
      <c r="QK82" s="15"/>
      <c r="QL82" s="15"/>
      <c r="QM82" s="15"/>
      <c r="QN82" s="15"/>
      <c r="QO82" s="15"/>
      <c r="QP82" s="15"/>
      <c r="QQ82" s="15"/>
      <c r="QR82" s="15"/>
      <c r="QS82" s="15"/>
      <c r="QT82" s="15"/>
      <c r="QU82" s="15"/>
      <c r="QV82" s="15"/>
      <c r="QW82" s="15"/>
      <c r="QX82" s="15"/>
      <c r="QY82" s="15"/>
      <c r="QZ82" s="15"/>
      <c r="RA82" s="15"/>
      <c r="RB82" s="15"/>
      <c r="RC82" s="15"/>
      <c r="RD82" s="15"/>
      <c r="RE82" s="15"/>
      <c r="RF82" s="15"/>
      <c r="RG82" s="15"/>
      <c r="RH82" s="15"/>
      <c r="RI82" s="15"/>
      <c r="RJ82" s="15"/>
      <c r="RK82" s="15"/>
      <c r="RL82" s="15"/>
      <c r="RM82" s="15"/>
      <c r="RN82" s="15"/>
      <c r="RO82" s="15"/>
      <c r="RP82" s="15"/>
      <c r="RQ82" s="15"/>
      <c r="RR82" s="15"/>
      <c r="RS82" s="15"/>
      <c r="RT82" s="15"/>
      <c r="RU82" s="15"/>
      <c r="RV82" s="15"/>
      <c r="RW82" s="15"/>
      <c r="RX82" s="15"/>
      <c r="RY82" s="15"/>
      <c r="RZ82" s="15"/>
      <c r="SA82" s="15"/>
      <c r="SB82" s="15"/>
      <c r="SC82" s="15"/>
      <c r="SD82" s="15"/>
      <c r="SE82" s="15"/>
      <c r="SF82" s="15"/>
      <c r="SG82" s="15"/>
      <c r="SH82" s="15"/>
      <c r="SI82" s="15"/>
      <c r="SJ82" s="15"/>
      <c r="SK82" s="15"/>
      <c r="SL82" s="15"/>
      <c r="SM82" s="15"/>
      <c r="SN82" s="15"/>
      <c r="SO82" s="15"/>
      <c r="SP82" s="15"/>
      <c r="SQ82" s="15"/>
      <c r="SR82" s="15"/>
      <c r="SS82" s="15"/>
      <c r="ST82" s="15"/>
      <c r="SU82" s="15"/>
      <c r="SV82" s="15"/>
      <c r="SW82" s="15"/>
      <c r="SX82" s="15"/>
      <c r="SY82" s="15"/>
      <c r="SZ82" s="15"/>
      <c r="TA82" s="15"/>
      <c r="TB82" s="15"/>
      <c r="TC82" s="15"/>
      <c r="TD82" s="15"/>
      <c r="TE82" s="15"/>
      <c r="TF82" s="15"/>
      <c r="TG82" s="15"/>
      <c r="TH82" s="15"/>
      <c r="TI82" s="15"/>
      <c r="TJ82" s="15"/>
      <c r="TK82" s="15"/>
      <c r="TL82" s="15"/>
      <c r="TM82" s="15"/>
      <c r="TN82" s="15"/>
      <c r="TO82" s="15"/>
      <c r="TP82" s="15"/>
      <c r="TQ82" s="15"/>
      <c r="TR82" s="15"/>
      <c r="TS82" s="15"/>
      <c r="TT82" s="15"/>
      <c r="TU82" s="15"/>
      <c r="TV82" s="15"/>
      <c r="TW82" s="15"/>
      <c r="TX82" s="15"/>
      <c r="TY82" s="15"/>
      <c r="TZ82" s="15"/>
      <c r="UA82" s="15"/>
      <c r="UB82" s="15"/>
      <c r="UC82" s="15"/>
      <c r="UD82" s="15"/>
      <c r="UE82" s="15"/>
      <c r="UF82" s="15"/>
      <c r="UG82" s="15"/>
      <c r="UH82" s="15"/>
      <c r="UI82" s="15"/>
      <c r="UJ82" s="15"/>
      <c r="UK82" s="15"/>
      <c r="UL82" s="15"/>
      <c r="UM82" s="15"/>
      <c r="UN82" s="15"/>
      <c r="UO82" s="15"/>
      <c r="UP82" s="15"/>
      <c r="UQ82" s="15"/>
      <c r="UR82" s="15"/>
      <c r="US82" s="15"/>
      <c r="UT82" s="15"/>
      <c r="UU82" s="15"/>
      <c r="UV82" s="15"/>
      <c r="UW82" s="15"/>
      <c r="UX82" s="15"/>
      <c r="UY82" s="15"/>
      <c r="UZ82" s="15"/>
      <c r="VA82" s="15"/>
      <c r="VB82" s="15"/>
      <c r="VC82" s="15"/>
      <c r="VD82" s="15"/>
      <c r="VE82" s="15"/>
      <c r="VF82" s="15"/>
      <c r="VG82" s="15"/>
      <c r="VH82" s="15"/>
      <c r="VI82" s="15"/>
      <c r="VJ82" s="15"/>
      <c r="VK82" s="15"/>
      <c r="VL82" s="15"/>
      <c r="VM82" s="15"/>
      <c r="VN82" s="15"/>
      <c r="VO82" s="15"/>
      <c r="VP82" s="15"/>
      <c r="VQ82" s="15"/>
      <c r="VR82" s="15"/>
      <c r="VS82" s="15"/>
      <c r="VT82" s="15"/>
      <c r="VU82" s="15"/>
      <c r="VV82" s="15"/>
      <c r="VW82" s="15"/>
      <c r="VX82" s="15"/>
      <c r="VY82" s="15"/>
      <c r="VZ82" s="15"/>
      <c r="WA82" s="15"/>
      <c r="WB82" s="15"/>
      <c r="WC82" s="15"/>
      <c r="WD82" s="15"/>
      <c r="WE82" s="15"/>
      <c r="WF82" s="15"/>
      <c r="WG82" s="15"/>
      <c r="WH82" s="15"/>
      <c r="WI82" s="15"/>
      <c r="WJ82" s="15"/>
      <c r="WK82" s="15"/>
      <c r="WL82" s="15"/>
      <c r="WM82" s="15"/>
      <c r="WN82" s="15"/>
      <c r="WO82" s="15"/>
      <c r="WP82" s="15"/>
      <c r="WQ82" s="15"/>
      <c r="WR82" s="15"/>
      <c r="WS82" s="15"/>
      <c r="WT82" s="15"/>
      <c r="WU82" s="15"/>
      <c r="WV82" s="15"/>
      <c r="WW82" s="15"/>
      <c r="WX82" s="15"/>
      <c r="WY82" s="15"/>
      <c r="WZ82" s="15"/>
      <c r="XA82" s="15"/>
      <c r="XB82" s="15"/>
      <c r="XC82" s="15"/>
      <c r="XD82" s="15"/>
      <c r="XE82" s="15"/>
      <c r="XF82" s="15"/>
      <c r="XG82" s="15"/>
      <c r="XH82" s="15"/>
      <c r="XI82" s="15"/>
      <c r="XJ82" s="15"/>
      <c r="XK82" s="15"/>
      <c r="XL82" s="15"/>
      <c r="XM82" s="15"/>
      <c r="XN82" s="15"/>
      <c r="XO82" s="15"/>
      <c r="XP82" s="15"/>
      <c r="XQ82" s="15"/>
      <c r="XR82" s="15"/>
      <c r="XS82" s="15"/>
      <c r="XT82" s="15"/>
      <c r="XU82" s="15"/>
      <c r="XV82" s="15"/>
      <c r="XW82" s="15"/>
      <c r="XX82" s="15"/>
      <c r="XY82" s="15"/>
      <c r="XZ82" s="15"/>
      <c r="YA82" s="15"/>
      <c r="YB82" s="15"/>
      <c r="YC82" s="15"/>
      <c r="YD82" s="15"/>
      <c r="YE82" s="15"/>
      <c r="YF82" s="15"/>
      <c r="YG82" s="15"/>
      <c r="YH82" s="15"/>
      <c r="YI82" s="15"/>
      <c r="YJ82" s="15"/>
      <c r="YK82" s="15"/>
      <c r="YL82" s="15"/>
      <c r="YM82" s="15"/>
      <c r="YN82" s="15"/>
      <c r="YO82" s="15"/>
      <c r="YP82" s="15"/>
      <c r="YQ82" s="15"/>
      <c r="YR82" s="15"/>
      <c r="YS82" s="15"/>
      <c r="YT82" s="15"/>
      <c r="YU82" s="15"/>
      <c r="YV82" s="15"/>
      <c r="YW82" s="15"/>
      <c r="YX82" s="15"/>
      <c r="YY82" s="15"/>
      <c r="YZ82" s="15"/>
      <c r="ZA82" s="15"/>
      <c r="ZB82" s="15"/>
      <c r="ZC82" s="15"/>
      <c r="ZD82" s="15"/>
      <c r="ZE82" s="15"/>
      <c r="ZF82" s="15"/>
      <c r="ZG82" s="15"/>
      <c r="ZH82" s="15"/>
      <c r="ZI82" s="15"/>
      <c r="ZJ82" s="15"/>
      <c r="ZK82" s="15"/>
      <c r="ZL82" s="15"/>
      <c r="ZM82" s="15"/>
      <c r="ZN82" s="15"/>
      <c r="ZO82" s="15"/>
      <c r="ZP82" s="15"/>
      <c r="ZQ82" s="15"/>
      <c r="ZR82" s="15"/>
      <c r="ZS82" s="15"/>
      <c r="ZT82" s="15"/>
      <c r="ZU82" s="15"/>
      <c r="ZV82" s="15"/>
      <c r="ZW82" s="15"/>
      <c r="ZX82" s="15"/>
      <c r="ZY82" s="15"/>
      <c r="ZZ82" s="15"/>
      <c r="AAA82" s="15"/>
      <c r="AAB82" s="15"/>
      <c r="AAC82" s="15"/>
      <c r="AAD82" s="15"/>
      <c r="AAE82" s="15"/>
      <c r="AAF82" s="15"/>
      <c r="AAG82" s="15"/>
      <c r="AAH82" s="15"/>
      <c r="AAI82" s="15"/>
      <c r="AAJ82" s="15"/>
      <c r="AAK82" s="15"/>
      <c r="AAL82" s="15"/>
      <c r="AAM82" s="15"/>
      <c r="AAN82" s="15"/>
      <c r="AAO82" s="15"/>
      <c r="AAP82" s="15"/>
      <c r="AAQ82" s="15"/>
      <c r="AAR82" s="15"/>
      <c r="AAS82" s="15"/>
      <c r="AAT82" s="15"/>
      <c r="AAU82" s="15"/>
      <c r="AAV82" s="15"/>
      <c r="AAW82" s="15"/>
      <c r="AAX82" s="15"/>
      <c r="AAY82" s="15"/>
      <c r="AAZ82" s="15"/>
      <c r="ABA82" s="15"/>
      <c r="ABB82" s="15"/>
      <c r="ABC82" s="15"/>
      <c r="ABD82" s="15"/>
      <c r="ABE82" s="15"/>
      <c r="ABF82" s="15"/>
      <c r="ABG82" s="15"/>
      <c r="ABH82" s="15"/>
      <c r="ABI82" s="15"/>
      <c r="ABJ82" s="15"/>
      <c r="ABK82" s="15"/>
      <c r="ABL82" s="15"/>
      <c r="ABM82" s="15"/>
      <c r="ABN82" s="15"/>
      <c r="ABO82" s="15"/>
      <c r="ABP82" s="15"/>
      <c r="ABQ82" s="15"/>
      <c r="ABR82" s="15"/>
      <c r="ABS82" s="15"/>
      <c r="ABT82" s="15"/>
      <c r="ABU82" s="15"/>
      <c r="ABV82" s="15"/>
      <c r="ABW82" s="15"/>
      <c r="ABX82" s="15"/>
      <c r="ABY82" s="15"/>
      <c r="ABZ82" s="15"/>
      <c r="ACA82" s="15"/>
      <c r="ACB82" s="15"/>
      <c r="ACC82" s="15"/>
      <c r="ACD82" s="15"/>
      <c r="ACE82" s="15"/>
      <c r="ACF82" s="15"/>
      <c r="ACG82" s="15"/>
      <c r="ACH82" s="15"/>
      <c r="ACI82" s="15"/>
      <c r="ACJ82" s="15"/>
      <c r="ACK82" s="15"/>
      <c r="ACL82" s="15"/>
      <c r="ACM82" s="15"/>
      <c r="ACN82" s="15"/>
      <c r="ACO82" s="15"/>
      <c r="ACP82" s="15"/>
      <c r="ACQ82" s="15"/>
      <c r="ACR82" s="15"/>
      <c r="ACS82" s="15"/>
      <c r="ACT82" s="15"/>
      <c r="ACU82" s="15"/>
      <c r="ACV82" s="15"/>
      <c r="ACW82" s="15"/>
      <c r="ACX82" s="15"/>
      <c r="ACY82" s="15"/>
      <c r="ACZ82" s="15"/>
      <c r="ADA82" s="15"/>
      <c r="ADB82" s="15"/>
      <c r="ADC82" s="15"/>
      <c r="ADD82" s="15"/>
      <c r="ADE82" s="15"/>
      <c r="ADF82" s="15"/>
      <c r="ADG82" s="15"/>
      <c r="ADH82" s="15"/>
      <c r="ADI82" s="15"/>
      <c r="ADJ82" s="15"/>
      <c r="ADK82" s="15"/>
      <c r="ADL82" s="15"/>
      <c r="ADM82" s="15"/>
      <c r="ADN82" s="15"/>
      <c r="ADO82" s="15"/>
      <c r="ADP82" s="15"/>
      <c r="ADQ82" s="15"/>
      <c r="ADR82" s="15"/>
      <c r="ADS82" s="15"/>
      <c r="ADT82" s="15"/>
      <c r="ADU82" s="15"/>
      <c r="ADV82" s="15"/>
      <c r="ADW82" s="15"/>
      <c r="ADX82" s="15"/>
      <c r="ADY82" s="15"/>
      <c r="ADZ82" s="15"/>
      <c r="AEA82" s="15"/>
      <c r="AEB82" s="15"/>
      <c r="AEC82" s="15"/>
      <c r="AED82" s="15"/>
      <c r="AEE82" s="15"/>
      <c r="AEF82" s="15"/>
      <c r="AEG82" s="15"/>
      <c r="AEH82" s="15"/>
      <c r="AEI82" s="15"/>
      <c r="AEJ82" s="15"/>
      <c r="AEK82" s="15"/>
      <c r="AEL82" s="15"/>
      <c r="AEM82" s="15"/>
      <c r="AEN82" s="15"/>
      <c r="AEO82" s="15"/>
      <c r="AEP82" s="15"/>
      <c r="AEQ82" s="15"/>
      <c r="AER82" s="15"/>
      <c r="AES82" s="15"/>
      <c r="AET82" s="15"/>
      <c r="AEU82" s="15"/>
      <c r="AEV82" s="15"/>
      <c r="AEW82" s="15"/>
      <c r="AEX82" s="15"/>
      <c r="AEY82" s="15"/>
      <c r="AEZ82" s="15"/>
      <c r="AFA82" s="15"/>
      <c r="AFB82" s="15"/>
      <c r="AFC82" s="15"/>
      <c r="AFD82" s="15"/>
      <c r="AFE82" s="15"/>
      <c r="AFF82" s="15"/>
      <c r="AFG82" s="15"/>
      <c r="AFH82" s="15"/>
      <c r="AFI82" s="15"/>
      <c r="AFJ82" s="15"/>
      <c r="AFK82" s="15"/>
      <c r="AFL82" s="15"/>
      <c r="AFM82" s="15"/>
      <c r="AFN82" s="15"/>
      <c r="AFO82" s="15"/>
      <c r="AFP82" s="15"/>
      <c r="AFQ82" s="15"/>
      <c r="AFR82" s="15"/>
      <c r="AFS82" s="15"/>
      <c r="AFT82" s="15"/>
      <c r="AFU82" s="15"/>
      <c r="AFV82" s="15"/>
      <c r="AFW82" s="15"/>
      <c r="AFX82" s="15"/>
      <c r="AFY82" s="15"/>
      <c r="AFZ82" s="15"/>
      <c r="AGA82" s="15"/>
      <c r="AGB82" s="15"/>
      <c r="AGC82" s="15"/>
      <c r="AGD82" s="15"/>
      <c r="AGE82" s="15"/>
      <c r="AGF82" s="15"/>
      <c r="AGG82" s="15"/>
      <c r="AGH82" s="15"/>
      <c r="AGI82" s="15"/>
      <c r="AGJ82" s="15"/>
      <c r="AGK82" s="15"/>
      <c r="AGL82" s="15"/>
      <c r="AGM82" s="15"/>
      <c r="AGN82" s="15"/>
      <c r="AGO82" s="15"/>
      <c r="AGP82" s="15"/>
      <c r="AGQ82" s="15"/>
      <c r="AGR82" s="15"/>
      <c r="AGS82" s="15"/>
      <c r="AGT82" s="15"/>
      <c r="AGU82" s="15"/>
      <c r="AGV82" s="15"/>
      <c r="AGW82" s="15"/>
      <c r="AGX82" s="15"/>
      <c r="AGY82" s="15"/>
      <c r="AGZ82" s="15"/>
      <c r="AHA82" s="15"/>
      <c r="AHB82" s="15"/>
      <c r="AHC82" s="15"/>
      <c r="AHD82" s="15"/>
      <c r="AHE82" s="15"/>
      <c r="AHF82" s="15"/>
      <c r="AHG82" s="15"/>
      <c r="AHH82" s="15"/>
      <c r="AHI82" s="15"/>
      <c r="AHJ82" s="15"/>
      <c r="AHK82" s="15"/>
      <c r="AHL82" s="15"/>
      <c r="AHM82" s="15"/>
      <c r="AHN82" s="15"/>
      <c r="AHO82" s="15"/>
      <c r="AHP82" s="15"/>
      <c r="AHQ82" s="15"/>
      <c r="AHR82" s="15"/>
      <c r="AHS82" s="15"/>
      <c r="AHT82" s="15"/>
      <c r="AHU82" s="15"/>
      <c r="AHV82" s="15"/>
      <c r="AHW82" s="15"/>
      <c r="AHX82" s="15"/>
      <c r="AHY82" s="15"/>
      <c r="AHZ82" s="15"/>
      <c r="AIA82" s="15"/>
      <c r="AIB82" s="15"/>
      <c r="AIC82" s="15"/>
      <c r="AID82" s="15"/>
      <c r="AIE82" s="15"/>
      <c r="AIF82" s="15"/>
      <c r="AIG82" s="15"/>
      <c r="AIH82" s="15"/>
      <c r="AII82" s="15"/>
      <c r="AIJ82" s="15"/>
      <c r="AIK82" s="15"/>
      <c r="AIL82" s="15"/>
      <c r="AIM82" s="15"/>
      <c r="AIN82" s="15"/>
      <c r="AIO82" s="15"/>
      <c r="AIP82" s="15"/>
      <c r="AIQ82" s="15"/>
      <c r="AIR82" s="15"/>
      <c r="AIS82" s="15"/>
      <c r="AIT82" s="15"/>
      <c r="AIU82" s="15"/>
      <c r="AIV82" s="15"/>
      <c r="AIW82" s="15"/>
      <c r="AIX82" s="15"/>
      <c r="AIY82" s="15"/>
      <c r="AIZ82" s="15"/>
      <c r="AJA82" s="15"/>
      <c r="AJB82" s="15"/>
      <c r="AJC82" s="15"/>
      <c r="AJD82" s="15"/>
      <c r="AJE82" s="15"/>
      <c r="AJF82" s="15"/>
      <c r="AJG82" s="15"/>
      <c r="AJH82" s="15"/>
      <c r="AJI82" s="15"/>
      <c r="AJJ82" s="15"/>
      <c r="AJK82" s="15"/>
      <c r="AJL82" s="15"/>
      <c r="AJM82" s="15"/>
      <c r="AJN82" s="15"/>
      <c r="AJO82" s="15"/>
      <c r="AJP82" s="15"/>
      <c r="AJQ82" s="15"/>
      <c r="AJR82" s="15"/>
      <c r="AJS82" s="15"/>
      <c r="AJT82" s="15"/>
      <c r="AJU82" s="15"/>
      <c r="AJV82" s="15"/>
      <c r="AJW82" s="15"/>
      <c r="AJX82" s="15"/>
      <c r="AJY82" s="15"/>
      <c r="AJZ82" s="15"/>
      <c r="AKA82" s="15"/>
      <c r="AKB82" s="15"/>
      <c r="AKC82" s="15"/>
      <c r="AKD82" s="15"/>
      <c r="AKE82" s="15"/>
      <c r="AKF82" s="15"/>
      <c r="AKG82" s="15"/>
      <c r="AKH82" s="15"/>
      <c r="AKI82" s="15"/>
      <c r="AKJ82" s="15"/>
      <c r="AKK82" s="15"/>
      <c r="AKL82" s="15"/>
      <c r="AKM82" s="15"/>
      <c r="AKN82" s="15"/>
      <c r="AKO82" s="15"/>
      <c r="AKP82" s="15"/>
      <c r="AKQ82" s="15"/>
      <c r="AKR82" s="15"/>
      <c r="AKS82" s="15"/>
      <c r="AKT82" s="15"/>
      <c r="AKU82" s="15"/>
      <c r="AKV82" s="15"/>
      <c r="AKW82" s="15"/>
      <c r="AKX82" s="15"/>
      <c r="AKY82" s="15"/>
      <c r="AKZ82" s="15"/>
      <c r="ALA82" s="15"/>
      <c r="ALB82" s="15"/>
      <c r="ALC82" s="15"/>
      <c r="ALD82" s="15"/>
      <c r="ALE82" s="15"/>
      <c r="ALF82" s="15"/>
      <c r="ALG82" s="15"/>
      <c r="ALH82" s="15"/>
      <c r="ALI82" s="15"/>
      <c r="ALJ82" s="15"/>
      <c r="ALK82" s="15"/>
      <c r="ALL82" s="15"/>
      <c r="ALM82" s="15"/>
      <c r="ALN82" s="15"/>
      <c r="ALO82" s="15"/>
      <c r="ALP82" s="15"/>
      <c r="ALQ82" s="15"/>
      <c r="ALR82" s="15"/>
      <c r="ALS82" s="15"/>
      <c r="ALT82" s="15"/>
      <c r="ALU82" s="15"/>
      <c r="ALV82" s="15"/>
      <c r="ALW82" s="15"/>
      <c r="ALX82" s="15"/>
      <c r="ALY82" s="15"/>
      <c r="ALZ82" s="15"/>
      <c r="AMA82" s="15"/>
      <c r="AMB82" s="15"/>
      <c r="AMC82" s="15"/>
      <c r="AMD82" s="15"/>
      <c r="AME82" s="15"/>
      <c r="AMF82" s="15"/>
      <c r="AMG82" s="15"/>
      <c r="AMH82" s="15"/>
      <c r="AMI82" s="15"/>
      <c r="AMJ82" s="15"/>
    </row>
  </sheetData>
  <sheetProtection algorithmName="SHA-512" hashValue="f5XGktkYJxL3sko1n5bhohRVoS+U9g/HeMncND/1ZgVHI0WsVWIfZvexKdMkOIKwzvELYMlHHAhupGVxkgafsw==" saltValue="UmxxtxkvSPV7HH7XAe/72w==" spinCount="100000" sheet="1" objects="1" scenarios="1"/>
  <mergeCells count="1">
    <mergeCell ref="A4:X4"/>
  </mergeCells>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0">
    <tabColor theme="0" tint="-0.249977111117893"/>
  </sheetPr>
  <dimension ref="A1:AMJ48"/>
  <sheetViews>
    <sheetView showGridLines="0" zoomScaleNormal="100" workbookViewId="0">
      <selection activeCell="O22" sqref="O22"/>
    </sheetView>
  </sheetViews>
  <sheetFormatPr defaultColWidth="9.109375" defaultRowHeight="14.4" x14ac:dyDescent="0.3"/>
  <cols>
    <col min="1" max="1" width="10.5546875" style="9" customWidth="1"/>
    <col min="2" max="2" width="27.6640625" style="9" customWidth="1"/>
    <col min="3" max="3" width="14.44140625" style="9" customWidth="1"/>
    <col min="4" max="5" width="15" style="9" customWidth="1"/>
    <col min="6" max="6" width="16.6640625" style="508" customWidth="1"/>
    <col min="7" max="8" width="13.109375" style="508" customWidth="1"/>
    <col min="9" max="10" width="12.5546875" style="508" customWidth="1"/>
    <col min="11" max="257" width="9.109375" style="9"/>
    <col min="258" max="258" width="10.5546875" style="9" customWidth="1"/>
    <col min="259" max="259" width="27.6640625" style="9" customWidth="1"/>
    <col min="260" max="260" width="14.44140625" style="9" customWidth="1"/>
    <col min="261" max="262" width="15" style="9" customWidth="1"/>
    <col min="263" max="263" width="16.6640625" style="9" customWidth="1"/>
    <col min="264" max="264" width="13.109375" style="9" customWidth="1"/>
    <col min="265" max="266" width="12.5546875" style="9" customWidth="1"/>
    <col min="267" max="513" width="9.109375" style="9"/>
    <col min="514" max="514" width="10.5546875" style="9" customWidth="1"/>
    <col min="515" max="515" width="27.6640625" style="9" customWidth="1"/>
    <col min="516" max="516" width="14.44140625" style="9" customWidth="1"/>
    <col min="517" max="518" width="15" style="9" customWidth="1"/>
    <col min="519" max="519" width="16.6640625" style="9" customWidth="1"/>
    <col min="520" max="520" width="13.109375" style="9" customWidth="1"/>
    <col min="521" max="522" width="12.5546875" style="9" customWidth="1"/>
    <col min="523" max="769" width="9.109375" style="9"/>
    <col min="770" max="770" width="10.5546875" style="9" customWidth="1"/>
    <col min="771" max="771" width="27.6640625" style="9" customWidth="1"/>
    <col min="772" max="772" width="14.44140625" style="9" customWidth="1"/>
    <col min="773" max="774" width="15" style="9" customWidth="1"/>
    <col min="775" max="775" width="16.6640625" style="9" customWidth="1"/>
    <col min="776" max="776" width="13.109375" style="9" customWidth="1"/>
    <col min="777" max="778" width="12.5546875" style="9" customWidth="1"/>
    <col min="779" max="1024" width="9.109375" style="9"/>
  </cols>
  <sheetData>
    <row r="1" spans="1:10" x14ac:dyDescent="0.3">
      <c r="A1" s="509"/>
      <c r="B1" s="6" t="str">
        <f>INSTRUÇÕES!B1</f>
        <v>Tribunal Regional Federal da 6ª Região</v>
      </c>
      <c r="C1" s="510"/>
      <c r="D1" s="510"/>
      <c r="E1" s="510"/>
      <c r="F1" s="511"/>
      <c r="G1" s="512"/>
      <c r="H1" s="512"/>
      <c r="I1" s="511"/>
      <c r="J1" s="513"/>
    </row>
    <row r="2" spans="1:10" x14ac:dyDescent="0.3">
      <c r="A2" s="514"/>
      <c r="B2" s="8" t="str">
        <f>INSTRUÇÕES!B2</f>
        <v>Seção Judiciária de Minas Gerais</v>
      </c>
      <c r="C2" s="364"/>
      <c r="D2" s="364"/>
      <c r="E2" s="364"/>
      <c r="F2" s="515"/>
      <c r="I2" s="515"/>
      <c r="J2" s="516"/>
    </row>
    <row r="3" spans="1:10" x14ac:dyDescent="0.3">
      <c r="A3" s="517"/>
      <c r="B3" s="471" t="str">
        <f>INSTRUÇÕES!B3</f>
        <v>Subseção Judiciária de Uberlândia</v>
      </c>
      <c r="C3" s="364"/>
      <c r="D3" s="364"/>
      <c r="E3" s="364"/>
      <c r="F3" s="515"/>
      <c r="I3" s="515"/>
      <c r="J3" s="516"/>
    </row>
    <row r="4" spans="1:10" ht="19.5" customHeight="1" x14ac:dyDescent="0.3">
      <c r="A4" s="856" t="s">
        <v>465</v>
      </c>
      <c r="B4" s="856"/>
      <c r="C4" s="856"/>
      <c r="D4" s="856"/>
      <c r="E4" s="856"/>
      <c r="F4" s="856"/>
      <c r="G4" s="856"/>
      <c r="H4" s="856"/>
      <c r="I4" s="856"/>
      <c r="J4" s="856"/>
    </row>
    <row r="5" spans="1:10" ht="19.5" customHeight="1" x14ac:dyDescent="0.3">
      <c r="A5" s="857" t="s">
        <v>263</v>
      </c>
      <c r="B5" s="857"/>
      <c r="C5" s="857"/>
      <c r="D5" s="857"/>
      <c r="E5" s="857"/>
      <c r="F5" s="857"/>
      <c r="G5" s="857"/>
      <c r="H5" s="857"/>
      <c r="I5" s="857"/>
      <c r="J5" s="857"/>
    </row>
    <row r="6" spans="1:10" ht="36" customHeight="1" x14ac:dyDescent="0.3">
      <c r="A6" s="858" t="str">
        <f>Dados!A4</f>
        <v>Sindicato utilizado - SEAC/MG x SINDEACO/MG. Vigência: 01/01/2025 à 31/12/2025. Sendo a data base da categoria 01º Janeiro. Com número de registro no MTE MG001252/2025.</v>
      </c>
      <c r="B6" s="858"/>
      <c r="C6" s="858"/>
      <c r="D6" s="858"/>
      <c r="E6" s="858"/>
      <c r="F6" s="858"/>
      <c r="G6" s="858"/>
      <c r="H6" s="858"/>
      <c r="I6" s="858"/>
      <c r="J6" s="858"/>
    </row>
    <row r="7" spans="1:10" ht="19.5" customHeight="1" x14ac:dyDescent="0.3">
      <c r="A7" s="859" t="str">
        <f>Dados!C14</f>
        <v>Zelador acúmulo de função Lavador de Carro e Jardineiro</v>
      </c>
      <c r="B7" s="859"/>
      <c r="C7" s="859"/>
      <c r="D7" s="859"/>
      <c r="E7" s="859"/>
      <c r="F7" s="860" t="s">
        <v>466</v>
      </c>
      <c r="G7" s="860" t="s">
        <v>467</v>
      </c>
      <c r="H7" s="860" t="s">
        <v>468</v>
      </c>
      <c r="I7" s="860" t="s">
        <v>469</v>
      </c>
      <c r="J7" s="860" t="s">
        <v>470</v>
      </c>
    </row>
    <row r="8" spans="1:10" ht="19.5" customHeight="1" x14ac:dyDescent="0.3">
      <c r="A8" s="861" t="s">
        <v>505</v>
      </c>
      <c r="B8" s="861"/>
      <c r="C8" s="861"/>
      <c r="D8" s="861"/>
      <c r="E8" s="518" t="s">
        <v>340</v>
      </c>
      <c r="F8" s="860"/>
      <c r="G8" s="860"/>
      <c r="H8" s="860"/>
      <c r="I8" s="860"/>
      <c r="J8" s="860"/>
    </row>
    <row r="9" spans="1:10" ht="19.5" customHeight="1" x14ac:dyDescent="0.3">
      <c r="A9" s="839" t="s">
        <v>472</v>
      </c>
      <c r="B9" s="839"/>
      <c r="C9" s="839"/>
      <c r="D9" s="839"/>
      <c r="E9" s="839"/>
      <c r="F9" s="839"/>
      <c r="G9" s="839"/>
      <c r="H9" s="839"/>
      <c r="I9" s="839"/>
      <c r="J9" s="839"/>
    </row>
    <row r="10" spans="1:10" ht="24" customHeight="1" x14ac:dyDescent="0.3">
      <c r="A10" s="519" t="s">
        <v>341</v>
      </c>
      <c r="B10" s="849" t="s">
        <v>473</v>
      </c>
      <c r="C10" s="849"/>
      <c r="D10" s="520" t="s">
        <v>474</v>
      </c>
      <c r="E10" s="521" t="s">
        <v>475</v>
      </c>
      <c r="F10" s="850" t="s">
        <v>344</v>
      </c>
      <c r="G10" s="850"/>
      <c r="H10" s="850"/>
      <c r="I10" s="850"/>
      <c r="J10" s="850"/>
    </row>
    <row r="11" spans="1:10" ht="27.75" customHeight="1" x14ac:dyDescent="0.3">
      <c r="A11" s="851">
        <v>1</v>
      </c>
      <c r="B11" s="853" t="str">
        <f>A7</f>
        <v>Zelador acúmulo de função Lavador de Carro e Jardineiro</v>
      </c>
      <c r="C11" s="853"/>
      <c r="D11" s="522">
        <f>Dados!D14</f>
        <v>200</v>
      </c>
      <c r="E11" s="523">
        <f>Dados!$E$14</f>
        <v>2463.29</v>
      </c>
      <c r="F11" s="524">
        <f>ROUND(E11/220*D11,2)</f>
        <v>2239.35</v>
      </c>
      <c r="G11" s="524">
        <f>F11</f>
        <v>2239.35</v>
      </c>
      <c r="H11" s="524"/>
      <c r="I11" s="524"/>
      <c r="J11" s="525"/>
    </row>
    <row r="12" spans="1:10" ht="19.5" customHeight="1" x14ac:dyDescent="0.3">
      <c r="A12" s="851"/>
      <c r="B12" s="853" t="s">
        <v>476</v>
      </c>
      <c r="C12" s="853"/>
      <c r="D12" s="526">
        <f>Dados!G14</f>
        <v>0</v>
      </c>
      <c r="E12" s="523">
        <f>Dados!$G$33</f>
        <v>1518</v>
      </c>
      <c r="F12" s="524">
        <f>D12*E12</f>
        <v>0</v>
      </c>
      <c r="G12" s="524">
        <f>F12</f>
        <v>0</v>
      </c>
      <c r="H12" s="524"/>
      <c r="I12" s="524"/>
      <c r="J12" s="525">
        <f>F12</f>
        <v>0</v>
      </c>
    </row>
    <row r="13" spans="1:10" ht="22.5" customHeight="1" x14ac:dyDescent="0.3">
      <c r="A13" s="851"/>
      <c r="B13" s="527" t="s">
        <v>477</v>
      </c>
      <c r="C13" s="528">
        <f>Dados!$I$14</f>
        <v>0.12</v>
      </c>
      <c r="D13" s="528">
        <f>Dados!$J$14</f>
        <v>0.3</v>
      </c>
      <c r="E13" s="529">
        <f>Dados!$K$14</f>
        <v>2239.35</v>
      </c>
      <c r="F13" s="530">
        <f>ROUND((E13*D13*C13),2)</f>
        <v>80.62</v>
      </c>
      <c r="G13" s="530">
        <f>F13</f>
        <v>80.62</v>
      </c>
      <c r="H13" s="530"/>
      <c r="I13" s="530"/>
      <c r="J13" s="531"/>
    </row>
    <row r="14" spans="1:10" ht="19.5" customHeight="1" x14ac:dyDescent="0.3">
      <c r="A14" s="851"/>
      <c r="B14" s="854" t="s">
        <v>478</v>
      </c>
      <c r="C14" s="854"/>
      <c r="D14" s="854"/>
      <c r="E14" s="854"/>
      <c r="F14" s="532">
        <f>SUM(F11:F13)</f>
        <v>2319.9699999999998</v>
      </c>
      <c r="G14" s="532">
        <f>SUM(G11:G13)</f>
        <v>2319.9699999999998</v>
      </c>
      <c r="H14" s="532">
        <f>SUM(H11:H13)</f>
        <v>0</v>
      </c>
      <c r="I14" s="532">
        <f>SUM(I11:I13)</f>
        <v>0</v>
      </c>
      <c r="J14" s="533">
        <f>SUM(J11:J13)</f>
        <v>0</v>
      </c>
    </row>
    <row r="15" spans="1:10" ht="19.5" customHeight="1" x14ac:dyDescent="0.3">
      <c r="A15" s="851"/>
      <c r="B15" s="855" t="s">
        <v>479</v>
      </c>
      <c r="C15" s="855"/>
      <c r="D15" s="855"/>
      <c r="E15" s="534">
        <f>Encargos!$C$57</f>
        <v>0.76400000000000001</v>
      </c>
      <c r="F15" s="524">
        <f>ROUND((E15*F14),2)</f>
        <v>1772.46</v>
      </c>
      <c r="G15" s="524">
        <f>F15</f>
        <v>1772.46</v>
      </c>
      <c r="H15" s="524"/>
      <c r="I15" s="524"/>
      <c r="J15" s="525">
        <f>ROUND((E15*J14),2)</f>
        <v>0</v>
      </c>
    </row>
    <row r="16" spans="1:10" ht="19.5" customHeight="1" x14ac:dyDescent="0.3">
      <c r="A16" s="845" t="s">
        <v>480</v>
      </c>
      <c r="B16" s="845"/>
      <c r="C16" s="845"/>
      <c r="D16" s="845"/>
      <c r="E16" s="845"/>
      <c r="F16" s="535">
        <f>SUM(F14:F15)</f>
        <v>4092.43</v>
      </c>
      <c r="G16" s="535">
        <f>SUM(G14:G15)</f>
        <v>4092.43</v>
      </c>
      <c r="H16" s="535">
        <f>SUM(H14:H15)</f>
        <v>0</v>
      </c>
      <c r="I16" s="535">
        <f>SUM(I14:I15)</f>
        <v>0</v>
      </c>
      <c r="J16" s="536">
        <f>SUM(J14:J15)</f>
        <v>0</v>
      </c>
    </row>
    <row r="17" spans="1:12" ht="19.5" customHeight="1" x14ac:dyDescent="0.3">
      <c r="A17" s="846" t="s">
        <v>481</v>
      </c>
      <c r="B17" s="846"/>
      <c r="C17" s="846"/>
      <c r="D17" s="846"/>
      <c r="E17" s="846"/>
      <c r="F17" s="846"/>
      <c r="G17" s="846"/>
      <c r="H17" s="846"/>
      <c r="I17" s="846"/>
      <c r="J17" s="846"/>
    </row>
    <row r="18" spans="1:12" ht="19.5" customHeight="1" x14ac:dyDescent="0.3">
      <c r="A18" s="840" t="s">
        <v>482</v>
      </c>
      <c r="B18" s="840"/>
      <c r="C18" s="537" t="s">
        <v>343</v>
      </c>
      <c r="D18" s="847" t="s">
        <v>483</v>
      </c>
      <c r="E18" s="847"/>
      <c r="F18" s="848" t="s">
        <v>344</v>
      </c>
      <c r="G18" s="848"/>
      <c r="H18" s="848"/>
      <c r="I18" s="848"/>
      <c r="J18" s="848"/>
    </row>
    <row r="19" spans="1:12" ht="19.5" customHeight="1" x14ac:dyDescent="0.3">
      <c r="A19" s="832" t="s">
        <v>484</v>
      </c>
      <c r="B19" s="832"/>
      <c r="C19" s="539"/>
      <c r="D19" s="539"/>
      <c r="E19" s="539"/>
      <c r="F19" s="524">
        <f>Dados!N14</f>
        <v>31.18</v>
      </c>
      <c r="G19" s="524">
        <f>F19</f>
        <v>31.18</v>
      </c>
      <c r="H19" s="524"/>
      <c r="I19" s="524"/>
      <c r="J19" s="525"/>
    </row>
    <row r="20" spans="1:12" ht="19.5" customHeight="1" x14ac:dyDescent="0.3">
      <c r="A20" s="832" t="s">
        <v>485</v>
      </c>
      <c r="B20" s="832"/>
      <c r="C20" s="539"/>
      <c r="D20" s="539"/>
      <c r="E20" s="539"/>
      <c r="F20" s="524">
        <f>Dados!G36</f>
        <v>5.27</v>
      </c>
      <c r="G20" s="524">
        <f>F20</f>
        <v>5.27</v>
      </c>
      <c r="H20" s="524"/>
      <c r="I20" s="524"/>
      <c r="J20" s="525"/>
    </row>
    <row r="21" spans="1:12" ht="23.25" customHeight="1" x14ac:dyDescent="0.3">
      <c r="A21" s="844" t="s">
        <v>195</v>
      </c>
      <c r="B21" s="844"/>
      <c r="C21" s="539"/>
      <c r="D21" s="539"/>
      <c r="E21" s="539"/>
      <c r="F21" s="524">
        <f>Dados!G37</f>
        <v>0</v>
      </c>
      <c r="G21" s="524">
        <f>F21</f>
        <v>0</v>
      </c>
      <c r="H21" s="524"/>
      <c r="I21" s="524"/>
      <c r="J21" s="525"/>
    </row>
    <row r="22" spans="1:12" ht="19.5" customHeight="1" x14ac:dyDescent="0.3">
      <c r="A22" s="832" t="s">
        <v>196</v>
      </c>
      <c r="B22" s="832"/>
      <c r="C22" s="540">
        <f>Dados!$G$40</f>
        <v>22</v>
      </c>
      <c r="D22" s="540">
        <f>Dados!$G$39</f>
        <v>2</v>
      </c>
      <c r="E22" s="541">
        <f>Dados!$G$38</f>
        <v>5.7</v>
      </c>
      <c r="F22" s="524">
        <f>IF(ROUND((E22*D22*C22)-(F11*Dados!G41),2)&lt;0,0,ROUND((E22*D22*C22)-(F11*Dados!G41),2))</f>
        <v>116.44</v>
      </c>
      <c r="G22" s="524">
        <f>F22</f>
        <v>116.44</v>
      </c>
      <c r="H22" s="524"/>
      <c r="I22" s="524">
        <f>F22</f>
        <v>116.44</v>
      </c>
      <c r="J22" s="525"/>
    </row>
    <row r="23" spans="1:12" ht="19.5" customHeight="1" x14ac:dyDescent="0.3">
      <c r="A23" s="832" t="s">
        <v>205</v>
      </c>
      <c r="B23" s="832"/>
      <c r="C23" s="540">
        <f>Dados!G43</f>
        <v>1</v>
      </c>
      <c r="D23" s="542">
        <f>Dados!G44</f>
        <v>0</v>
      </c>
      <c r="E23" s="541">
        <f>Dados!G42</f>
        <v>387.79</v>
      </c>
      <c r="F23" s="543">
        <f>E23*C23*(100%-D23)</f>
        <v>387.79</v>
      </c>
      <c r="G23" s="524">
        <f>F23</f>
        <v>387.79</v>
      </c>
      <c r="H23" s="524">
        <f>$F$23</f>
        <v>387.79</v>
      </c>
      <c r="I23" s="543"/>
      <c r="J23" s="525"/>
    </row>
    <row r="24" spans="1:12" ht="19.5" customHeight="1" x14ac:dyDescent="0.3">
      <c r="A24" s="832" t="str">
        <f>Dados!B45</f>
        <v>Plano de Assistência Odontológica</v>
      </c>
      <c r="B24" s="832"/>
      <c r="C24" s="540"/>
      <c r="D24" s="540"/>
      <c r="E24" s="541"/>
      <c r="F24" s="543">
        <f>Dados!G45</f>
        <v>42.97</v>
      </c>
      <c r="G24" s="524">
        <f t="shared" ref="G24:G25" si="0">F24</f>
        <v>42.97</v>
      </c>
      <c r="H24" s="524"/>
      <c r="I24" s="543"/>
      <c r="J24" s="525"/>
    </row>
    <row r="25" spans="1:12" ht="19.5" customHeight="1" x14ac:dyDescent="0.3">
      <c r="A25" s="832" t="str">
        <f>Dados!B46</f>
        <v>Outros (inserir somente com a justificativa legal)</v>
      </c>
      <c r="B25" s="832"/>
      <c r="C25" s="540"/>
      <c r="D25" s="540"/>
      <c r="E25" s="541"/>
      <c r="F25" s="543">
        <f>Dados!G46</f>
        <v>0</v>
      </c>
      <c r="G25" s="524">
        <f t="shared" si="0"/>
        <v>0</v>
      </c>
      <c r="H25" s="524"/>
      <c r="I25" s="543"/>
      <c r="J25" s="525"/>
    </row>
    <row r="26" spans="1:12" ht="19.5" customHeight="1" x14ac:dyDescent="0.3">
      <c r="A26" s="863" t="s">
        <v>716</v>
      </c>
      <c r="B26" s="864"/>
      <c r="C26" s="540"/>
      <c r="D26" s="540"/>
      <c r="E26" s="541"/>
      <c r="F26" s="543">
        <f>Dados!T14</f>
        <v>4.9408333333333321</v>
      </c>
      <c r="G26" s="524">
        <f>F26</f>
        <v>4.9408333333333321</v>
      </c>
      <c r="H26" s="524"/>
      <c r="I26" s="543"/>
      <c r="J26" s="525"/>
    </row>
    <row r="27" spans="1:12" ht="19.5" customHeight="1" x14ac:dyDescent="0.3">
      <c r="A27" s="832" t="s">
        <v>713</v>
      </c>
      <c r="B27" s="832"/>
      <c r="C27" s="540"/>
      <c r="D27" s="541"/>
      <c r="E27" s="541"/>
      <c r="F27" s="524">
        <f>Dados!S14</f>
        <v>155.82</v>
      </c>
      <c r="G27" s="524"/>
      <c r="H27" s="524"/>
      <c r="I27" s="524"/>
      <c r="J27" s="525"/>
      <c r="L27" s="544"/>
    </row>
    <row r="28" spans="1:12" ht="19.5" customHeight="1" x14ac:dyDescent="0.3">
      <c r="A28" s="538" t="s">
        <v>503</v>
      </c>
      <c r="B28" s="545"/>
      <c r="C28" s="540"/>
      <c r="D28" s="541"/>
      <c r="E28" s="541"/>
      <c r="F28" s="524">
        <f>Dados!R14</f>
        <v>144.52000000000001</v>
      </c>
      <c r="G28" s="524"/>
      <c r="H28" s="524"/>
      <c r="I28" s="524"/>
      <c r="J28" s="525"/>
    </row>
    <row r="29" spans="1:12" ht="19.5" customHeight="1" x14ac:dyDescent="0.3">
      <c r="A29" s="843" t="s">
        <v>488</v>
      </c>
      <c r="B29" s="843"/>
      <c r="C29" s="546"/>
      <c r="D29" s="547"/>
      <c r="E29" s="547"/>
      <c r="F29" s="530">
        <f>Dados!U14</f>
        <v>44.505192307692312</v>
      </c>
      <c r="G29" s="530">
        <f>F29</f>
        <v>44.505192307692312</v>
      </c>
      <c r="H29" s="530"/>
      <c r="I29" s="530"/>
      <c r="J29" s="531"/>
    </row>
    <row r="30" spans="1:12" ht="19.5" customHeight="1" x14ac:dyDescent="0.3">
      <c r="A30" s="838" t="s">
        <v>489</v>
      </c>
      <c r="B30" s="838"/>
      <c r="C30" s="838"/>
      <c r="D30" s="838"/>
      <c r="E30" s="838"/>
      <c r="F30" s="535">
        <f>SUM(F19:F29)</f>
        <v>933.43602564102571</v>
      </c>
      <c r="G30" s="535">
        <f>SUM(G19:G29)</f>
        <v>633.09602564102579</v>
      </c>
      <c r="H30" s="535">
        <f>SUM(H19:H29)</f>
        <v>387.79</v>
      </c>
      <c r="I30" s="535">
        <f>SUM(I19:I29)</f>
        <v>116.44</v>
      </c>
      <c r="J30" s="536">
        <f>SUM(J19:J29)</f>
        <v>0</v>
      </c>
    </row>
    <row r="31" spans="1:12" ht="19.5" customHeight="1" x14ac:dyDescent="0.3">
      <c r="A31" s="838" t="s">
        <v>490</v>
      </c>
      <c r="B31" s="838"/>
      <c r="C31" s="838"/>
      <c r="D31" s="838"/>
      <c r="E31" s="838"/>
      <c r="F31" s="535">
        <f>F16+F30</f>
        <v>5025.8660256410258</v>
      </c>
      <c r="G31" s="535">
        <f>G16+G30</f>
        <v>4725.5260256410256</v>
      </c>
      <c r="H31" s="535">
        <f>H16+H30</f>
        <v>387.79</v>
      </c>
      <c r="I31" s="535">
        <f>I16+I30</f>
        <v>116.44</v>
      </c>
      <c r="J31" s="536">
        <f>J16+J30</f>
        <v>0</v>
      </c>
    </row>
    <row r="32" spans="1:12" ht="19.5" customHeight="1" x14ac:dyDescent="0.3">
      <c r="A32" s="839" t="s">
        <v>491</v>
      </c>
      <c r="B32" s="839"/>
      <c r="C32" s="839"/>
      <c r="D32" s="839"/>
      <c r="E32" s="839"/>
      <c r="F32" s="839"/>
      <c r="G32" s="839"/>
      <c r="H32" s="839"/>
      <c r="I32" s="839"/>
      <c r="J32" s="839"/>
    </row>
    <row r="33" spans="1:12" ht="19.5" customHeight="1" x14ac:dyDescent="0.3">
      <c r="A33" s="840" t="s">
        <v>492</v>
      </c>
      <c r="B33" s="840"/>
      <c r="C33" s="840"/>
      <c r="D33" s="548" t="s">
        <v>433</v>
      </c>
      <c r="E33" s="841" t="s">
        <v>344</v>
      </c>
      <c r="F33" s="841"/>
      <c r="G33" s="841"/>
      <c r="H33" s="841"/>
      <c r="I33" s="841"/>
      <c r="J33" s="841"/>
    </row>
    <row r="34" spans="1:12" ht="19.5" customHeight="1" x14ac:dyDescent="0.3">
      <c r="A34" s="549" t="s">
        <v>493</v>
      </c>
      <c r="B34" s="550"/>
      <c r="C34" s="550"/>
      <c r="D34" s="551">
        <f>Dados!$G$49</f>
        <v>7.0000000000000007E-2</v>
      </c>
      <c r="E34" s="552"/>
      <c r="F34" s="524">
        <f>ROUND((F31*$D$34),2)</f>
        <v>351.81</v>
      </c>
      <c r="G34" s="524">
        <f>ROUND((G31*$D$34),2)</f>
        <v>330.79</v>
      </c>
      <c r="H34" s="524">
        <f>ROUND((H31*$D$34),2)</f>
        <v>27.15</v>
      </c>
      <c r="I34" s="524">
        <f>ROUND((I31*$D$34),2)</f>
        <v>8.15</v>
      </c>
      <c r="J34" s="525">
        <f>ROUND((J31*$D$34),2)</f>
        <v>0</v>
      </c>
    </row>
    <row r="35" spans="1:12" ht="19.5" customHeight="1" x14ac:dyDescent="0.3">
      <c r="A35" s="842" t="s">
        <v>494</v>
      </c>
      <c r="B35" s="842"/>
      <c r="C35" s="842"/>
      <c r="D35" s="551"/>
      <c r="E35" s="552"/>
      <c r="F35" s="524">
        <f>F31+F34</f>
        <v>5377.6760256410262</v>
      </c>
      <c r="G35" s="524">
        <f>G31+G34</f>
        <v>5056.3160256410256</v>
      </c>
      <c r="H35" s="524">
        <f>H31+H34</f>
        <v>414.94</v>
      </c>
      <c r="I35" s="524">
        <f>I31+I34</f>
        <v>124.59</v>
      </c>
      <c r="J35" s="525">
        <f>J31+J34</f>
        <v>0</v>
      </c>
    </row>
    <row r="36" spans="1:12" ht="19.5" customHeight="1" x14ac:dyDescent="0.3">
      <c r="A36" s="553" t="s">
        <v>212</v>
      </c>
      <c r="B36" s="554"/>
      <c r="C36" s="554"/>
      <c r="D36" s="555">
        <f>Dados!$G$50</f>
        <v>3.6900000000000002E-2</v>
      </c>
      <c r="E36" s="556"/>
      <c r="F36" s="530">
        <f>ROUND((F35*$D$36),2)</f>
        <v>198.44</v>
      </c>
      <c r="G36" s="530">
        <f>ROUND((G35*$D$36),2)</f>
        <v>186.58</v>
      </c>
      <c r="H36" s="530">
        <f>ROUND((H35*$D$36),2)</f>
        <v>15.31</v>
      </c>
      <c r="I36" s="530">
        <f>ROUND((I35*$D$36),2)</f>
        <v>4.5999999999999996</v>
      </c>
      <c r="J36" s="531">
        <f>ROUND((J35*$D$36),2)</f>
        <v>0</v>
      </c>
    </row>
    <row r="37" spans="1:12" ht="19.5" customHeight="1" x14ac:dyDescent="0.3">
      <c r="A37" s="557" t="s">
        <v>495</v>
      </c>
      <c r="B37" s="558"/>
      <c r="C37" s="558"/>
      <c r="D37" s="559">
        <f>SUM(D34:D36)</f>
        <v>0.10690000000000001</v>
      </c>
      <c r="E37" s="560"/>
      <c r="F37" s="535">
        <f>F34+F36</f>
        <v>550.25</v>
      </c>
      <c r="G37" s="535">
        <f>G34+G36</f>
        <v>517.37</v>
      </c>
      <c r="H37" s="535">
        <f>H34+H36</f>
        <v>42.46</v>
      </c>
      <c r="I37" s="535">
        <f>I34+I36</f>
        <v>12.75</v>
      </c>
      <c r="J37" s="536">
        <f>J34+J36</f>
        <v>0</v>
      </c>
    </row>
    <row r="38" spans="1:12" ht="19.5" customHeight="1" x14ac:dyDescent="0.3">
      <c r="A38" s="836" t="s">
        <v>496</v>
      </c>
      <c r="B38" s="836"/>
      <c r="C38" s="836"/>
      <c r="D38" s="836"/>
      <c r="E38" s="836"/>
      <c r="F38" s="561">
        <f>F31+F37</f>
        <v>5576.1160256410258</v>
      </c>
      <c r="G38" s="561">
        <f>G31+G37</f>
        <v>5242.8960256410255</v>
      </c>
      <c r="H38" s="561">
        <f>H31+H37</f>
        <v>430.25</v>
      </c>
      <c r="I38" s="561">
        <f>I31+I37</f>
        <v>129.19</v>
      </c>
      <c r="J38" s="562">
        <f>J31+J37</f>
        <v>0</v>
      </c>
    </row>
    <row r="39" spans="1:12" ht="19.5" customHeight="1" x14ac:dyDescent="0.3">
      <c r="A39" s="837" t="s">
        <v>497</v>
      </c>
      <c r="B39" s="837"/>
      <c r="C39" s="837"/>
      <c r="D39" s="837"/>
      <c r="E39" s="837"/>
      <c r="F39" s="837"/>
      <c r="G39" s="837"/>
      <c r="H39" s="837"/>
      <c r="I39" s="837"/>
      <c r="J39" s="837"/>
    </row>
    <row r="40" spans="1:12" ht="19.5" customHeight="1" x14ac:dyDescent="0.3">
      <c r="A40" s="832" t="s">
        <v>218</v>
      </c>
      <c r="B40" s="832"/>
      <c r="C40" s="832"/>
      <c r="D40" s="551">
        <f>Dados!G57</f>
        <v>7.5999999999999998E-2</v>
      </c>
      <c r="E40" s="563"/>
      <c r="F40" s="524">
        <f>ROUND(($F$46*D40),2)</f>
        <v>482.95</v>
      </c>
      <c r="G40" s="524">
        <f>ROUND((G46*$D$40),2)</f>
        <v>454.09</v>
      </c>
      <c r="H40" s="524">
        <f>ROUND((H46*$D$40),2)</f>
        <v>37.26</v>
      </c>
      <c r="I40" s="524">
        <f>ROUND((I46*$D$40),2)</f>
        <v>11.19</v>
      </c>
      <c r="J40" s="525">
        <f>ROUND((J46*$D$40),2)</f>
        <v>0</v>
      </c>
    </row>
    <row r="41" spans="1:12" ht="19.5" customHeight="1" x14ac:dyDescent="0.3">
      <c r="A41" s="832" t="s">
        <v>220</v>
      </c>
      <c r="B41" s="832"/>
      <c r="C41" s="832"/>
      <c r="D41" s="551">
        <f>Dados!G58</f>
        <v>1.6500000000000001E-2</v>
      </c>
      <c r="E41" s="563"/>
      <c r="F41" s="524">
        <f>ROUND((F46*$D$41),2)</f>
        <v>104.85</v>
      </c>
      <c r="G41" s="524">
        <f>ROUND((G46*$D$41),2)</f>
        <v>98.58</v>
      </c>
      <c r="H41" s="524">
        <f>ROUND((H46*$D$41),2)</f>
        <v>8.09</v>
      </c>
      <c r="I41" s="524">
        <f>ROUND((I46*$D$41),2)</f>
        <v>2.4300000000000002</v>
      </c>
      <c r="J41" s="525">
        <f>ROUND((J46*$D$41),2)</f>
        <v>0</v>
      </c>
    </row>
    <row r="42" spans="1:12" ht="19.5" customHeight="1" x14ac:dyDescent="0.3">
      <c r="A42" s="832" t="str">
        <f>Dados!B59</f>
        <v>ISSQN 7.10 - Limpeza</v>
      </c>
      <c r="B42" s="832"/>
      <c r="C42" s="832"/>
      <c r="D42" s="551">
        <f>Dados!G59</f>
        <v>0.03</v>
      </c>
      <c r="E42" s="563"/>
      <c r="F42" s="524">
        <f>ROUND((F46*$D$42),2)</f>
        <v>190.64</v>
      </c>
      <c r="G42" s="524">
        <f>ROUND((G46*$D$42),2)</f>
        <v>179.24</v>
      </c>
      <c r="H42" s="524">
        <f>ROUND((H46*$D$42),2)</f>
        <v>14.71</v>
      </c>
      <c r="I42" s="524">
        <f>ROUND((I46*$D$42),2)</f>
        <v>4.42</v>
      </c>
      <c r="J42" s="525">
        <f>ROUND((J46*$D$42),2)</f>
        <v>0</v>
      </c>
    </row>
    <row r="43" spans="1:12" ht="19.5" customHeight="1" x14ac:dyDescent="0.3">
      <c r="A43" s="832" t="str">
        <f>Dados!B60</f>
        <v>ISSQN 17.05 - Fornecimento de mão-de-obra</v>
      </c>
      <c r="B43" s="832"/>
      <c r="C43" s="832"/>
      <c r="D43" s="551">
        <v>0</v>
      </c>
      <c r="E43" s="563"/>
      <c r="F43" s="524">
        <f>ROUND((F46*$D$43),2)</f>
        <v>0</v>
      </c>
      <c r="G43" s="524">
        <f>ROUND((G46*$D$43),2)</f>
        <v>0</v>
      </c>
      <c r="H43" s="524">
        <f>ROUND((H46*$D$43),2)</f>
        <v>0</v>
      </c>
      <c r="I43" s="524">
        <f>ROUND((I46*$D$43),2)</f>
        <v>0</v>
      </c>
      <c r="J43" s="525">
        <f>ROUND((J46*$D$43),2)</f>
        <v>0</v>
      </c>
    </row>
    <row r="44" spans="1:12" ht="19.5" customHeight="1" x14ac:dyDescent="0.3">
      <c r="A44" s="833" t="s">
        <v>498</v>
      </c>
      <c r="B44" s="833"/>
      <c r="C44" s="833"/>
      <c r="D44" s="564">
        <f>SUM(D40:D43)</f>
        <v>0.1225</v>
      </c>
      <c r="E44" s="565"/>
      <c r="F44" s="566">
        <f>SUM(F40:F43)</f>
        <v>778.43999999999994</v>
      </c>
      <c r="G44" s="566">
        <f>SUM(G40:G43)</f>
        <v>731.91</v>
      </c>
      <c r="H44" s="566">
        <f>SUM(H40:H43)</f>
        <v>60.059999999999995</v>
      </c>
      <c r="I44" s="566">
        <f>SUM(I40:I43)</f>
        <v>18.04</v>
      </c>
      <c r="J44" s="567">
        <f>SUM(J40:J42)</f>
        <v>0</v>
      </c>
    </row>
    <row r="45" spans="1:12" ht="19.5" customHeight="1" x14ac:dyDescent="0.3">
      <c r="A45" s="834" t="str">
        <f>CONCATENATE("Custo Mensal - ",A7)</f>
        <v>Custo Mensal - Zelador acúmulo de função Lavador de Carro e Jardineiro</v>
      </c>
      <c r="B45" s="834"/>
      <c r="C45" s="834"/>
      <c r="D45" s="834"/>
      <c r="E45" s="834"/>
      <c r="F45" s="568">
        <f>ROUND(F38/(1-D44),2)</f>
        <v>6354.55</v>
      </c>
      <c r="G45" s="568">
        <f>ROUND(G38/(1-D44),2)</f>
        <v>5974.81</v>
      </c>
      <c r="H45" s="568">
        <f>ROUND(H38/(1-D44),2)</f>
        <v>490.31</v>
      </c>
      <c r="I45" s="568">
        <f>ROUND(I38/(1-D44),2)</f>
        <v>147.22999999999999</v>
      </c>
      <c r="J45" s="569">
        <f>ROUND(J38/(1-D44),2)</f>
        <v>0</v>
      </c>
    </row>
    <row r="46" spans="1:12" ht="19.5" customHeight="1" x14ac:dyDescent="0.3">
      <c r="A46" s="834" t="str">
        <f>CONCATENATE("Valor do Custo Mensal - ",A7)</f>
        <v>Valor do Custo Mensal - Zelador acúmulo de função Lavador de Carro e Jardineiro</v>
      </c>
      <c r="B46" s="834"/>
      <c r="C46" s="834"/>
      <c r="D46" s="834"/>
      <c r="E46" s="834"/>
      <c r="F46" s="568">
        <f>F45</f>
        <v>6354.55</v>
      </c>
      <c r="G46" s="568">
        <f>G45</f>
        <v>5974.81</v>
      </c>
      <c r="H46" s="568">
        <f>H45</f>
        <v>490.31</v>
      </c>
      <c r="I46" s="568">
        <f>I45</f>
        <v>147.22999999999999</v>
      </c>
      <c r="J46" s="569">
        <f>J45</f>
        <v>0</v>
      </c>
      <c r="K46" s="570"/>
      <c r="L46" s="570"/>
    </row>
    <row r="47" spans="1:12" ht="27.75" customHeight="1" x14ac:dyDescent="0.3">
      <c r="A47" s="835" t="s">
        <v>499</v>
      </c>
      <c r="B47" s="835"/>
      <c r="C47" s="835"/>
      <c r="D47" s="835"/>
      <c r="E47" s="835"/>
      <c r="F47" s="571">
        <f>(F46/F14)</f>
        <v>2.7390655913654061</v>
      </c>
      <c r="G47" s="571">
        <f>(G46/G14)</f>
        <v>2.5753824402901766</v>
      </c>
      <c r="H47" s="831" t="s">
        <v>500</v>
      </c>
      <c r="I47" s="831"/>
      <c r="J47" s="572">
        <v>0</v>
      </c>
    </row>
    <row r="48" spans="1:12" ht="19.5" customHeight="1" x14ac:dyDescent="0.3"/>
  </sheetData>
  <sheetProtection algorithmName="SHA-512" hashValue="WDrdhdGP2PyIg8ASi1mQK2wEjNk3O6dcbJYq9lXmJpX/W3kJ8/THdwmwFKFgtomptIT1fdmOYlqMnBhm/v4hyQ==" saltValue="afaY21msCVF+vsCBORErfQ==" spinCount="100000" sheet="1" objects="1" scenarios="1"/>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9:B29"/>
    <mergeCell ref="A30:E30"/>
    <mergeCell ref="A26:B26"/>
    <mergeCell ref="A31:E31"/>
    <mergeCell ref="A32:J32"/>
    <mergeCell ref="A33:C33"/>
    <mergeCell ref="E33:J33"/>
    <mergeCell ref="A35:C35"/>
    <mergeCell ref="A38:E38"/>
    <mergeCell ref="A39:J39"/>
    <mergeCell ref="A40:C40"/>
    <mergeCell ref="A41:C41"/>
    <mergeCell ref="A42:C42"/>
    <mergeCell ref="H47:I47"/>
    <mergeCell ref="A43:C43"/>
    <mergeCell ref="A44:C44"/>
    <mergeCell ref="A45:E45"/>
    <mergeCell ref="A46:E46"/>
    <mergeCell ref="A47:E47"/>
  </mergeCells>
  <pageMargins left="0.51180555555555596" right="0.51180555555555596" top="0.78749999999999998" bottom="0.78749999999999998" header="0.511811023622047" footer="0.511811023622047"/>
  <pageSetup paperSize="9" scale="67"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1">
    <tabColor rgb="FFD9D9D9"/>
    <pageSetUpPr fitToPage="1"/>
  </sheetPr>
  <dimension ref="A1:AI23"/>
  <sheetViews>
    <sheetView showGridLines="0" zoomScaleNormal="100" workbookViewId="0">
      <selection activeCell="B23" sqref="B23"/>
    </sheetView>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8"/>
      <c r="B1" s="8" t="s">
        <v>0</v>
      </c>
    </row>
    <row r="2" spans="1:35" x14ac:dyDescent="0.3">
      <c r="A2" s="8"/>
      <c r="B2" s="8" t="s">
        <v>1</v>
      </c>
    </row>
    <row r="3" spans="1:35" x14ac:dyDescent="0.3">
      <c r="A3" s="471"/>
      <c r="B3" s="9" t="str">
        <f>INSTRUÇÕES!B3</f>
        <v>Subseção Judiciária de Uberlândia</v>
      </c>
    </row>
    <row r="4" spans="1:35" ht="6" customHeight="1" x14ac:dyDescent="0.3"/>
    <row r="5" spans="1:35" ht="6" customHeight="1" x14ac:dyDescent="0.3"/>
    <row r="6" spans="1:35" ht="15.75" customHeight="1" x14ac:dyDescent="0.3">
      <c r="B6" s="867" t="s">
        <v>231</v>
      </c>
      <c r="C6" s="867"/>
      <c r="D6" s="867"/>
      <c r="E6" s="867"/>
      <c r="F6" s="867"/>
      <c r="G6" s="867"/>
      <c r="I6" s="867" t="s">
        <v>235</v>
      </c>
      <c r="J6" s="867"/>
      <c r="K6" s="867"/>
      <c r="L6" s="867"/>
      <c r="M6" s="867"/>
      <c r="N6" s="867"/>
      <c r="P6" s="867" t="s">
        <v>236</v>
      </c>
      <c r="Q6" s="867"/>
      <c r="R6" s="867"/>
      <c r="S6" s="867"/>
      <c r="T6" s="867"/>
      <c r="U6" s="867"/>
      <c r="W6" s="867" t="s">
        <v>237</v>
      </c>
      <c r="X6" s="867"/>
      <c r="Y6" s="867"/>
      <c r="Z6" s="867"/>
      <c r="AA6" s="867"/>
      <c r="AB6" s="867"/>
      <c r="AD6" s="867" t="s">
        <v>238</v>
      </c>
      <c r="AE6" s="867"/>
      <c r="AF6" s="867"/>
      <c r="AG6" s="867"/>
      <c r="AH6" s="867"/>
      <c r="AI6" s="867"/>
    </row>
    <row r="7" spans="1:35" x14ac:dyDescent="0.3">
      <c r="B7" s="574" t="s">
        <v>507</v>
      </c>
      <c r="C7" s="866"/>
      <c r="D7" s="866"/>
      <c r="E7" s="866"/>
      <c r="F7" s="866"/>
      <c r="G7" s="866"/>
      <c r="I7" s="574" t="s">
        <v>507</v>
      </c>
      <c r="J7" s="866"/>
      <c r="K7" s="866"/>
      <c r="L7" s="866"/>
      <c r="M7" s="866"/>
      <c r="N7" s="866"/>
      <c r="P7" s="574" t="s">
        <v>507</v>
      </c>
      <c r="Q7" s="866"/>
      <c r="R7" s="866"/>
      <c r="S7" s="866"/>
      <c r="T7" s="866"/>
      <c r="U7" s="866"/>
      <c r="W7" s="574" t="s">
        <v>507</v>
      </c>
      <c r="X7" s="866"/>
      <c r="Y7" s="866"/>
      <c r="Z7" s="866"/>
      <c r="AA7" s="866"/>
      <c r="AB7" s="866"/>
      <c r="AD7" s="574" t="s">
        <v>507</v>
      </c>
      <c r="AE7" s="866"/>
      <c r="AF7" s="866"/>
      <c r="AG7" s="866"/>
      <c r="AH7" s="866"/>
      <c r="AI7" s="866"/>
    </row>
    <row r="8" spans="1:35" ht="25.5" customHeight="1" x14ac:dyDescent="0.3">
      <c r="B8" s="791" t="s">
        <v>508</v>
      </c>
      <c r="C8" s="791"/>
      <c r="D8" s="575" t="s">
        <v>509</v>
      </c>
      <c r="E8" s="575" t="s">
        <v>510</v>
      </c>
      <c r="F8" s="575" t="s">
        <v>511</v>
      </c>
      <c r="G8" s="575" t="s">
        <v>512</v>
      </c>
      <c r="I8" s="791" t="s">
        <v>508</v>
      </c>
      <c r="J8" s="791"/>
      <c r="K8" s="575" t="s">
        <v>509</v>
      </c>
      <c r="L8" s="575" t="s">
        <v>510</v>
      </c>
      <c r="M8" s="575" t="s">
        <v>511</v>
      </c>
      <c r="N8" s="575" t="s">
        <v>512</v>
      </c>
      <c r="P8" s="791" t="s">
        <v>508</v>
      </c>
      <c r="Q8" s="791"/>
      <c r="R8" s="575" t="s">
        <v>509</v>
      </c>
      <c r="S8" s="575" t="s">
        <v>510</v>
      </c>
      <c r="T8" s="575" t="s">
        <v>511</v>
      </c>
      <c r="U8" s="575" t="s">
        <v>512</v>
      </c>
      <c r="W8" s="791" t="s">
        <v>508</v>
      </c>
      <c r="X8" s="791"/>
      <c r="Y8" s="575" t="s">
        <v>509</v>
      </c>
      <c r="Z8" s="575" t="s">
        <v>510</v>
      </c>
      <c r="AA8" s="575" t="s">
        <v>511</v>
      </c>
      <c r="AB8" s="575" t="s">
        <v>512</v>
      </c>
      <c r="AD8" s="791" t="s">
        <v>508</v>
      </c>
      <c r="AE8" s="791"/>
      <c r="AF8" s="575" t="s">
        <v>509</v>
      </c>
      <c r="AG8" s="575" t="s">
        <v>510</v>
      </c>
      <c r="AH8" s="575" t="s">
        <v>511</v>
      </c>
      <c r="AI8" s="575" t="s">
        <v>512</v>
      </c>
    </row>
    <row r="9" spans="1:35" x14ac:dyDescent="0.3">
      <c r="B9" s="576" t="s">
        <v>513</v>
      </c>
      <c r="C9" s="576" t="s">
        <v>514</v>
      </c>
      <c r="D9" s="576" t="s">
        <v>515</v>
      </c>
      <c r="E9" s="576"/>
      <c r="F9" s="576" t="s">
        <v>516</v>
      </c>
      <c r="G9" s="577">
        <v>100</v>
      </c>
      <c r="I9" s="576" t="s">
        <v>513</v>
      </c>
      <c r="J9" s="576" t="s">
        <v>514</v>
      </c>
      <c r="K9" s="576" t="s">
        <v>515</v>
      </c>
      <c r="L9" s="576"/>
      <c r="M9" s="576" t="s">
        <v>516</v>
      </c>
      <c r="N9" s="577">
        <v>100</v>
      </c>
      <c r="P9" s="576" t="s">
        <v>513</v>
      </c>
      <c r="Q9" s="576" t="s">
        <v>514</v>
      </c>
      <c r="R9" s="576" t="s">
        <v>515</v>
      </c>
      <c r="S9" s="576"/>
      <c r="T9" s="576" t="s">
        <v>516</v>
      </c>
      <c r="U9" s="577">
        <v>100</v>
      </c>
      <c r="W9" s="576" t="s">
        <v>513</v>
      </c>
      <c r="X9" s="576" t="s">
        <v>514</v>
      </c>
      <c r="Y9" s="576" t="s">
        <v>515</v>
      </c>
      <c r="Z9" s="576"/>
      <c r="AA9" s="576" t="s">
        <v>516</v>
      </c>
      <c r="AB9" s="577">
        <v>100</v>
      </c>
      <c r="AD9" s="576" t="s">
        <v>513</v>
      </c>
      <c r="AE9" s="576" t="s">
        <v>514</v>
      </c>
      <c r="AF9" s="576" t="s">
        <v>515</v>
      </c>
      <c r="AG9" s="576"/>
      <c r="AH9" s="576" t="s">
        <v>516</v>
      </c>
      <c r="AI9" s="577">
        <v>100</v>
      </c>
    </row>
    <row r="10" spans="1:35" x14ac:dyDescent="0.3">
      <c r="B10" s="576">
        <v>2023</v>
      </c>
      <c r="C10" s="578" t="s">
        <v>517</v>
      </c>
      <c r="D10" s="579"/>
      <c r="E10" s="580">
        <v>0</v>
      </c>
      <c r="F10" s="579">
        <f t="shared" ref="F10:F22" si="0">D10/30*E10</f>
        <v>0</v>
      </c>
      <c r="G10" s="581">
        <f t="shared" ref="G10:G22" si="1">(G9*F10)+G9</f>
        <v>100</v>
      </c>
      <c r="I10" s="576">
        <f t="shared" ref="I10:I22" si="2">B10+1</f>
        <v>2024</v>
      </c>
      <c r="J10" s="578" t="str">
        <f>$C$10</f>
        <v>AGO</v>
      </c>
      <c r="K10" s="579"/>
      <c r="L10" s="580">
        <f>$E$10</f>
        <v>0</v>
      </c>
      <c r="M10" s="579">
        <f t="shared" ref="M10:M22" si="3">K10/30*L10</f>
        <v>0</v>
      </c>
      <c r="N10" s="581">
        <f t="shared" ref="N10:N22" si="4">(N9*M10)+N9</f>
        <v>100</v>
      </c>
      <c r="P10" s="576">
        <f t="shared" ref="P10:P22" si="5">I10+1</f>
        <v>2025</v>
      </c>
      <c r="Q10" s="578" t="str">
        <f>$C$10</f>
        <v>AGO</v>
      </c>
      <c r="R10" s="579"/>
      <c r="S10" s="580">
        <f>$E$10</f>
        <v>0</v>
      </c>
      <c r="T10" s="579">
        <f t="shared" ref="T10:T22" si="6">R10/30*S10</f>
        <v>0</v>
      </c>
      <c r="U10" s="581">
        <f t="shared" ref="U10:U22" si="7">(U9*T10)+U9</f>
        <v>100</v>
      </c>
      <c r="W10" s="576">
        <f t="shared" ref="W10:W22" si="8">P10+1</f>
        <v>2026</v>
      </c>
      <c r="X10" s="578" t="str">
        <f>$C$10</f>
        <v>AGO</v>
      </c>
      <c r="Y10" s="579"/>
      <c r="Z10" s="580">
        <f>$E$10</f>
        <v>0</v>
      </c>
      <c r="AA10" s="579">
        <f t="shared" ref="AA10:AA22" si="9">Y10/30*Z10</f>
        <v>0</v>
      </c>
      <c r="AB10" s="581">
        <f t="shared" ref="AB10:AB22" si="10">(AB9*AA10)+AB9</f>
        <v>100</v>
      </c>
      <c r="AD10" s="576">
        <f t="shared" ref="AD10:AD22" si="11">W10+1</f>
        <v>2027</v>
      </c>
      <c r="AE10" s="578" t="str">
        <f>$C$10</f>
        <v>AGO</v>
      </c>
      <c r="AF10" s="579"/>
      <c r="AG10" s="580">
        <f>$E$10</f>
        <v>0</v>
      </c>
      <c r="AH10" s="579">
        <f t="shared" ref="AH10:AH22" si="12">AF10/30*AG10</f>
        <v>0</v>
      </c>
      <c r="AI10" s="581">
        <f t="shared" ref="AI10:AI22" si="13">(AI9*AH10)+AI9</f>
        <v>100</v>
      </c>
    </row>
    <row r="11" spans="1:35" x14ac:dyDescent="0.3">
      <c r="B11" s="576">
        <v>2023</v>
      </c>
      <c r="C11" s="578" t="s">
        <v>518</v>
      </c>
      <c r="D11" s="579"/>
      <c r="E11" s="580"/>
      <c r="F11" s="579">
        <f t="shared" si="0"/>
        <v>0</v>
      </c>
      <c r="G11" s="581">
        <f t="shared" si="1"/>
        <v>100</v>
      </c>
      <c r="I11" s="576">
        <f t="shared" si="2"/>
        <v>2024</v>
      </c>
      <c r="J11" s="578" t="str">
        <f>$C$11</f>
        <v>SET</v>
      </c>
      <c r="K11" s="579"/>
      <c r="L11" s="580"/>
      <c r="M11" s="579">
        <f t="shared" si="3"/>
        <v>0</v>
      </c>
      <c r="N11" s="581">
        <f t="shared" si="4"/>
        <v>100</v>
      </c>
      <c r="P11" s="576">
        <f t="shared" si="5"/>
        <v>2025</v>
      </c>
      <c r="Q11" s="578" t="str">
        <f>$C$11</f>
        <v>SET</v>
      </c>
      <c r="R11" s="579"/>
      <c r="S11" s="580"/>
      <c r="T11" s="579">
        <f t="shared" si="6"/>
        <v>0</v>
      </c>
      <c r="U11" s="581">
        <f t="shared" si="7"/>
        <v>100</v>
      </c>
      <c r="W11" s="576">
        <f t="shared" si="8"/>
        <v>2026</v>
      </c>
      <c r="X11" s="578" t="str">
        <f>$C$11</f>
        <v>SET</v>
      </c>
      <c r="Y11" s="579"/>
      <c r="Z11" s="580"/>
      <c r="AA11" s="579">
        <f t="shared" si="9"/>
        <v>0</v>
      </c>
      <c r="AB11" s="581">
        <f t="shared" si="10"/>
        <v>100</v>
      </c>
      <c r="AD11" s="576">
        <f t="shared" si="11"/>
        <v>2027</v>
      </c>
      <c r="AE11" s="578" t="str">
        <f>$C$11</f>
        <v>SET</v>
      </c>
      <c r="AF11" s="579"/>
      <c r="AG11" s="580"/>
      <c r="AH11" s="579">
        <f t="shared" si="12"/>
        <v>0</v>
      </c>
      <c r="AI11" s="581">
        <f t="shared" si="13"/>
        <v>100</v>
      </c>
    </row>
    <row r="12" spans="1:35" x14ac:dyDescent="0.3">
      <c r="B12" s="576">
        <v>2023</v>
      </c>
      <c r="C12" s="578" t="s">
        <v>519</v>
      </c>
      <c r="D12" s="579"/>
      <c r="E12" s="580"/>
      <c r="F12" s="579">
        <f t="shared" si="0"/>
        <v>0</v>
      </c>
      <c r="G12" s="581">
        <f t="shared" si="1"/>
        <v>100</v>
      </c>
      <c r="I12" s="576">
        <f t="shared" si="2"/>
        <v>2024</v>
      </c>
      <c r="J12" s="578" t="str">
        <f>$C$12</f>
        <v>OUT</v>
      </c>
      <c r="K12" s="579"/>
      <c r="L12" s="580"/>
      <c r="M12" s="579">
        <f t="shared" si="3"/>
        <v>0</v>
      </c>
      <c r="N12" s="581">
        <f t="shared" si="4"/>
        <v>100</v>
      </c>
      <c r="P12" s="576">
        <f t="shared" si="5"/>
        <v>2025</v>
      </c>
      <c r="Q12" s="578" t="str">
        <f>$C$12</f>
        <v>OUT</v>
      </c>
      <c r="R12" s="579"/>
      <c r="S12" s="580"/>
      <c r="T12" s="579">
        <f t="shared" si="6"/>
        <v>0</v>
      </c>
      <c r="U12" s="581">
        <f t="shared" si="7"/>
        <v>100</v>
      </c>
      <c r="W12" s="576">
        <f t="shared" si="8"/>
        <v>2026</v>
      </c>
      <c r="X12" s="578" t="str">
        <f>$C$12</f>
        <v>OUT</v>
      </c>
      <c r="Y12" s="579"/>
      <c r="Z12" s="580"/>
      <c r="AA12" s="579">
        <f t="shared" si="9"/>
        <v>0</v>
      </c>
      <c r="AB12" s="581">
        <f t="shared" si="10"/>
        <v>100</v>
      </c>
      <c r="AD12" s="576">
        <f t="shared" si="11"/>
        <v>2027</v>
      </c>
      <c r="AE12" s="578" t="str">
        <f>$C$12</f>
        <v>OUT</v>
      </c>
      <c r="AF12" s="579"/>
      <c r="AG12" s="580"/>
      <c r="AH12" s="579">
        <f t="shared" si="12"/>
        <v>0</v>
      </c>
      <c r="AI12" s="581">
        <f t="shared" si="13"/>
        <v>100</v>
      </c>
    </row>
    <row r="13" spans="1:35" x14ac:dyDescent="0.3">
      <c r="B13" s="576">
        <v>2023</v>
      </c>
      <c r="C13" s="578" t="s">
        <v>520</v>
      </c>
      <c r="D13" s="579"/>
      <c r="E13" s="580"/>
      <c r="F13" s="579">
        <f t="shared" si="0"/>
        <v>0</v>
      </c>
      <c r="G13" s="581">
        <f t="shared" si="1"/>
        <v>100</v>
      </c>
      <c r="I13" s="576">
        <f t="shared" si="2"/>
        <v>2024</v>
      </c>
      <c r="J13" s="578" t="str">
        <f>$C$13</f>
        <v>NOV</v>
      </c>
      <c r="K13" s="579"/>
      <c r="L13" s="580"/>
      <c r="M13" s="579">
        <f t="shared" si="3"/>
        <v>0</v>
      </c>
      <c r="N13" s="581">
        <f t="shared" si="4"/>
        <v>100</v>
      </c>
      <c r="P13" s="576">
        <f t="shared" si="5"/>
        <v>2025</v>
      </c>
      <c r="Q13" s="578" t="str">
        <f>$C$13</f>
        <v>NOV</v>
      </c>
      <c r="R13" s="579"/>
      <c r="S13" s="580"/>
      <c r="T13" s="579">
        <f t="shared" si="6"/>
        <v>0</v>
      </c>
      <c r="U13" s="581">
        <f t="shared" si="7"/>
        <v>100</v>
      </c>
      <c r="W13" s="576">
        <f t="shared" si="8"/>
        <v>2026</v>
      </c>
      <c r="X13" s="578" t="str">
        <f>$C$13</f>
        <v>NOV</v>
      </c>
      <c r="Y13" s="579"/>
      <c r="Z13" s="580"/>
      <c r="AA13" s="579">
        <f t="shared" si="9"/>
        <v>0</v>
      </c>
      <c r="AB13" s="581">
        <f t="shared" si="10"/>
        <v>100</v>
      </c>
      <c r="AD13" s="576">
        <f t="shared" si="11"/>
        <v>2027</v>
      </c>
      <c r="AE13" s="578" t="str">
        <f>$C$13</f>
        <v>NOV</v>
      </c>
      <c r="AF13" s="579"/>
      <c r="AG13" s="580"/>
      <c r="AH13" s="579">
        <f t="shared" si="12"/>
        <v>0</v>
      </c>
      <c r="AI13" s="581">
        <f t="shared" si="13"/>
        <v>100</v>
      </c>
    </row>
    <row r="14" spans="1:35" x14ac:dyDescent="0.3">
      <c r="B14" s="576">
        <v>2023</v>
      </c>
      <c r="C14" s="578" t="s">
        <v>521</v>
      </c>
      <c r="D14" s="579"/>
      <c r="E14" s="580"/>
      <c r="F14" s="579">
        <f t="shared" si="0"/>
        <v>0</v>
      </c>
      <c r="G14" s="581">
        <f t="shared" si="1"/>
        <v>100</v>
      </c>
      <c r="I14" s="576">
        <f t="shared" si="2"/>
        <v>2024</v>
      </c>
      <c r="J14" s="578" t="str">
        <f>$C$14</f>
        <v>DEZ</v>
      </c>
      <c r="K14" s="579"/>
      <c r="L14" s="580"/>
      <c r="M14" s="579">
        <f t="shared" si="3"/>
        <v>0</v>
      </c>
      <c r="N14" s="581">
        <f t="shared" si="4"/>
        <v>100</v>
      </c>
      <c r="P14" s="576">
        <f t="shared" si="5"/>
        <v>2025</v>
      </c>
      <c r="Q14" s="578" t="str">
        <f>$C$14</f>
        <v>DEZ</v>
      </c>
      <c r="R14" s="579"/>
      <c r="S14" s="580"/>
      <c r="T14" s="579">
        <f t="shared" si="6"/>
        <v>0</v>
      </c>
      <c r="U14" s="581">
        <f t="shared" si="7"/>
        <v>100</v>
      </c>
      <c r="W14" s="576">
        <f t="shared" si="8"/>
        <v>2026</v>
      </c>
      <c r="X14" s="578" t="str">
        <f>$C$14</f>
        <v>DEZ</v>
      </c>
      <c r="Y14" s="579"/>
      <c r="Z14" s="580"/>
      <c r="AA14" s="579">
        <f t="shared" si="9"/>
        <v>0</v>
      </c>
      <c r="AB14" s="581">
        <f t="shared" si="10"/>
        <v>100</v>
      </c>
      <c r="AD14" s="576">
        <f t="shared" si="11"/>
        <v>2027</v>
      </c>
      <c r="AE14" s="578" t="str">
        <f>$C$14</f>
        <v>DEZ</v>
      </c>
      <c r="AF14" s="579"/>
      <c r="AG14" s="580"/>
      <c r="AH14" s="579">
        <f t="shared" si="12"/>
        <v>0</v>
      </c>
      <c r="AI14" s="581">
        <f t="shared" si="13"/>
        <v>100</v>
      </c>
    </row>
    <row r="15" spans="1:35" x14ac:dyDescent="0.3">
      <c r="B15" s="576">
        <v>2023</v>
      </c>
      <c r="C15" s="578" t="s">
        <v>521</v>
      </c>
      <c r="D15" s="579"/>
      <c r="E15" s="580"/>
      <c r="F15" s="579">
        <f t="shared" si="0"/>
        <v>0</v>
      </c>
      <c r="G15" s="581">
        <f t="shared" si="1"/>
        <v>100</v>
      </c>
      <c r="I15" s="576">
        <f t="shared" si="2"/>
        <v>2024</v>
      </c>
      <c r="J15" s="578" t="str">
        <f>$C$15</f>
        <v>DEZ</v>
      </c>
      <c r="K15" s="579"/>
      <c r="L15" s="580"/>
      <c r="M15" s="579">
        <f t="shared" si="3"/>
        <v>0</v>
      </c>
      <c r="N15" s="581">
        <f t="shared" si="4"/>
        <v>100</v>
      </c>
      <c r="P15" s="576">
        <f t="shared" si="5"/>
        <v>2025</v>
      </c>
      <c r="Q15" s="578" t="str">
        <f>$C$15</f>
        <v>DEZ</v>
      </c>
      <c r="R15" s="579"/>
      <c r="S15" s="580"/>
      <c r="T15" s="579">
        <f t="shared" si="6"/>
        <v>0</v>
      </c>
      <c r="U15" s="581">
        <f t="shared" si="7"/>
        <v>100</v>
      </c>
      <c r="W15" s="576">
        <f t="shared" si="8"/>
        <v>2026</v>
      </c>
      <c r="X15" s="578" t="str">
        <f>$C$15</f>
        <v>DEZ</v>
      </c>
      <c r="Y15" s="579"/>
      <c r="Z15" s="580"/>
      <c r="AA15" s="579">
        <f t="shared" si="9"/>
        <v>0</v>
      </c>
      <c r="AB15" s="581">
        <f t="shared" si="10"/>
        <v>100</v>
      </c>
      <c r="AD15" s="576">
        <f t="shared" si="11"/>
        <v>2027</v>
      </c>
      <c r="AE15" s="578" t="str">
        <f>$C$15</f>
        <v>DEZ</v>
      </c>
      <c r="AF15" s="579"/>
      <c r="AG15" s="580"/>
      <c r="AH15" s="579">
        <f t="shared" si="12"/>
        <v>0</v>
      </c>
      <c r="AI15" s="581">
        <f t="shared" si="13"/>
        <v>100</v>
      </c>
    </row>
    <row r="16" spans="1:35" x14ac:dyDescent="0.3">
      <c r="B16" s="576">
        <v>2024</v>
      </c>
      <c r="C16" s="582" t="s">
        <v>522</v>
      </c>
      <c r="D16" s="583"/>
      <c r="E16" s="584"/>
      <c r="F16" s="579">
        <f t="shared" si="0"/>
        <v>0</v>
      </c>
      <c r="G16" s="581">
        <f t="shared" si="1"/>
        <v>100</v>
      </c>
      <c r="I16" s="576">
        <f t="shared" si="2"/>
        <v>2025</v>
      </c>
      <c r="J16" s="578" t="str">
        <f>$C$16</f>
        <v>JAN</v>
      </c>
      <c r="K16" s="583"/>
      <c r="L16" s="580"/>
      <c r="M16" s="579">
        <f t="shared" si="3"/>
        <v>0</v>
      </c>
      <c r="N16" s="581">
        <f t="shared" si="4"/>
        <v>100</v>
      </c>
      <c r="P16" s="576">
        <f t="shared" si="5"/>
        <v>2026</v>
      </c>
      <c r="Q16" s="578" t="str">
        <f>$C$16</f>
        <v>JAN</v>
      </c>
      <c r="R16" s="583"/>
      <c r="S16" s="580"/>
      <c r="T16" s="579">
        <f t="shared" si="6"/>
        <v>0</v>
      </c>
      <c r="U16" s="581">
        <f t="shared" si="7"/>
        <v>100</v>
      </c>
      <c r="W16" s="576">
        <f t="shared" si="8"/>
        <v>2027</v>
      </c>
      <c r="X16" s="578" t="str">
        <f>$C$16</f>
        <v>JAN</v>
      </c>
      <c r="Y16" s="583"/>
      <c r="Z16" s="580"/>
      <c r="AA16" s="579">
        <f t="shared" si="9"/>
        <v>0</v>
      </c>
      <c r="AB16" s="581">
        <f t="shared" si="10"/>
        <v>100</v>
      </c>
      <c r="AD16" s="576">
        <f t="shared" si="11"/>
        <v>2028</v>
      </c>
      <c r="AE16" s="578" t="str">
        <f>$C$16</f>
        <v>JAN</v>
      </c>
      <c r="AF16" s="583"/>
      <c r="AG16" s="580"/>
      <c r="AH16" s="579">
        <f t="shared" si="12"/>
        <v>0</v>
      </c>
      <c r="AI16" s="581">
        <f t="shared" si="13"/>
        <v>100</v>
      </c>
    </row>
    <row r="17" spans="2:35" x14ac:dyDescent="0.3">
      <c r="B17" s="576">
        <v>2024</v>
      </c>
      <c r="C17" s="578" t="s">
        <v>523</v>
      </c>
      <c r="D17" s="579"/>
      <c r="E17" s="580"/>
      <c r="F17" s="579">
        <f t="shared" si="0"/>
        <v>0</v>
      </c>
      <c r="G17" s="581">
        <f t="shared" si="1"/>
        <v>100</v>
      </c>
      <c r="I17" s="576">
        <f t="shared" si="2"/>
        <v>2025</v>
      </c>
      <c r="J17" s="578" t="str">
        <f>$C$17</f>
        <v>FEV</v>
      </c>
      <c r="K17" s="579"/>
      <c r="L17" s="580"/>
      <c r="M17" s="579">
        <f t="shared" si="3"/>
        <v>0</v>
      </c>
      <c r="N17" s="581">
        <f t="shared" si="4"/>
        <v>100</v>
      </c>
      <c r="P17" s="576">
        <f t="shared" si="5"/>
        <v>2026</v>
      </c>
      <c r="Q17" s="578" t="str">
        <f>$C$17</f>
        <v>FEV</v>
      </c>
      <c r="R17" s="579"/>
      <c r="S17" s="580"/>
      <c r="T17" s="579">
        <f t="shared" si="6"/>
        <v>0</v>
      </c>
      <c r="U17" s="581">
        <f t="shared" si="7"/>
        <v>100</v>
      </c>
      <c r="W17" s="576">
        <f t="shared" si="8"/>
        <v>2027</v>
      </c>
      <c r="X17" s="578" t="str">
        <f>$C$17</f>
        <v>FEV</v>
      </c>
      <c r="Y17" s="579"/>
      <c r="Z17" s="580"/>
      <c r="AA17" s="579">
        <f t="shared" si="9"/>
        <v>0</v>
      </c>
      <c r="AB17" s="581">
        <f t="shared" si="10"/>
        <v>100</v>
      </c>
      <c r="AD17" s="576">
        <f t="shared" si="11"/>
        <v>2028</v>
      </c>
      <c r="AE17" s="578" t="str">
        <f>$C$17</f>
        <v>FEV</v>
      </c>
      <c r="AF17" s="579"/>
      <c r="AG17" s="580"/>
      <c r="AH17" s="579">
        <f t="shared" si="12"/>
        <v>0</v>
      </c>
      <c r="AI17" s="581">
        <f t="shared" si="13"/>
        <v>100</v>
      </c>
    </row>
    <row r="18" spans="2:35" x14ac:dyDescent="0.3">
      <c r="B18" s="576">
        <v>2024</v>
      </c>
      <c r="C18" s="582" t="s">
        <v>524</v>
      </c>
      <c r="D18" s="579"/>
      <c r="E18" s="580"/>
      <c r="F18" s="579">
        <f t="shared" si="0"/>
        <v>0</v>
      </c>
      <c r="G18" s="581">
        <f t="shared" si="1"/>
        <v>100</v>
      </c>
      <c r="I18" s="576">
        <f t="shared" si="2"/>
        <v>2025</v>
      </c>
      <c r="J18" s="578" t="str">
        <f>$C$18</f>
        <v>MAR</v>
      </c>
      <c r="K18" s="579"/>
      <c r="L18" s="580"/>
      <c r="M18" s="579">
        <f t="shared" si="3"/>
        <v>0</v>
      </c>
      <c r="N18" s="581">
        <f t="shared" si="4"/>
        <v>100</v>
      </c>
      <c r="P18" s="576">
        <f t="shared" si="5"/>
        <v>2026</v>
      </c>
      <c r="Q18" s="578" t="str">
        <f>$C$18</f>
        <v>MAR</v>
      </c>
      <c r="R18" s="579"/>
      <c r="S18" s="580"/>
      <c r="T18" s="579">
        <f t="shared" si="6"/>
        <v>0</v>
      </c>
      <c r="U18" s="581">
        <f t="shared" si="7"/>
        <v>100</v>
      </c>
      <c r="W18" s="576">
        <f t="shared" si="8"/>
        <v>2027</v>
      </c>
      <c r="X18" s="578" t="str">
        <f>$C$18</f>
        <v>MAR</v>
      </c>
      <c r="Y18" s="579"/>
      <c r="Z18" s="580"/>
      <c r="AA18" s="579">
        <f t="shared" si="9"/>
        <v>0</v>
      </c>
      <c r="AB18" s="581">
        <f t="shared" si="10"/>
        <v>100</v>
      </c>
      <c r="AD18" s="576">
        <f t="shared" si="11"/>
        <v>2028</v>
      </c>
      <c r="AE18" s="578" t="str">
        <f>$C$18</f>
        <v>MAR</v>
      </c>
      <c r="AF18" s="579"/>
      <c r="AG18" s="580"/>
      <c r="AH18" s="579">
        <f t="shared" si="12"/>
        <v>0</v>
      </c>
      <c r="AI18" s="581">
        <f t="shared" si="13"/>
        <v>100</v>
      </c>
    </row>
    <row r="19" spans="2:35" x14ac:dyDescent="0.3">
      <c r="B19" s="576">
        <v>2024</v>
      </c>
      <c r="C19" s="578" t="s">
        <v>525</v>
      </c>
      <c r="D19" s="579"/>
      <c r="E19" s="580"/>
      <c r="F19" s="579">
        <f t="shared" si="0"/>
        <v>0</v>
      </c>
      <c r="G19" s="581">
        <f t="shared" si="1"/>
        <v>100</v>
      </c>
      <c r="I19" s="576">
        <f t="shared" si="2"/>
        <v>2025</v>
      </c>
      <c r="J19" s="578" t="str">
        <f>$C$19</f>
        <v>ABR</v>
      </c>
      <c r="K19" s="579"/>
      <c r="L19" s="580"/>
      <c r="M19" s="579">
        <f t="shared" si="3"/>
        <v>0</v>
      </c>
      <c r="N19" s="581">
        <f t="shared" si="4"/>
        <v>100</v>
      </c>
      <c r="P19" s="576">
        <f t="shared" si="5"/>
        <v>2026</v>
      </c>
      <c r="Q19" s="578" t="str">
        <f>$C$19</f>
        <v>ABR</v>
      </c>
      <c r="R19" s="579"/>
      <c r="S19" s="580"/>
      <c r="T19" s="579">
        <f t="shared" si="6"/>
        <v>0</v>
      </c>
      <c r="U19" s="581">
        <f t="shared" si="7"/>
        <v>100</v>
      </c>
      <c r="W19" s="576">
        <f t="shared" si="8"/>
        <v>2027</v>
      </c>
      <c r="X19" s="578" t="str">
        <f>$C$19</f>
        <v>ABR</v>
      </c>
      <c r="Y19" s="579"/>
      <c r="Z19" s="580"/>
      <c r="AA19" s="579">
        <f t="shared" si="9"/>
        <v>0</v>
      </c>
      <c r="AB19" s="581">
        <f t="shared" si="10"/>
        <v>100</v>
      </c>
      <c r="AD19" s="576">
        <f t="shared" si="11"/>
        <v>2028</v>
      </c>
      <c r="AE19" s="578" t="str">
        <f>$C$19</f>
        <v>ABR</v>
      </c>
      <c r="AF19" s="579"/>
      <c r="AG19" s="580"/>
      <c r="AH19" s="579">
        <f t="shared" si="12"/>
        <v>0</v>
      </c>
      <c r="AI19" s="581">
        <f t="shared" si="13"/>
        <v>100</v>
      </c>
    </row>
    <row r="20" spans="2:35" x14ac:dyDescent="0.3">
      <c r="B20" s="576">
        <v>2024</v>
      </c>
      <c r="C20" s="582" t="s">
        <v>526</v>
      </c>
      <c r="D20" s="579"/>
      <c r="E20" s="580"/>
      <c r="F20" s="579">
        <f t="shared" si="0"/>
        <v>0</v>
      </c>
      <c r="G20" s="581">
        <f t="shared" si="1"/>
        <v>100</v>
      </c>
      <c r="I20" s="576">
        <f t="shared" si="2"/>
        <v>2025</v>
      </c>
      <c r="J20" s="578" t="str">
        <f>$C$20</f>
        <v>MAI</v>
      </c>
      <c r="K20" s="579"/>
      <c r="L20" s="580"/>
      <c r="M20" s="579">
        <f t="shared" si="3"/>
        <v>0</v>
      </c>
      <c r="N20" s="581">
        <f t="shared" si="4"/>
        <v>100</v>
      </c>
      <c r="P20" s="576">
        <f t="shared" si="5"/>
        <v>2026</v>
      </c>
      <c r="Q20" s="578" t="str">
        <f>$C$20</f>
        <v>MAI</v>
      </c>
      <c r="R20" s="579"/>
      <c r="S20" s="580"/>
      <c r="T20" s="579">
        <f t="shared" si="6"/>
        <v>0</v>
      </c>
      <c r="U20" s="581">
        <f t="shared" si="7"/>
        <v>100</v>
      </c>
      <c r="W20" s="576">
        <f t="shared" si="8"/>
        <v>2027</v>
      </c>
      <c r="X20" s="578" t="str">
        <f>$C$20</f>
        <v>MAI</v>
      </c>
      <c r="Y20" s="579"/>
      <c r="Z20" s="580"/>
      <c r="AA20" s="579">
        <f t="shared" si="9"/>
        <v>0</v>
      </c>
      <c r="AB20" s="581">
        <f t="shared" si="10"/>
        <v>100</v>
      </c>
      <c r="AD20" s="576">
        <f t="shared" si="11"/>
        <v>2028</v>
      </c>
      <c r="AE20" s="578" t="str">
        <f>$C$20</f>
        <v>MAI</v>
      </c>
      <c r="AF20" s="579"/>
      <c r="AG20" s="580"/>
      <c r="AH20" s="579">
        <f t="shared" si="12"/>
        <v>0</v>
      </c>
      <c r="AI20" s="581">
        <f t="shared" si="13"/>
        <v>100</v>
      </c>
    </row>
    <row r="21" spans="2:35" x14ac:dyDescent="0.3">
      <c r="B21" s="576">
        <v>2024</v>
      </c>
      <c r="C21" s="578" t="s">
        <v>527</v>
      </c>
      <c r="D21" s="579"/>
      <c r="E21" s="580"/>
      <c r="F21" s="579">
        <f t="shared" si="0"/>
        <v>0</v>
      </c>
      <c r="G21" s="581">
        <f t="shared" si="1"/>
        <v>100</v>
      </c>
      <c r="I21" s="576">
        <f t="shared" si="2"/>
        <v>2025</v>
      </c>
      <c r="J21" s="578" t="str">
        <f>$C$21</f>
        <v>JUN</v>
      </c>
      <c r="K21" s="579"/>
      <c r="L21" s="580"/>
      <c r="M21" s="579">
        <f t="shared" si="3"/>
        <v>0</v>
      </c>
      <c r="N21" s="581">
        <f t="shared" si="4"/>
        <v>100</v>
      </c>
      <c r="P21" s="576">
        <f t="shared" si="5"/>
        <v>2026</v>
      </c>
      <c r="Q21" s="578" t="str">
        <f>$C$21</f>
        <v>JUN</v>
      </c>
      <c r="R21" s="579"/>
      <c r="S21" s="580"/>
      <c r="T21" s="579">
        <f t="shared" si="6"/>
        <v>0</v>
      </c>
      <c r="U21" s="581">
        <f t="shared" si="7"/>
        <v>100</v>
      </c>
      <c r="W21" s="576">
        <f t="shared" si="8"/>
        <v>2027</v>
      </c>
      <c r="X21" s="578" t="str">
        <f>$C$21</f>
        <v>JUN</v>
      </c>
      <c r="Y21" s="579"/>
      <c r="Z21" s="580"/>
      <c r="AA21" s="579">
        <f t="shared" si="9"/>
        <v>0</v>
      </c>
      <c r="AB21" s="581">
        <f t="shared" si="10"/>
        <v>100</v>
      </c>
      <c r="AD21" s="576">
        <f t="shared" si="11"/>
        <v>2028</v>
      </c>
      <c r="AE21" s="578" t="str">
        <f>$C$21</f>
        <v>JUN</v>
      </c>
      <c r="AF21" s="579"/>
      <c r="AG21" s="580"/>
      <c r="AH21" s="579">
        <f t="shared" si="12"/>
        <v>0</v>
      </c>
      <c r="AI21" s="581">
        <f t="shared" si="13"/>
        <v>100</v>
      </c>
    </row>
    <row r="22" spans="2:35" x14ac:dyDescent="0.3">
      <c r="B22" s="576">
        <v>2024</v>
      </c>
      <c r="C22" s="582" t="s">
        <v>528</v>
      </c>
      <c r="D22" s="579"/>
      <c r="E22" s="580">
        <v>0</v>
      </c>
      <c r="F22" s="579">
        <f t="shared" si="0"/>
        <v>0</v>
      </c>
      <c r="G22" s="581">
        <f t="shared" si="1"/>
        <v>100</v>
      </c>
      <c r="I22" s="576">
        <f t="shared" si="2"/>
        <v>2025</v>
      </c>
      <c r="J22" s="578" t="str">
        <f>$C$22</f>
        <v>JUL</v>
      </c>
      <c r="K22" s="579"/>
      <c r="L22" s="580">
        <f>$E$22</f>
        <v>0</v>
      </c>
      <c r="M22" s="579">
        <f t="shared" si="3"/>
        <v>0</v>
      </c>
      <c r="N22" s="581">
        <f t="shared" si="4"/>
        <v>100</v>
      </c>
      <c r="P22" s="576">
        <f t="shared" si="5"/>
        <v>2026</v>
      </c>
      <c r="Q22" s="578" t="str">
        <f>$C$22</f>
        <v>JUL</v>
      </c>
      <c r="R22" s="579"/>
      <c r="S22" s="580">
        <f>$E$22</f>
        <v>0</v>
      </c>
      <c r="T22" s="579">
        <f t="shared" si="6"/>
        <v>0</v>
      </c>
      <c r="U22" s="581">
        <f t="shared" si="7"/>
        <v>100</v>
      </c>
      <c r="W22" s="576">
        <f t="shared" si="8"/>
        <v>2027</v>
      </c>
      <c r="X22" s="578" t="str">
        <f>$C$22</f>
        <v>JUL</v>
      </c>
      <c r="Y22" s="579"/>
      <c r="Z22" s="580">
        <f>$E$22</f>
        <v>0</v>
      </c>
      <c r="AA22" s="579">
        <f t="shared" si="9"/>
        <v>0</v>
      </c>
      <c r="AB22" s="581">
        <f t="shared" si="10"/>
        <v>100</v>
      </c>
      <c r="AD22" s="576">
        <f t="shared" si="11"/>
        <v>2028</v>
      </c>
      <c r="AE22" s="578" t="str">
        <f>$C$22</f>
        <v>JUL</v>
      </c>
      <c r="AF22" s="579"/>
      <c r="AG22" s="580">
        <f>$E$22</f>
        <v>0</v>
      </c>
      <c r="AH22" s="579">
        <f t="shared" si="12"/>
        <v>0</v>
      </c>
      <c r="AI22" s="581">
        <f t="shared" si="13"/>
        <v>100</v>
      </c>
    </row>
    <row r="23" spans="2:35" x14ac:dyDescent="0.3">
      <c r="B23" s="865" t="s">
        <v>529</v>
      </c>
      <c r="C23" s="865"/>
      <c r="D23" s="865"/>
      <c r="E23" s="865"/>
      <c r="F23" s="865"/>
      <c r="G23" s="585">
        <f>ROUND(((G22-G9)/G9),4)</f>
        <v>0</v>
      </c>
      <c r="I23" s="865" t="s">
        <v>529</v>
      </c>
      <c r="J23" s="865"/>
      <c r="K23" s="865"/>
      <c r="L23" s="865"/>
      <c r="M23" s="865"/>
      <c r="N23" s="585">
        <f>ROUND(((N22-N9)/N9),4)</f>
        <v>0</v>
      </c>
      <c r="P23" s="865" t="s">
        <v>529</v>
      </c>
      <c r="Q23" s="865"/>
      <c r="R23" s="865"/>
      <c r="S23" s="865"/>
      <c r="T23" s="865"/>
      <c r="U23" s="585">
        <f>ROUND(((U22-U9)/U9),4)</f>
        <v>0</v>
      </c>
      <c r="W23" s="865" t="s">
        <v>529</v>
      </c>
      <c r="X23" s="865"/>
      <c r="Y23" s="865"/>
      <c r="Z23" s="865"/>
      <c r="AA23" s="865"/>
      <c r="AB23" s="585">
        <f>ROUND(((AB22-AB9)/AB9),4)</f>
        <v>0</v>
      </c>
      <c r="AD23" s="865" t="s">
        <v>529</v>
      </c>
      <c r="AE23" s="865"/>
      <c r="AF23" s="865"/>
      <c r="AG23" s="865"/>
      <c r="AH23" s="865"/>
      <c r="AI23" s="585">
        <f>ROUND(((AI22-AI9)/AI9),4)</f>
        <v>0</v>
      </c>
    </row>
  </sheetData>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rgb="FFFFFF99"/>
    <pageSetUpPr fitToPage="1"/>
  </sheetPr>
  <dimension ref="A1:AMK90"/>
  <sheetViews>
    <sheetView showGridLines="0" zoomScaleNormal="100" workbookViewId="0">
      <selection activeCell="U10" sqref="U10"/>
    </sheetView>
  </sheetViews>
  <sheetFormatPr defaultColWidth="9.109375" defaultRowHeight="14.4" x14ac:dyDescent="0.3"/>
  <cols>
    <col min="1" max="1" width="13.88671875" style="26" customWidth="1"/>
    <col min="2" max="2" width="10.44140625" style="26" customWidth="1"/>
    <col min="3" max="3" width="45.44140625" style="26" customWidth="1"/>
    <col min="4" max="4" width="12" style="26" customWidth="1"/>
    <col min="5" max="5" width="15.6640625" style="26" customWidth="1"/>
    <col min="6" max="6" width="14.88671875" style="26" customWidth="1"/>
    <col min="7" max="7" width="14" style="26" customWidth="1"/>
    <col min="8" max="8" width="13.5546875" style="26" customWidth="1"/>
    <col min="9" max="9" width="13.44140625" style="26" customWidth="1"/>
    <col min="10" max="10" width="13.5546875" style="27" customWidth="1"/>
    <col min="11" max="11" width="18.33203125" style="27" customWidth="1"/>
    <col min="12" max="12" width="13.33203125" style="26" customWidth="1"/>
    <col min="13" max="13" width="15.109375" style="26" customWidth="1"/>
    <col min="14" max="14" width="22.88671875" style="26" customWidth="1"/>
    <col min="15" max="17" width="14.88671875" style="26" customWidth="1"/>
    <col min="18" max="21" width="13.5546875" style="26" customWidth="1"/>
    <col min="22" max="22" width="15" style="26" customWidth="1"/>
    <col min="23" max="258" width="9.109375" style="26"/>
    <col min="259" max="259" width="9.88671875" style="26" customWidth="1"/>
    <col min="260" max="260" width="10.44140625" style="26" customWidth="1"/>
    <col min="261" max="261" width="39.33203125" style="26" customWidth="1"/>
    <col min="262" max="262" width="15" style="26" customWidth="1"/>
    <col min="263" max="263" width="11" style="26" customWidth="1"/>
    <col min="264" max="264" width="11.109375" style="26" customWidth="1"/>
    <col min="265" max="265" width="12.88671875" style="26" customWidth="1"/>
    <col min="266" max="266" width="13.109375" style="26" customWidth="1"/>
    <col min="267" max="270" width="14.109375" style="26" customWidth="1"/>
    <col min="271" max="271" width="14.44140625" style="26" customWidth="1"/>
    <col min="272" max="272" width="9.6640625" style="26" customWidth="1"/>
    <col min="273" max="273" width="12.6640625" style="26" customWidth="1"/>
    <col min="274" max="276" width="13.5546875" style="26" customWidth="1"/>
    <col min="277" max="277" width="12.109375" style="26" customWidth="1"/>
    <col min="278" max="278" width="15" style="26" customWidth="1"/>
    <col min="279" max="514" width="9.109375" style="26"/>
    <col min="515" max="515" width="9.88671875" style="26" customWidth="1"/>
    <col min="516" max="516" width="10.44140625" style="26" customWidth="1"/>
    <col min="517" max="517" width="39.33203125" style="26" customWidth="1"/>
    <col min="518" max="518" width="15" style="26" customWidth="1"/>
    <col min="519" max="519" width="11" style="26" customWidth="1"/>
    <col min="520" max="520" width="11.109375" style="26" customWidth="1"/>
    <col min="521" max="521" width="12.88671875" style="26" customWidth="1"/>
    <col min="522" max="522" width="13.109375" style="26" customWidth="1"/>
    <col min="523" max="526" width="14.109375" style="26" customWidth="1"/>
    <col min="527" max="527" width="14.44140625" style="26" customWidth="1"/>
    <col min="528" max="528" width="9.6640625" style="26" customWidth="1"/>
    <col min="529" max="529" width="12.6640625" style="26" customWidth="1"/>
    <col min="530" max="532" width="13.5546875" style="26" customWidth="1"/>
    <col min="533" max="533" width="12.109375" style="26" customWidth="1"/>
    <col min="534" max="534" width="15" style="26" customWidth="1"/>
    <col min="535" max="770" width="9.109375" style="26"/>
    <col min="771" max="771" width="9.88671875" style="26" customWidth="1"/>
    <col min="772" max="772" width="10.44140625" style="26" customWidth="1"/>
    <col min="773" max="773" width="39.33203125" style="26" customWidth="1"/>
    <col min="774" max="774" width="15" style="26" customWidth="1"/>
    <col min="775" max="775" width="11" style="26" customWidth="1"/>
    <col min="776" max="776" width="11.109375" style="26" customWidth="1"/>
    <col min="777" max="777" width="12.88671875" style="26" customWidth="1"/>
    <col min="778" max="778" width="13.109375" style="26" customWidth="1"/>
    <col min="779" max="782" width="14.109375" style="26" customWidth="1"/>
    <col min="783" max="783" width="14.44140625" style="26" customWidth="1"/>
    <col min="784" max="784" width="9.6640625" style="26" customWidth="1"/>
    <col min="785" max="785" width="12.6640625" style="26" customWidth="1"/>
    <col min="786" max="788" width="13.5546875" style="26" customWidth="1"/>
    <col min="789" max="789" width="12.109375" style="26" customWidth="1"/>
    <col min="790" max="790" width="15" style="26" customWidth="1"/>
    <col min="791" max="1025" width="9.109375" style="26"/>
  </cols>
  <sheetData>
    <row r="1" spans="1:1025" x14ac:dyDescent="0.3">
      <c r="A1" s="113"/>
      <c r="B1" s="114" t="str">
        <f>INSTRUÇÕES!B1</f>
        <v>Tribunal Regional Federal da 6ª Região</v>
      </c>
      <c r="D1" s="4"/>
      <c r="E1" s="4"/>
      <c r="F1" s="4"/>
      <c r="G1" s="4"/>
      <c r="H1" s="4"/>
      <c r="I1" s="4"/>
      <c r="J1" s="115"/>
      <c r="K1" s="115"/>
      <c r="L1" s="4"/>
      <c r="M1" s="4"/>
      <c r="N1" s="4"/>
    </row>
    <row r="2" spans="1:1025" x14ac:dyDescent="0.3">
      <c r="A2" s="113"/>
      <c r="B2" s="114" t="str">
        <f>INSTRUÇÕES!B2</f>
        <v>Seção Judiciária de Minas Gerais</v>
      </c>
      <c r="D2" s="4"/>
      <c r="E2" s="4"/>
      <c r="F2" s="4"/>
      <c r="G2" s="4"/>
      <c r="H2" s="4"/>
      <c r="I2" s="4"/>
      <c r="J2" s="115"/>
      <c r="K2" s="115"/>
      <c r="L2" s="4"/>
      <c r="M2" s="4"/>
      <c r="N2" s="4"/>
    </row>
    <row r="3" spans="1:1025" ht="18" x14ac:dyDescent="0.3">
      <c r="A3" s="113"/>
      <c r="B3" s="114" t="str">
        <f>INSTRUÇÕES!B3</f>
        <v>Subseção Judiciária de Uberlândia</v>
      </c>
      <c r="D3" s="4"/>
      <c r="E3" s="116" t="s">
        <v>135</v>
      </c>
      <c r="F3" s="4"/>
      <c r="G3" s="4"/>
      <c r="H3" s="4"/>
      <c r="I3" s="4"/>
      <c r="J3" s="115"/>
      <c r="K3" s="115"/>
      <c r="L3" s="4"/>
      <c r="M3" s="4"/>
      <c r="N3" s="4"/>
      <c r="U3" s="117"/>
    </row>
    <row r="4" spans="1:1025" s="40" customFormat="1" ht="24.75" customHeight="1" x14ac:dyDescent="0.3">
      <c r="A4" s="118" t="str">
        <f>CONCATENATE("Sindicato utilizado - ",E20,". Vigência: ",E22,". Sendo a data base da categoria ",E23,". Com número de registro no MTE ",E21,".")</f>
        <v>Sindicato utilizado - SEAC/MG x SINDEACO/MG. Vigência: 01/01/2025 à 31/12/2025. Sendo a data base da categoria 01º Janeiro. Com número de registro no MTE MG001252/2025.</v>
      </c>
      <c r="B4" s="118"/>
      <c r="C4" s="119"/>
      <c r="D4" s="120"/>
      <c r="E4" s="118"/>
      <c r="F4" s="121"/>
      <c r="G4" s="121"/>
      <c r="H4" s="121"/>
      <c r="I4" s="121"/>
      <c r="J4" s="121"/>
      <c r="K4" s="121"/>
      <c r="L4" s="121"/>
      <c r="M4" s="121"/>
      <c r="N4" s="121"/>
      <c r="O4" s="121"/>
      <c r="P4" s="121"/>
      <c r="Q4" s="121"/>
      <c r="R4" s="121"/>
      <c r="S4" s="121"/>
      <c r="T4" s="121"/>
      <c r="U4" s="121"/>
      <c r="V4" s="121"/>
    </row>
    <row r="5" spans="1:1025" s="40" customFormat="1" ht="66.75" customHeight="1" x14ac:dyDescent="0.3">
      <c r="A5" s="757" t="s">
        <v>136</v>
      </c>
      <c r="B5" s="757" t="s">
        <v>137</v>
      </c>
      <c r="C5" s="757" t="s">
        <v>70</v>
      </c>
      <c r="D5" s="757" t="s">
        <v>138</v>
      </c>
      <c r="E5" s="757" t="s">
        <v>139</v>
      </c>
      <c r="F5" s="757" t="s">
        <v>140</v>
      </c>
      <c r="G5" s="757" t="s">
        <v>141</v>
      </c>
      <c r="H5" s="757" t="s">
        <v>142</v>
      </c>
      <c r="I5" s="757" t="s">
        <v>143</v>
      </c>
      <c r="J5" s="757" t="s">
        <v>144</v>
      </c>
      <c r="K5" s="757" t="s">
        <v>145</v>
      </c>
      <c r="L5" s="757" t="s">
        <v>146</v>
      </c>
      <c r="M5" s="743" t="s">
        <v>147</v>
      </c>
      <c r="N5" s="122" t="s">
        <v>148</v>
      </c>
      <c r="O5" s="122" t="s">
        <v>149</v>
      </c>
      <c r="P5" s="122" t="s">
        <v>150</v>
      </c>
      <c r="Q5" s="122" t="s">
        <v>151</v>
      </c>
      <c r="R5" s="122" t="s">
        <v>152</v>
      </c>
      <c r="S5" s="122" t="s">
        <v>153</v>
      </c>
      <c r="T5" s="122" t="s">
        <v>716</v>
      </c>
      <c r="U5" s="760" t="s">
        <v>154</v>
      </c>
      <c r="V5" s="757" t="s">
        <v>155</v>
      </c>
      <c r="X5" s="124"/>
    </row>
    <row r="6" spans="1:1025" s="40" customFormat="1" ht="28.8" x14ac:dyDescent="0.3">
      <c r="A6" s="757"/>
      <c r="B6" s="757"/>
      <c r="C6" s="757"/>
      <c r="D6" s="757"/>
      <c r="E6" s="757"/>
      <c r="F6" s="757"/>
      <c r="G6" s="757"/>
      <c r="H6" s="757"/>
      <c r="I6" s="757"/>
      <c r="J6" s="757"/>
      <c r="K6" s="757"/>
      <c r="L6" s="757"/>
      <c r="M6" s="743"/>
      <c r="N6" s="125" t="s">
        <v>156</v>
      </c>
      <c r="O6" s="126">
        <v>11</v>
      </c>
      <c r="P6" s="126">
        <f>B11</f>
        <v>1</v>
      </c>
      <c r="Q6" s="126">
        <f>B16</f>
        <v>1</v>
      </c>
      <c r="R6" s="126">
        <f>B10</f>
        <v>1</v>
      </c>
      <c r="S6" s="126">
        <f>B14</f>
        <v>1</v>
      </c>
      <c r="T6" s="126">
        <f>B10+B11+B12+B13+B14</f>
        <v>13</v>
      </c>
      <c r="U6" s="761"/>
      <c r="V6" s="757"/>
      <c r="X6" s="124"/>
    </row>
    <row r="7" spans="1:1025" s="40" customFormat="1" ht="24.75" customHeight="1" x14ac:dyDescent="0.3">
      <c r="A7" s="754" t="s">
        <v>157</v>
      </c>
      <c r="B7" s="126">
        <v>10</v>
      </c>
      <c r="C7" s="603" t="s">
        <v>532</v>
      </c>
      <c r="D7" s="126">
        <v>150</v>
      </c>
      <c r="E7" s="128">
        <v>2426.6</v>
      </c>
      <c r="F7" s="129">
        <f t="shared" ref="F7:F16" si="0">ROUND(((E7/220)*D7),2)</f>
        <v>1654.5</v>
      </c>
      <c r="G7" s="130"/>
      <c r="H7" s="131"/>
      <c r="I7" s="60">
        <v>0</v>
      </c>
      <c r="J7" s="60">
        <v>0</v>
      </c>
      <c r="K7" s="60"/>
      <c r="L7" s="60">
        <v>0</v>
      </c>
      <c r="M7" s="132">
        <f t="shared" ref="M7:M16" si="1">F7+H7+L7</f>
        <v>1654.5</v>
      </c>
      <c r="N7" s="129">
        <f>Uniformes!H38</f>
        <v>49.96</v>
      </c>
      <c r="O7" s="129"/>
      <c r="P7" s="129"/>
      <c r="Q7" s="129"/>
      <c r="R7" s="129"/>
      <c r="S7" s="129"/>
      <c r="T7" s="129"/>
      <c r="U7" s="129"/>
      <c r="V7" s="133">
        <v>1</v>
      </c>
      <c r="X7" s="124"/>
    </row>
    <row r="8" spans="1:1025" s="40" customFormat="1" ht="24.75" customHeight="1" x14ac:dyDescent="0.3">
      <c r="A8" s="755"/>
      <c r="B8" s="126">
        <v>3</v>
      </c>
      <c r="C8" s="603" t="s">
        <v>532</v>
      </c>
      <c r="D8" s="126">
        <v>200</v>
      </c>
      <c r="E8" s="128">
        <v>2426.6</v>
      </c>
      <c r="F8" s="129">
        <f t="shared" si="0"/>
        <v>2206</v>
      </c>
      <c r="G8" s="130"/>
      <c r="H8" s="131"/>
      <c r="I8" s="60"/>
      <c r="J8" s="60"/>
      <c r="K8" s="60"/>
      <c r="L8" s="60"/>
      <c r="M8" s="132">
        <f t="shared" si="1"/>
        <v>2206</v>
      </c>
      <c r="N8" s="129">
        <f>Uniformes!H38</f>
        <v>49.96</v>
      </c>
      <c r="O8" s="129"/>
      <c r="P8" s="129"/>
      <c r="Q8" s="129"/>
      <c r="R8" s="129"/>
      <c r="S8" s="129"/>
      <c r="T8" s="129"/>
      <c r="U8" s="129"/>
      <c r="V8" s="133">
        <v>1</v>
      </c>
      <c r="X8" s="124"/>
    </row>
    <row r="9" spans="1:1025" s="40" customFormat="1" ht="24" customHeight="1" x14ac:dyDescent="0.3">
      <c r="A9" s="756"/>
      <c r="B9" s="126">
        <v>2</v>
      </c>
      <c r="C9" s="603" t="s">
        <v>158</v>
      </c>
      <c r="D9" s="126">
        <v>150</v>
      </c>
      <c r="E9" s="128">
        <v>2830.97</v>
      </c>
      <c r="F9" s="129">
        <f t="shared" si="0"/>
        <v>1930.21</v>
      </c>
      <c r="G9" s="134">
        <v>0</v>
      </c>
      <c r="H9" s="60">
        <v>0</v>
      </c>
      <c r="I9" s="135"/>
      <c r="J9" s="135"/>
      <c r="K9" s="136"/>
      <c r="L9" s="137"/>
      <c r="M9" s="132">
        <f t="shared" si="1"/>
        <v>1930.21</v>
      </c>
      <c r="N9" s="129">
        <f>Uniformes!H55</f>
        <v>56.93</v>
      </c>
      <c r="O9" s="129"/>
      <c r="P9" s="129"/>
      <c r="Q9" s="129"/>
      <c r="R9" s="129"/>
      <c r="S9" s="129"/>
      <c r="T9" s="129"/>
      <c r="U9" s="129"/>
      <c r="V9" s="133">
        <v>1</v>
      </c>
      <c r="X9" s="124"/>
    </row>
    <row r="10" spans="1:1025" s="40" customFormat="1" ht="24" customHeight="1" x14ac:dyDescent="0.3">
      <c r="A10" s="754" t="s">
        <v>159</v>
      </c>
      <c r="B10" s="126">
        <v>1</v>
      </c>
      <c r="C10" s="603" t="s">
        <v>534</v>
      </c>
      <c r="D10" s="126">
        <v>200</v>
      </c>
      <c r="E10" s="128">
        <v>1649.12</v>
      </c>
      <c r="F10" s="129">
        <f t="shared" si="0"/>
        <v>1499.2</v>
      </c>
      <c r="G10" s="139">
        <v>0.2</v>
      </c>
      <c r="H10" s="129">
        <f>G10*G33</f>
        <v>303.60000000000002</v>
      </c>
      <c r="I10" s="135"/>
      <c r="J10" s="135"/>
      <c r="K10" s="136"/>
      <c r="L10" s="138"/>
      <c r="M10" s="132">
        <f t="shared" si="1"/>
        <v>1802.8000000000002</v>
      </c>
      <c r="N10" s="129">
        <f>Uniformes!H13</f>
        <v>27.83</v>
      </c>
      <c r="O10" s="129">
        <f>ROUND((Insumos!K62/$O$6),2)</f>
        <v>1017.12</v>
      </c>
      <c r="P10" s="129"/>
      <c r="Q10" s="129"/>
      <c r="R10" s="129"/>
      <c r="S10" s="129"/>
      <c r="T10" s="129">
        <f>EPI!$G$9/Dados!$T$6</f>
        <v>4.9408333333333321</v>
      </c>
      <c r="U10" s="129">
        <f>(Equipamentos!G20/Equipamentos!H20)+(Equipamentos!G24/Equipamentos!H24)+(Equipamentos!G28/Equipamentos!H28)</f>
        <v>4.5447377622377623</v>
      </c>
      <c r="V10" s="133">
        <v>2</v>
      </c>
      <c r="X10" s="124"/>
    </row>
    <row r="11" spans="1:1025" s="40" customFormat="1" ht="24" customHeight="1" x14ac:dyDescent="0.3">
      <c r="A11" s="755"/>
      <c r="B11" s="126">
        <v>1</v>
      </c>
      <c r="C11" s="603" t="s">
        <v>160</v>
      </c>
      <c r="D11" s="126">
        <v>200</v>
      </c>
      <c r="E11" s="128">
        <v>1805.94</v>
      </c>
      <c r="F11" s="129">
        <f t="shared" si="0"/>
        <v>1641.76</v>
      </c>
      <c r="G11" s="591"/>
      <c r="H11" s="592"/>
      <c r="I11" s="135"/>
      <c r="J11" s="135"/>
      <c r="K11" s="136"/>
      <c r="L11" s="138"/>
      <c r="M11" s="132">
        <f t="shared" si="1"/>
        <v>1641.76</v>
      </c>
      <c r="N11" s="129">
        <f>Uniformes!H22</f>
        <v>31.18</v>
      </c>
      <c r="O11" s="129"/>
      <c r="P11" s="129"/>
      <c r="Q11" s="129"/>
      <c r="R11" s="129"/>
      <c r="S11" s="129"/>
      <c r="T11" s="129">
        <f>EPI!$G$9/Dados!$T$6</f>
        <v>4.9408333333333321</v>
      </c>
      <c r="U11" s="129">
        <f>(Equipamentos!G24/Equipamentos!H24)+(Equipamentos!G32/Equipamentos!H32)</f>
        <v>4.242692307692308</v>
      </c>
      <c r="V11" s="133">
        <v>2</v>
      </c>
      <c r="X11" s="124"/>
    </row>
    <row r="12" spans="1:1025" s="40" customFormat="1" ht="24" customHeight="1" x14ac:dyDescent="0.3">
      <c r="A12" s="755"/>
      <c r="B12" s="126">
        <v>8</v>
      </c>
      <c r="C12" s="603" t="s">
        <v>161</v>
      </c>
      <c r="D12" s="126">
        <v>200</v>
      </c>
      <c r="E12" s="128">
        <v>1649.12</v>
      </c>
      <c r="F12" s="129">
        <f t="shared" si="0"/>
        <v>1499.2</v>
      </c>
      <c r="G12" s="134"/>
      <c r="H12" s="60"/>
      <c r="I12" s="135"/>
      <c r="J12" s="135"/>
      <c r="K12" s="136"/>
      <c r="L12" s="138"/>
      <c r="M12" s="132">
        <f t="shared" si="1"/>
        <v>1499.2</v>
      </c>
      <c r="N12" s="129">
        <f>Uniformes!H13</f>
        <v>27.83</v>
      </c>
      <c r="O12" s="129">
        <f>ROUND((Insumos!K62/$O$6),2)</f>
        <v>1017.12</v>
      </c>
      <c r="P12" s="129"/>
      <c r="Q12" s="129"/>
      <c r="R12" s="129"/>
      <c r="S12" s="129"/>
      <c r="T12" s="129">
        <f>EPI!$G$9/Dados!$T$6</f>
        <v>4.9408333333333321</v>
      </c>
      <c r="U12" s="129">
        <f>(Equipamentos!G20/Equipamentos!H20)+(Equipamentos!G24/Equipamentos!H24)+(Equipamentos!G28/Equipamentos!H28)</f>
        <v>4.5447377622377623</v>
      </c>
      <c r="V12" s="133">
        <v>2</v>
      </c>
      <c r="X12" s="124"/>
    </row>
    <row r="13" spans="1:1025" s="40" customFormat="1" ht="24" customHeight="1" x14ac:dyDescent="0.3">
      <c r="A13" s="755"/>
      <c r="B13" s="126">
        <v>2</v>
      </c>
      <c r="C13" s="603" t="s">
        <v>162</v>
      </c>
      <c r="D13" s="126">
        <v>200</v>
      </c>
      <c r="E13" s="128">
        <v>1649.12</v>
      </c>
      <c r="F13" s="129">
        <f t="shared" si="0"/>
        <v>1499.2</v>
      </c>
      <c r="G13" s="139">
        <v>0.4</v>
      </c>
      <c r="H13" s="129">
        <f>G13*G33</f>
        <v>607.20000000000005</v>
      </c>
      <c r="I13" s="135"/>
      <c r="J13" s="135"/>
      <c r="K13" s="136"/>
      <c r="L13" s="138"/>
      <c r="M13" s="132">
        <f t="shared" si="1"/>
        <v>2106.4</v>
      </c>
      <c r="N13" s="129">
        <f>Uniformes!H13</f>
        <v>27.83</v>
      </c>
      <c r="O13" s="129">
        <f>ROUND((Insumos!K62/$O$6),2)</f>
        <v>1017.12</v>
      </c>
      <c r="P13" s="129"/>
      <c r="Q13" s="129"/>
      <c r="R13" s="129"/>
      <c r="S13" s="129"/>
      <c r="T13" s="129">
        <f>EPI!$G$9/Dados!$T$6</f>
        <v>4.9408333333333321</v>
      </c>
      <c r="U13" s="129">
        <f>(Equipamentos!G20/Equipamentos!H20)+(Equipamentos!G24/Equipamentos!H24)+(Equipamentos!G28/Equipamentos!H28)</f>
        <v>4.5447377622377623</v>
      </c>
      <c r="V13" s="133">
        <v>2</v>
      </c>
      <c r="X13" s="124"/>
    </row>
    <row r="14" spans="1:1025" s="40" customFormat="1" ht="28.5" customHeight="1" x14ac:dyDescent="0.3">
      <c r="A14" s="755"/>
      <c r="B14" s="126">
        <v>1</v>
      </c>
      <c r="C14" s="603" t="s">
        <v>535</v>
      </c>
      <c r="D14" s="126">
        <v>200</v>
      </c>
      <c r="E14" s="128">
        <v>2463.29</v>
      </c>
      <c r="F14" s="129">
        <f t="shared" si="0"/>
        <v>2239.35</v>
      </c>
      <c r="G14" s="134"/>
      <c r="H14" s="60"/>
      <c r="I14" s="140">
        <v>0.12</v>
      </c>
      <c r="J14" s="141">
        <v>0.3</v>
      </c>
      <c r="K14" s="142">
        <f>F14</f>
        <v>2239.35</v>
      </c>
      <c r="L14" s="138">
        <f>ROUND((K14*I14*J14),2)</f>
        <v>80.62</v>
      </c>
      <c r="M14" s="132">
        <f t="shared" si="1"/>
        <v>2319.9699999999998</v>
      </c>
      <c r="N14" s="129">
        <f>Uniformes!H31</f>
        <v>31.18</v>
      </c>
      <c r="O14" s="129"/>
      <c r="P14" s="129"/>
      <c r="Q14" s="129"/>
      <c r="R14" s="129">
        <f>ROUND((Insumos!K99/$R$6),2)</f>
        <v>144.52000000000001</v>
      </c>
      <c r="S14" s="129">
        <f>ROUND((Insumos!K111/$S$6),2)</f>
        <v>155.82</v>
      </c>
      <c r="T14" s="129">
        <f>EPI!$G$9/Dados!$T$6</f>
        <v>4.9408333333333321</v>
      </c>
      <c r="U14" s="129">
        <f>(Equipamentos!G17/Equipamentos!H17)+(Equipamentos!G24/Equipamentos!H24)+(Equipamentos!G28/Equipamentos!H28)+(Equipamentos!G32/Equipamentos!H32)</f>
        <v>44.505192307692312</v>
      </c>
      <c r="V14" s="133">
        <v>2</v>
      </c>
      <c r="X14" s="124"/>
    </row>
    <row r="15" spans="1:1025" ht="24" customHeight="1" x14ac:dyDescent="0.3">
      <c r="A15" s="756"/>
      <c r="B15" s="126">
        <v>1</v>
      </c>
      <c r="C15" s="603" t="s">
        <v>163</v>
      </c>
      <c r="D15" s="126">
        <v>200</v>
      </c>
      <c r="E15" s="128">
        <v>2463.29</v>
      </c>
      <c r="F15" s="129">
        <f t="shared" si="0"/>
        <v>2239.35</v>
      </c>
      <c r="G15" s="134"/>
      <c r="H15" s="60"/>
      <c r="I15" s="135"/>
      <c r="J15" s="135"/>
      <c r="K15" s="136"/>
      <c r="L15" s="138"/>
      <c r="M15" s="132">
        <f t="shared" si="1"/>
        <v>2239.35</v>
      </c>
      <c r="N15" s="129">
        <f>Uniformes!H64</f>
        <v>64.489999999999995</v>
      </c>
      <c r="O15" s="129"/>
      <c r="P15" s="129"/>
      <c r="Q15" s="129"/>
      <c r="R15" s="129"/>
      <c r="S15" s="129"/>
      <c r="T15" s="129"/>
      <c r="U15" s="129"/>
      <c r="V15" s="133">
        <v>2</v>
      </c>
      <c r="W15" s="40"/>
      <c r="X15" s="124"/>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c r="AMK15" s="40"/>
    </row>
    <row r="16" spans="1:1025" ht="24" customHeight="1" x14ac:dyDescent="0.3">
      <c r="A16" s="127" t="s">
        <v>164</v>
      </c>
      <c r="B16" s="126">
        <v>1</v>
      </c>
      <c r="C16" s="603" t="s">
        <v>533</v>
      </c>
      <c r="D16" s="126">
        <v>200</v>
      </c>
      <c r="E16" s="128">
        <v>1649.12</v>
      </c>
      <c r="F16" s="129">
        <f t="shared" si="0"/>
        <v>1499.2</v>
      </c>
      <c r="G16" s="134"/>
      <c r="H16" s="60"/>
      <c r="I16" s="135"/>
      <c r="J16" s="135"/>
      <c r="K16" s="136"/>
      <c r="L16" s="138"/>
      <c r="M16" s="132">
        <f t="shared" si="1"/>
        <v>1499.2</v>
      </c>
      <c r="N16" s="129">
        <f>Uniformes!H47</f>
        <v>64.489999999999995</v>
      </c>
      <c r="O16" s="129"/>
      <c r="P16" s="129"/>
      <c r="Q16" s="129">
        <f>ROUND((Insumos!K83/$Q$6),2)</f>
        <v>269.75</v>
      </c>
      <c r="R16" s="129"/>
      <c r="S16" s="129"/>
      <c r="T16" s="129"/>
      <c r="U16" s="129"/>
      <c r="V16" s="133">
        <v>5</v>
      </c>
      <c r="W16" s="40"/>
      <c r="X16" s="124"/>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c r="AMK16" s="40"/>
    </row>
    <row r="17" spans="1:1025" ht="34.5" customHeight="1" x14ac:dyDescent="0.3">
      <c r="A17" s="121" t="s">
        <v>165</v>
      </c>
      <c r="B17" s="27"/>
      <c r="C17" s="27"/>
      <c r="D17" s="121"/>
      <c r="F17" s="121"/>
      <c r="G17" s="121" t="s">
        <v>166</v>
      </c>
      <c r="H17" s="121"/>
      <c r="I17" s="121"/>
      <c r="J17" s="121"/>
      <c r="K17" s="118"/>
      <c r="L17" s="143" t="s">
        <v>167</v>
      </c>
      <c r="M17" s="144">
        <f>SUM(M7:M16)</f>
        <v>18899.39</v>
      </c>
      <c r="N17" s="118"/>
      <c r="O17" s="118"/>
      <c r="P17" s="118"/>
      <c r="Q17" s="118"/>
      <c r="R17" s="118"/>
      <c r="S17" s="118"/>
      <c r="T17" s="118"/>
      <c r="U17" s="118"/>
      <c r="V17" s="118"/>
    </row>
    <row r="18" spans="1:1025" ht="24.75" customHeight="1" x14ac:dyDescent="0.3">
      <c r="A18" s="747" t="s">
        <v>168</v>
      </c>
      <c r="B18" s="747"/>
      <c r="C18" s="747"/>
      <c r="D18" s="747"/>
      <c r="E18" s="747"/>
      <c r="F18" s="747"/>
      <c r="G18" s="747"/>
      <c r="N18" s="118"/>
      <c r="O18" s="118"/>
      <c r="P18" s="118"/>
      <c r="Q18" s="118"/>
      <c r="R18" s="118"/>
      <c r="S18" s="118"/>
      <c r="T18" s="118"/>
      <c r="U18" s="118"/>
      <c r="V18" s="118"/>
    </row>
    <row r="19" spans="1:1025" ht="24" customHeight="1" x14ac:dyDescent="0.3">
      <c r="A19" s="42">
        <v>1</v>
      </c>
      <c r="B19" s="746" t="s">
        <v>169</v>
      </c>
      <c r="C19" s="746"/>
      <c r="D19" s="746"/>
      <c r="E19" s="748" t="s">
        <v>170</v>
      </c>
      <c r="F19" s="748"/>
      <c r="G19" s="748"/>
      <c r="H19" s="38" t="s">
        <v>171</v>
      </c>
      <c r="N19" s="118"/>
      <c r="O19" s="118"/>
      <c r="P19" s="118"/>
      <c r="Q19" s="118"/>
      <c r="R19" s="118"/>
      <c r="S19" s="118"/>
      <c r="T19" s="118"/>
      <c r="U19" s="118"/>
      <c r="V19" s="62"/>
    </row>
    <row r="20" spans="1:1025" ht="24" customHeight="1" x14ac:dyDescent="0.3">
      <c r="A20" s="42">
        <v>2</v>
      </c>
      <c r="B20" s="746" t="s">
        <v>172</v>
      </c>
      <c r="C20" s="746"/>
      <c r="D20" s="746"/>
      <c r="E20" s="748" t="s">
        <v>536</v>
      </c>
      <c r="F20" s="748"/>
      <c r="G20" s="748"/>
      <c r="H20" s="38" t="s">
        <v>173</v>
      </c>
      <c r="N20" s="118"/>
      <c r="O20" s="118"/>
      <c r="P20" s="118"/>
      <c r="Q20" s="118"/>
      <c r="R20" s="118"/>
      <c r="S20" s="118"/>
      <c r="T20" s="118"/>
      <c r="U20" s="118"/>
      <c r="V20" s="62"/>
    </row>
    <row r="21" spans="1:1025" s="26" customFormat="1" ht="24" customHeight="1" x14ac:dyDescent="0.3">
      <c r="A21" s="42">
        <v>3</v>
      </c>
      <c r="B21" s="746" t="s">
        <v>174</v>
      </c>
      <c r="C21" s="746"/>
      <c r="D21" s="746"/>
      <c r="E21" s="748" t="s">
        <v>537</v>
      </c>
      <c r="F21" s="748"/>
      <c r="G21" s="748"/>
      <c r="H21" s="38" t="s">
        <v>175</v>
      </c>
      <c r="J21" s="27"/>
      <c r="K21" s="27"/>
      <c r="N21" s="118"/>
      <c r="O21" s="118"/>
      <c r="P21" s="118"/>
      <c r="Q21" s="118"/>
      <c r="R21" s="118"/>
      <c r="S21" s="118"/>
      <c r="T21" s="118"/>
      <c r="U21" s="118"/>
      <c r="V21" s="62"/>
    </row>
    <row r="22" spans="1:1025" s="62" customFormat="1" ht="24" customHeight="1" x14ac:dyDescent="0.3">
      <c r="A22" s="42">
        <v>4</v>
      </c>
      <c r="B22" s="746" t="s">
        <v>176</v>
      </c>
      <c r="C22" s="746"/>
      <c r="D22" s="746"/>
      <c r="E22" s="748" t="s">
        <v>531</v>
      </c>
      <c r="F22" s="748"/>
      <c r="G22" s="748"/>
      <c r="H22" s="38" t="s">
        <v>177</v>
      </c>
      <c r="I22" s="26"/>
      <c r="J22" s="27"/>
      <c r="K22" s="27"/>
      <c r="L22" s="26"/>
      <c r="M22" s="26"/>
      <c r="N22" s="118"/>
      <c r="O22" s="118"/>
      <c r="P22" s="118"/>
      <c r="Q22" s="118"/>
      <c r="R22" s="118"/>
      <c r="S22" s="118"/>
      <c r="T22" s="118"/>
      <c r="U22" s="118"/>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6"/>
      <c r="LY22" s="26"/>
      <c r="LZ22" s="26"/>
      <c r="MA22" s="26"/>
      <c r="MB22" s="26"/>
      <c r="MC22" s="26"/>
      <c r="MD22" s="26"/>
      <c r="ME22" s="26"/>
      <c r="MF22" s="26"/>
      <c r="MG22" s="26"/>
      <c r="MH22" s="26"/>
      <c r="MI22" s="26"/>
      <c r="MJ22" s="26"/>
      <c r="MK22" s="26"/>
      <c r="ML22" s="26"/>
      <c r="MM22" s="26"/>
      <c r="MN22" s="26"/>
      <c r="MO22" s="26"/>
      <c r="MP22" s="26"/>
      <c r="MQ22" s="26"/>
      <c r="MR22" s="26"/>
      <c r="MS22" s="26"/>
      <c r="MT22" s="26"/>
      <c r="MU22" s="26"/>
      <c r="MV22" s="26"/>
      <c r="MW22" s="26"/>
      <c r="MX22" s="26"/>
      <c r="MY22" s="26"/>
      <c r="MZ22" s="26"/>
      <c r="NA22" s="26"/>
      <c r="NB22" s="26"/>
      <c r="NC22" s="26"/>
      <c r="ND22" s="26"/>
      <c r="NE22" s="26"/>
      <c r="NF22" s="26"/>
      <c r="NG22" s="26"/>
      <c r="NH22" s="26"/>
      <c r="NI22" s="26"/>
      <c r="NJ22" s="26"/>
      <c r="NK22" s="26"/>
      <c r="NL22" s="26"/>
      <c r="NM22" s="26"/>
      <c r="NN22" s="26"/>
      <c r="NO22" s="26"/>
      <c r="NP22" s="26"/>
      <c r="NQ22" s="26"/>
      <c r="NR22" s="26"/>
      <c r="NS22" s="26"/>
      <c r="NT22" s="26"/>
      <c r="NU22" s="26"/>
      <c r="NV22" s="26"/>
      <c r="NW22" s="26"/>
      <c r="NX22" s="26"/>
      <c r="NY22" s="26"/>
      <c r="NZ22" s="26"/>
      <c r="OA22" s="26"/>
      <c r="OB22" s="26"/>
      <c r="OC22" s="26"/>
      <c r="OD22" s="26"/>
      <c r="OE22" s="26"/>
      <c r="OF22" s="26"/>
      <c r="OG22" s="26"/>
      <c r="OH22" s="26"/>
      <c r="OI22" s="26"/>
      <c r="OJ22" s="26"/>
      <c r="OK22" s="26"/>
      <c r="OL22" s="26"/>
      <c r="OM22" s="26"/>
      <c r="ON22" s="26"/>
      <c r="OO22" s="26"/>
      <c r="OP22" s="26"/>
      <c r="OQ22" s="26"/>
      <c r="OR22" s="26"/>
      <c r="OS22" s="26"/>
      <c r="OT22" s="26"/>
      <c r="OU22" s="26"/>
      <c r="OV22" s="26"/>
      <c r="OW22" s="26"/>
      <c r="OX22" s="26"/>
      <c r="OY22" s="26"/>
      <c r="OZ22" s="26"/>
      <c r="PA22" s="26"/>
      <c r="PB22" s="26"/>
      <c r="PC22" s="26"/>
      <c r="PD22" s="26"/>
      <c r="PE22" s="26"/>
      <c r="PF22" s="26"/>
      <c r="PG22" s="26"/>
      <c r="PH22" s="26"/>
      <c r="PI22" s="26"/>
      <c r="PJ22" s="26"/>
      <c r="PK22" s="26"/>
      <c r="PL22" s="26"/>
      <c r="PM22" s="26"/>
      <c r="PN22" s="26"/>
      <c r="PO22" s="26"/>
      <c r="PP22" s="26"/>
      <c r="PQ22" s="26"/>
      <c r="PR22" s="26"/>
      <c r="PS22" s="26"/>
      <c r="PT22" s="26"/>
      <c r="PU22" s="26"/>
      <c r="PV22" s="26"/>
      <c r="PW22" s="26"/>
      <c r="PX22" s="26"/>
      <c r="PY22" s="26"/>
      <c r="PZ22" s="26"/>
      <c r="QA22" s="26"/>
      <c r="QB22" s="26"/>
      <c r="QC22" s="26"/>
      <c r="QD22" s="26"/>
      <c r="QE22" s="26"/>
      <c r="QF22" s="26"/>
      <c r="QG22" s="26"/>
      <c r="QH22" s="26"/>
      <c r="QI22" s="26"/>
      <c r="QJ22" s="26"/>
      <c r="QK22" s="26"/>
      <c r="QL22" s="26"/>
      <c r="QM22" s="26"/>
      <c r="QN22" s="26"/>
      <c r="QO22" s="26"/>
      <c r="QP22" s="26"/>
      <c r="QQ22" s="26"/>
      <c r="QR22" s="26"/>
      <c r="QS22" s="26"/>
      <c r="QT22" s="26"/>
      <c r="QU22" s="26"/>
      <c r="QV22" s="26"/>
      <c r="QW22" s="26"/>
      <c r="QX22" s="26"/>
      <c r="QY22" s="26"/>
      <c r="QZ22" s="26"/>
      <c r="RA22" s="26"/>
      <c r="RB22" s="26"/>
      <c r="RC22" s="26"/>
      <c r="RD22" s="26"/>
      <c r="RE22" s="26"/>
      <c r="RF22" s="26"/>
      <c r="RG22" s="26"/>
      <c r="RH22" s="26"/>
      <c r="RI22" s="26"/>
      <c r="RJ22" s="26"/>
      <c r="RK22" s="26"/>
      <c r="RL22" s="26"/>
      <c r="RM22" s="26"/>
      <c r="RN22" s="26"/>
      <c r="RO22" s="26"/>
      <c r="RP22" s="26"/>
      <c r="RQ22" s="26"/>
      <c r="RR22" s="26"/>
      <c r="RS22" s="26"/>
      <c r="RT22" s="26"/>
      <c r="RU22" s="26"/>
      <c r="RV22" s="26"/>
      <c r="RW22" s="26"/>
      <c r="RX22" s="26"/>
      <c r="RY22" s="26"/>
      <c r="RZ22" s="26"/>
      <c r="SA22" s="26"/>
      <c r="SB22" s="26"/>
      <c r="SC22" s="26"/>
      <c r="SD22" s="26"/>
      <c r="SE22" s="26"/>
      <c r="SF22" s="26"/>
      <c r="SG22" s="26"/>
      <c r="SH22" s="26"/>
      <c r="SI22" s="26"/>
      <c r="SJ22" s="26"/>
      <c r="SK22" s="26"/>
      <c r="SL22" s="26"/>
      <c r="SM22" s="26"/>
      <c r="SN22" s="26"/>
      <c r="SO22" s="26"/>
      <c r="SP22" s="26"/>
      <c r="SQ22" s="26"/>
      <c r="SR22" s="26"/>
      <c r="SS22" s="26"/>
      <c r="ST22" s="26"/>
      <c r="SU22" s="26"/>
      <c r="SV22" s="26"/>
      <c r="SW22" s="26"/>
      <c r="SX22" s="26"/>
      <c r="SY22" s="26"/>
      <c r="SZ22" s="26"/>
      <c r="TA22" s="26"/>
      <c r="TB22" s="26"/>
      <c r="TC22" s="26"/>
      <c r="TD22" s="26"/>
      <c r="TE22" s="26"/>
      <c r="TF22" s="26"/>
      <c r="TG22" s="26"/>
      <c r="TH22" s="26"/>
      <c r="TI22" s="26"/>
      <c r="TJ22" s="26"/>
      <c r="TK22" s="26"/>
      <c r="TL22" s="26"/>
      <c r="TM22" s="26"/>
      <c r="TN22" s="26"/>
      <c r="TO22" s="26"/>
      <c r="TP22" s="26"/>
      <c r="TQ22" s="26"/>
      <c r="TR22" s="26"/>
      <c r="TS22" s="26"/>
      <c r="TT22" s="26"/>
      <c r="TU22" s="26"/>
      <c r="TV22" s="26"/>
      <c r="TW22" s="26"/>
      <c r="TX22" s="26"/>
      <c r="TY22" s="26"/>
      <c r="TZ22" s="26"/>
      <c r="UA22" s="26"/>
      <c r="UB22" s="26"/>
      <c r="UC22" s="26"/>
      <c r="UD22" s="26"/>
      <c r="UE22" s="26"/>
      <c r="UF22" s="26"/>
      <c r="UG22" s="26"/>
      <c r="UH22" s="26"/>
      <c r="UI22" s="26"/>
      <c r="UJ22" s="26"/>
      <c r="UK22" s="26"/>
      <c r="UL22" s="26"/>
      <c r="UM22" s="26"/>
      <c r="UN22" s="26"/>
      <c r="UO22" s="26"/>
      <c r="UP22" s="26"/>
      <c r="UQ22" s="26"/>
      <c r="UR22" s="26"/>
      <c r="US22" s="26"/>
      <c r="UT22" s="26"/>
      <c r="UU22" s="26"/>
      <c r="UV22" s="26"/>
      <c r="UW22" s="26"/>
      <c r="UX22" s="26"/>
      <c r="UY22" s="26"/>
      <c r="UZ22" s="26"/>
      <c r="VA22" s="26"/>
      <c r="VB22" s="26"/>
      <c r="VC22" s="26"/>
      <c r="VD22" s="26"/>
      <c r="VE22" s="26"/>
      <c r="VF22" s="26"/>
      <c r="VG22" s="26"/>
      <c r="VH22" s="26"/>
      <c r="VI22" s="26"/>
      <c r="VJ22" s="26"/>
      <c r="VK22" s="26"/>
      <c r="VL22" s="26"/>
      <c r="VM22" s="26"/>
      <c r="VN22" s="26"/>
      <c r="VO22" s="26"/>
      <c r="VP22" s="26"/>
      <c r="VQ22" s="26"/>
      <c r="VR22" s="26"/>
      <c r="VS22" s="26"/>
      <c r="VT22" s="26"/>
      <c r="VU22" s="26"/>
      <c r="VV22" s="26"/>
      <c r="VW22" s="26"/>
      <c r="VX22" s="26"/>
      <c r="VY22" s="26"/>
      <c r="VZ22" s="26"/>
      <c r="WA22" s="26"/>
      <c r="WB22" s="26"/>
      <c r="WC22" s="26"/>
      <c r="WD22" s="26"/>
      <c r="WE22" s="26"/>
      <c r="WF22" s="26"/>
      <c r="WG22" s="26"/>
      <c r="WH22" s="26"/>
      <c r="WI22" s="26"/>
      <c r="WJ22" s="26"/>
      <c r="WK22" s="26"/>
      <c r="WL22" s="26"/>
      <c r="WM22" s="26"/>
      <c r="WN22" s="26"/>
      <c r="WO22" s="26"/>
      <c r="WP22" s="26"/>
      <c r="WQ22" s="26"/>
      <c r="WR22" s="26"/>
      <c r="WS22" s="26"/>
      <c r="WT22" s="26"/>
      <c r="WU22" s="26"/>
      <c r="WV22" s="26"/>
      <c r="WW22" s="26"/>
      <c r="WX22" s="26"/>
      <c r="WY22" s="26"/>
      <c r="WZ22" s="26"/>
      <c r="XA22" s="26"/>
      <c r="XB22" s="26"/>
      <c r="XC22" s="26"/>
      <c r="XD22" s="26"/>
      <c r="XE22" s="26"/>
      <c r="XF22" s="26"/>
      <c r="XG22" s="26"/>
      <c r="XH22" s="26"/>
      <c r="XI22" s="26"/>
      <c r="XJ22" s="26"/>
      <c r="XK22" s="26"/>
      <c r="XL22" s="26"/>
      <c r="XM22" s="26"/>
      <c r="XN22" s="26"/>
      <c r="XO22" s="26"/>
      <c r="XP22" s="26"/>
      <c r="XQ22" s="26"/>
      <c r="XR22" s="26"/>
      <c r="XS22" s="26"/>
      <c r="XT22" s="26"/>
      <c r="XU22" s="26"/>
      <c r="XV22" s="26"/>
      <c r="XW22" s="26"/>
      <c r="XX22" s="26"/>
      <c r="XY22" s="26"/>
      <c r="XZ22" s="26"/>
      <c r="YA22" s="26"/>
      <c r="YB22" s="26"/>
      <c r="YC22" s="26"/>
      <c r="YD22" s="26"/>
      <c r="YE22" s="26"/>
      <c r="YF22" s="26"/>
      <c r="YG22" s="26"/>
      <c r="YH22" s="26"/>
      <c r="YI22" s="26"/>
      <c r="YJ22" s="26"/>
      <c r="YK22" s="26"/>
      <c r="YL22" s="26"/>
      <c r="YM22" s="26"/>
      <c r="YN22" s="26"/>
      <c r="YO22" s="26"/>
      <c r="YP22" s="26"/>
      <c r="YQ22" s="26"/>
      <c r="YR22" s="26"/>
      <c r="YS22" s="26"/>
      <c r="YT22" s="26"/>
      <c r="YU22" s="26"/>
      <c r="YV22" s="26"/>
      <c r="YW22" s="26"/>
      <c r="YX22" s="26"/>
      <c r="YY22" s="26"/>
      <c r="YZ22" s="26"/>
      <c r="ZA22" s="26"/>
      <c r="ZB22" s="26"/>
      <c r="ZC22" s="26"/>
      <c r="ZD22" s="26"/>
      <c r="ZE22" s="26"/>
      <c r="ZF22" s="26"/>
      <c r="ZG22" s="26"/>
      <c r="ZH22" s="26"/>
      <c r="ZI22" s="26"/>
      <c r="ZJ22" s="26"/>
      <c r="ZK22" s="26"/>
      <c r="ZL22" s="26"/>
      <c r="ZM22" s="26"/>
      <c r="ZN22" s="26"/>
      <c r="ZO22" s="26"/>
      <c r="ZP22" s="26"/>
      <c r="ZQ22" s="26"/>
      <c r="ZR22" s="26"/>
      <c r="ZS22" s="26"/>
      <c r="ZT22" s="26"/>
      <c r="ZU22" s="26"/>
      <c r="ZV22" s="26"/>
      <c r="ZW22" s="26"/>
      <c r="ZX22" s="26"/>
      <c r="ZY22" s="26"/>
      <c r="ZZ22" s="26"/>
      <c r="AAA22" s="26"/>
      <c r="AAB22" s="26"/>
      <c r="AAC22" s="26"/>
      <c r="AAD22" s="26"/>
      <c r="AAE22" s="26"/>
      <c r="AAF22" s="26"/>
      <c r="AAG22" s="26"/>
      <c r="AAH22" s="26"/>
      <c r="AAI22" s="26"/>
      <c r="AAJ22" s="26"/>
      <c r="AAK22" s="26"/>
      <c r="AAL22" s="26"/>
      <c r="AAM22" s="26"/>
      <c r="AAN22" s="26"/>
      <c r="AAO22" s="26"/>
      <c r="AAP22" s="26"/>
      <c r="AAQ22" s="26"/>
      <c r="AAR22" s="26"/>
      <c r="AAS22" s="26"/>
      <c r="AAT22" s="26"/>
      <c r="AAU22" s="26"/>
      <c r="AAV22" s="26"/>
      <c r="AAW22" s="26"/>
      <c r="AAX22" s="26"/>
      <c r="AAY22" s="26"/>
      <c r="AAZ22" s="26"/>
      <c r="ABA22" s="26"/>
      <c r="ABB22" s="26"/>
      <c r="ABC22" s="26"/>
      <c r="ABD22" s="26"/>
      <c r="ABE22" s="26"/>
      <c r="ABF22" s="26"/>
      <c r="ABG22" s="26"/>
      <c r="ABH22" s="26"/>
      <c r="ABI22" s="26"/>
      <c r="ABJ22" s="26"/>
      <c r="ABK22" s="26"/>
      <c r="ABL22" s="26"/>
      <c r="ABM22" s="26"/>
      <c r="ABN22" s="26"/>
      <c r="ABO22" s="26"/>
      <c r="ABP22" s="26"/>
      <c r="ABQ22" s="26"/>
      <c r="ABR22" s="26"/>
      <c r="ABS22" s="26"/>
      <c r="ABT22" s="26"/>
      <c r="ABU22" s="26"/>
      <c r="ABV22" s="26"/>
      <c r="ABW22" s="26"/>
      <c r="ABX22" s="26"/>
      <c r="ABY22" s="26"/>
      <c r="ABZ22" s="26"/>
      <c r="ACA22" s="26"/>
      <c r="ACB22" s="26"/>
      <c r="ACC22" s="26"/>
      <c r="ACD22" s="26"/>
      <c r="ACE22" s="26"/>
      <c r="ACF22" s="26"/>
      <c r="ACG22" s="26"/>
      <c r="ACH22" s="26"/>
      <c r="ACI22" s="26"/>
      <c r="ACJ22" s="26"/>
      <c r="ACK22" s="26"/>
      <c r="ACL22" s="26"/>
      <c r="ACM22" s="26"/>
      <c r="ACN22" s="26"/>
      <c r="ACO22" s="26"/>
      <c r="ACP22" s="26"/>
      <c r="ACQ22" s="26"/>
      <c r="ACR22" s="26"/>
      <c r="ACS22" s="26"/>
      <c r="ACT22" s="26"/>
      <c r="ACU22" s="26"/>
      <c r="ACV22" s="26"/>
      <c r="ACW22" s="26"/>
      <c r="ACX22" s="26"/>
      <c r="ACY22" s="26"/>
      <c r="ACZ22" s="26"/>
      <c r="ADA22" s="26"/>
      <c r="ADB22" s="26"/>
      <c r="ADC22" s="26"/>
      <c r="ADD22" s="26"/>
      <c r="ADE22" s="26"/>
      <c r="ADF22" s="26"/>
      <c r="ADG22" s="26"/>
      <c r="ADH22" s="26"/>
      <c r="ADI22" s="26"/>
      <c r="ADJ22" s="26"/>
      <c r="ADK22" s="26"/>
      <c r="ADL22" s="26"/>
      <c r="ADM22" s="26"/>
      <c r="ADN22" s="26"/>
      <c r="ADO22" s="26"/>
      <c r="ADP22" s="26"/>
      <c r="ADQ22" s="26"/>
      <c r="ADR22" s="26"/>
      <c r="ADS22" s="26"/>
      <c r="ADT22" s="26"/>
      <c r="ADU22" s="26"/>
      <c r="ADV22" s="26"/>
      <c r="ADW22" s="26"/>
      <c r="ADX22" s="26"/>
      <c r="ADY22" s="26"/>
      <c r="ADZ22" s="26"/>
      <c r="AEA22" s="26"/>
      <c r="AEB22" s="26"/>
      <c r="AEC22" s="26"/>
      <c r="AED22" s="26"/>
      <c r="AEE22" s="26"/>
      <c r="AEF22" s="26"/>
      <c r="AEG22" s="26"/>
      <c r="AEH22" s="26"/>
      <c r="AEI22" s="26"/>
      <c r="AEJ22" s="26"/>
      <c r="AEK22" s="26"/>
      <c r="AEL22" s="26"/>
      <c r="AEM22" s="26"/>
      <c r="AEN22" s="26"/>
      <c r="AEO22" s="26"/>
      <c r="AEP22" s="26"/>
      <c r="AEQ22" s="26"/>
      <c r="AER22" s="26"/>
      <c r="AES22" s="26"/>
      <c r="AET22" s="26"/>
      <c r="AEU22" s="26"/>
      <c r="AEV22" s="26"/>
      <c r="AEW22" s="26"/>
      <c r="AEX22" s="26"/>
      <c r="AEY22" s="26"/>
      <c r="AEZ22" s="26"/>
      <c r="AFA22" s="26"/>
      <c r="AFB22" s="26"/>
      <c r="AFC22" s="26"/>
      <c r="AFD22" s="26"/>
      <c r="AFE22" s="26"/>
      <c r="AFF22" s="26"/>
      <c r="AFG22" s="26"/>
      <c r="AFH22" s="26"/>
      <c r="AFI22" s="26"/>
      <c r="AFJ22" s="26"/>
      <c r="AFK22" s="26"/>
      <c r="AFL22" s="26"/>
      <c r="AFM22" s="26"/>
      <c r="AFN22" s="26"/>
      <c r="AFO22" s="26"/>
      <c r="AFP22" s="26"/>
      <c r="AFQ22" s="26"/>
      <c r="AFR22" s="26"/>
      <c r="AFS22" s="26"/>
      <c r="AFT22" s="26"/>
      <c r="AFU22" s="26"/>
      <c r="AFV22" s="26"/>
      <c r="AFW22" s="26"/>
      <c r="AFX22" s="26"/>
      <c r="AFY22" s="26"/>
      <c r="AFZ22" s="26"/>
      <c r="AGA22" s="26"/>
      <c r="AGB22" s="26"/>
      <c r="AGC22" s="26"/>
      <c r="AGD22" s="26"/>
      <c r="AGE22" s="26"/>
      <c r="AGF22" s="26"/>
      <c r="AGG22" s="26"/>
      <c r="AGH22" s="26"/>
      <c r="AGI22" s="26"/>
      <c r="AGJ22" s="26"/>
      <c r="AGK22" s="26"/>
      <c r="AGL22" s="26"/>
      <c r="AGM22" s="26"/>
      <c r="AGN22" s="26"/>
      <c r="AGO22" s="26"/>
      <c r="AGP22" s="26"/>
      <c r="AGQ22" s="26"/>
      <c r="AGR22" s="26"/>
      <c r="AGS22" s="26"/>
      <c r="AGT22" s="26"/>
      <c r="AGU22" s="26"/>
      <c r="AGV22" s="26"/>
      <c r="AGW22" s="26"/>
      <c r="AGX22" s="26"/>
      <c r="AGY22" s="26"/>
      <c r="AGZ22" s="26"/>
      <c r="AHA22" s="26"/>
      <c r="AHB22" s="26"/>
      <c r="AHC22" s="26"/>
      <c r="AHD22" s="26"/>
      <c r="AHE22" s="26"/>
      <c r="AHF22" s="26"/>
      <c r="AHG22" s="26"/>
      <c r="AHH22" s="26"/>
      <c r="AHI22" s="26"/>
      <c r="AHJ22" s="26"/>
      <c r="AHK22" s="26"/>
      <c r="AHL22" s="26"/>
      <c r="AHM22" s="26"/>
      <c r="AHN22" s="26"/>
      <c r="AHO22" s="26"/>
      <c r="AHP22" s="26"/>
      <c r="AHQ22" s="26"/>
      <c r="AHR22" s="26"/>
      <c r="AHS22" s="26"/>
      <c r="AHT22" s="26"/>
      <c r="AHU22" s="26"/>
      <c r="AHV22" s="26"/>
      <c r="AHW22" s="26"/>
      <c r="AHX22" s="26"/>
      <c r="AHY22" s="26"/>
      <c r="AHZ22" s="26"/>
      <c r="AIA22" s="26"/>
      <c r="AIB22" s="26"/>
      <c r="AIC22" s="26"/>
      <c r="AID22" s="26"/>
      <c r="AIE22" s="26"/>
      <c r="AIF22" s="26"/>
      <c r="AIG22" s="26"/>
      <c r="AIH22" s="26"/>
      <c r="AII22" s="26"/>
      <c r="AIJ22" s="26"/>
      <c r="AIK22" s="26"/>
      <c r="AIL22" s="26"/>
      <c r="AIM22" s="26"/>
      <c r="AIN22" s="26"/>
      <c r="AIO22" s="26"/>
      <c r="AIP22" s="26"/>
      <c r="AIQ22" s="26"/>
      <c r="AIR22" s="26"/>
      <c r="AIS22" s="26"/>
      <c r="AIT22" s="26"/>
      <c r="AIU22" s="26"/>
      <c r="AIV22" s="26"/>
      <c r="AIW22" s="26"/>
      <c r="AIX22" s="26"/>
      <c r="AIY22" s="26"/>
      <c r="AIZ22" s="26"/>
      <c r="AJA22" s="26"/>
      <c r="AJB22" s="26"/>
      <c r="AJC22" s="26"/>
      <c r="AJD22" s="26"/>
      <c r="AJE22" s="26"/>
      <c r="AJF22" s="26"/>
      <c r="AJG22" s="26"/>
      <c r="AJH22" s="26"/>
      <c r="AJI22" s="26"/>
      <c r="AJJ22" s="26"/>
      <c r="AJK22" s="26"/>
      <c r="AJL22" s="26"/>
      <c r="AJM22" s="26"/>
      <c r="AJN22" s="26"/>
      <c r="AJO22" s="26"/>
      <c r="AJP22" s="26"/>
      <c r="AJQ22" s="26"/>
      <c r="AJR22" s="26"/>
      <c r="AJS22" s="26"/>
      <c r="AJT22" s="26"/>
      <c r="AJU22" s="26"/>
      <c r="AJV22" s="26"/>
      <c r="AJW22" s="26"/>
      <c r="AJX22" s="26"/>
      <c r="AJY22" s="26"/>
      <c r="AJZ22" s="26"/>
      <c r="AKA22" s="26"/>
      <c r="AKB22" s="26"/>
      <c r="AKC22" s="26"/>
      <c r="AKD22" s="26"/>
      <c r="AKE22" s="26"/>
      <c r="AKF22" s="26"/>
      <c r="AKG22" s="26"/>
      <c r="AKH22" s="26"/>
      <c r="AKI22" s="26"/>
      <c r="AKJ22" s="26"/>
      <c r="AKK22" s="26"/>
      <c r="AKL22" s="26"/>
      <c r="AKM22" s="26"/>
      <c r="AKN22" s="26"/>
      <c r="AKO22" s="26"/>
      <c r="AKP22" s="26"/>
      <c r="AKQ22" s="26"/>
      <c r="AKR22" s="26"/>
      <c r="AKS22" s="26"/>
      <c r="AKT22" s="26"/>
      <c r="AKU22" s="26"/>
      <c r="AKV22" s="26"/>
      <c r="AKW22" s="26"/>
      <c r="AKX22" s="26"/>
      <c r="AKY22" s="26"/>
      <c r="AKZ22" s="26"/>
      <c r="ALA22" s="26"/>
      <c r="ALB22" s="26"/>
      <c r="ALC22" s="26"/>
      <c r="ALD22" s="26"/>
      <c r="ALE22" s="26"/>
      <c r="ALF22" s="26"/>
      <c r="ALG22" s="26"/>
      <c r="ALH22" s="26"/>
      <c r="ALI22" s="26"/>
      <c r="ALJ22" s="26"/>
      <c r="ALK22" s="26"/>
      <c r="ALL22" s="26"/>
      <c r="ALM22" s="26"/>
      <c r="ALN22" s="26"/>
      <c r="ALO22" s="26"/>
      <c r="ALP22" s="26"/>
      <c r="ALQ22" s="26"/>
      <c r="ALR22" s="26"/>
      <c r="ALS22" s="26"/>
      <c r="ALT22" s="26"/>
      <c r="ALU22" s="26"/>
      <c r="ALV22" s="26"/>
      <c r="ALW22" s="26"/>
      <c r="ALX22" s="26"/>
      <c r="ALY22" s="26"/>
      <c r="ALZ22" s="26"/>
      <c r="AMA22" s="26"/>
      <c r="AMB22" s="26"/>
      <c r="AMC22" s="26"/>
      <c r="AMD22" s="26"/>
      <c r="AME22" s="26"/>
      <c r="AMF22" s="26"/>
      <c r="AMG22" s="26"/>
      <c r="AMH22" s="26"/>
      <c r="AMI22" s="26"/>
      <c r="AMJ22" s="26"/>
      <c r="AMK22" s="26"/>
    </row>
    <row r="23" spans="1:1025" s="26" customFormat="1" ht="24" customHeight="1" x14ac:dyDescent="0.3">
      <c r="A23" s="42">
        <v>5</v>
      </c>
      <c r="B23" s="746" t="s">
        <v>178</v>
      </c>
      <c r="C23" s="746"/>
      <c r="D23" s="746"/>
      <c r="E23" s="748" t="s">
        <v>179</v>
      </c>
      <c r="F23" s="748"/>
      <c r="G23" s="748"/>
      <c r="H23" s="38" t="s">
        <v>180</v>
      </c>
      <c r="J23" s="27"/>
      <c r="K23" s="27"/>
      <c r="N23" s="118"/>
      <c r="O23" s="118"/>
      <c r="P23" s="118"/>
      <c r="Q23" s="118"/>
      <c r="R23" s="118"/>
      <c r="S23" s="118"/>
      <c r="T23" s="118"/>
      <c r="U23" s="118"/>
      <c r="V23" s="62"/>
    </row>
    <row r="24" spans="1:1025" s="26" customFormat="1" ht="12.75" customHeight="1" x14ac:dyDescent="0.3">
      <c r="A24" s="146"/>
      <c r="H24" s="38"/>
    </row>
    <row r="25" spans="1:1025" s="26" customFormat="1" ht="24.75" customHeight="1" x14ac:dyDescent="0.3">
      <c r="A25" s="747" t="s">
        <v>181</v>
      </c>
      <c r="B25" s="747"/>
      <c r="C25" s="747"/>
      <c r="D25" s="747"/>
      <c r="E25" s="747"/>
      <c r="F25" s="747"/>
      <c r="G25" s="747"/>
      <c r="H25" s="38"/>
      <c r="I25" s="118"/>
      <c r="J25" s="118"/>
      <c r="K25" s="118"/>
      <c r="L25" s="118"/>
      <c r="M25" s="118"/>
      <c r="N25" s="118"/>
      <c r="O25" s="118"/>
      <c r="P25" s="118"/>
      <c r="Q25" s="118"/>
      <c r="R25" s="118"/>
      <c r="S25" s="118"/>
      <c r="T25" s="118"/>
      <c r="U25" s="118"/>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62"/>
      <c r="ON25" s="62"/>
      <c r="OO25" s="62"/>
      <c r="OP25" s="62"/>
      <c r="OQ25" s="62"/>
      <c r="OR25" s="62"/>
      <c r="OS25" s="62"/>
      <c r="OT25" s="62"/>
      <c r="OU25" s="62"/>
      <c r="OV25" s="62"/>
      <c r="OW25" s="62"/>
      <c r="OX25" s="62"/>
      <c r="OY25" s="62"/>
      <c r="OZ25" s="62"/>
      <c r="PA25" s="62"/>
      <c r="PB25" s="62"/>
      <c r="PC25" s="62"/>
      <c r="PD25" s="62"/>
      <c r="PE25" s="62"/>
      <c r="PF25" s="62"/>
      <c r="PG25" s="62"/>
      <c r="PH25" s="62"/>
      <c r="PI25" s="62"/>
      <c r="PJ25" s="62"/>
      <c r="PK25" s="62"/>
      <c r="PL25" s="62"/>
      <c r="PM25" s="62"/>
      <c r="PN25" s="62"/>
      <c r="PO25" s="62"/>
      <c r="PP25" s="62"/>
      <c r="PQ25" s="62"/>
      <c r="PR25" s="62"/>
      <c r="PS25" s="62"/>
      <c r="PT25" s="62"/>
      <c r="PU25" s="62"/>
      <c r="PV25" s="62"/>
      <c r="PW25" s="62"/>
      <c r="PX25" s="62"/>
      <c r="PY25" s="62"/>
      <c r="PZ25" s="62"/>
      <c r="QA25" s="62"/>
      <c r="QB25" s="62"/>
      <c r="QC25" s="62"/>
      <c r="QD25" s="62"/>
      <c r="QE25" s="62"/>
      <c r="QF25" s="62"/>
      <c r="QG25" s="62"/>
      <c r="QH25" s="62"/>
      <c r="QI25" s="62"/>
      <c r="QJ25" s="62"/>
      <c r="QK25" s="62"/>
      <c r="QL25" s="62"/>
      <c r="QM25" s="62"/>
      <c r="QN25" s="62"/>
      <c r="QO25" s="62"/>
      <c r="QP25" s="62"/>
      <c r="QQ25" s="62"/>
      <c r="QR25" s="62"/>
      <c r="QS25" s="62"/>
      <c r="QT25" s="62"/>
      <c r="QU25" s="62"/>
      <c r="QV25" s="62"/>
      <c r="QW25" s="62"/>
      <c r="QX25" s="62"/>
      <c r="QY25" s="62"/>
      <c r="QZ25" s="62"/>
      <c r="RA25" s="62"/>
      <c r="RB25" s="62"/>
      <c r="RC25" s="62"/>
      <c r="RD25" s="62"/>
      <c r="RE25" s="62"/>
      <c r="RF25" s="62"/>
      <c r="RG25" s="62"/>
      <c r="RH25" s="62"/>
      <c r="RI25" s="62"/>
      <c r="RJ25" s="62"/>
      <c r="RK25" s="62"/>
      <c r="RL25" s="62"/>
      <c r="RM25" s="62"/>
      <c r="RN25" s="62"/>
      <c r="RO25" s="62"/>
      <c r="RP25" s="62"/>
      <c r="RQ25" s="62"/>
      <c r="RR25" s="62"/>
      <c r="RS25" s="62"/>
      <c r="RT25" s="62"/>
      <c r="RU25" s="62"/>
      <c r="RV25" s="62"/>
      <c r="RW25" s="62"/>
      <c r="RX25" s="62"/>
      <c r="RY25" s="62"/>
      <c r="RZ25" s="62"/>
      <c r="SA25" s="62"/>
      <c r="SB25" s="62"/>
      <c r="SC25" s="62"/>
      <c r="SD25" s="62"/>
      <c r="SE25" s="62"/>
      <c r="SF25" s="62"/>
      <c r="SG25" s="62"/>
      <c r="SH25" s="62"/>
      <c r="SI25" s="62"/>
      <c r="SJ25" s="62"/>
      <c r="SK25" s="62"/>
      <c r="SL25" s="62"/>
      <c r="SM25" s="62"/>
      <c r="SN25" s="62"/>
      <c r="SO25" s="62"/>
      <c r="SP25" s="62"/>
      <c r="SQ25" s="62"/>
      <c r="SR25" s="62"/>
      <c r="SS25" s="62"/>
      <c r="ST25" s="62"/>
      <c r="SU25" s="62"/>
      <c r="SV25" s="62"/>
      <c r="SW25" s="62"/>
      <c r="SX25" s="62"/>
      <c r="SY25" s="62"/>
      <c r="SZ25" s="62"/>
      <c r="TA25" s="62"/>
      <c r="TB25" s="62"/>
      <c r="TC25" s="62"/>
      <c r="TD25" s="62"/>
      <c r="TE25" s="62"/>
      <c r="TF25" s="62"/>
      <c r="TG25" s="62"/>
      <c r="TH25" s="62"/>
      <c r="TI25" s="62"/>
      <c r="TJ25" s="62"/>
      <c r="TK25" s="62"/>
      <c r="TL25" s="62"/>
      <c r="TM25" s="62"/>
      <c r="TN25" s="62"/>
      <c r="TO25" s="62"/>
      <c r="TP25" s="62"/>
      <c r="TQ25" s="62"/>
      <c r="TR25" s="62"/>
      <c r="TS25" s="62"/>
      <c r="TT25" s="62"/>
      <c r="TU25" s="62"/>
      <c r="TV25" s="62"/>
      <c r="TW25" s="62"/>
      <c r="TX25" s="62"/>
      <c r="TY25" s="62"/>
      <c r="TZ25" s="62"/>
      <c r="UA25" s="62"/>
      <c r="UB25" s="62"/>
      <c r="UC25" s="62"/>
      <c r="UD25" s="62"/>
      <c r="UE25" s="62"/>
      <c r="UF25" s="62"/>
      <c r="UG25" s="62"/>
      <c r="UH25" s="62"/>
      <c r="UI25" s="62"/>
      <c r="UJ25" s="62"/>
      <c r="UK25" s="62"/>
      <c r="UL25" s="62"/>
      <c r="UM25" s="62"/>
      <c r="UN25" s="62"/>
      <c r="UO25" s="62"/>
      <c r="UP25" s="62"/>
      <c r="UQ25" s="62"/>
      <c r="UR25" s="62"/>
      <c r="US25" s="62"/>
      <c r="UT25" s="62"/>
      <c r="UU25" s="62"/>
      <c r="UV25" s="62"/>
      <c r="UW25" s="62"/>
      <c r="UX25" s="62"/>
      <c r="UY25" s="62"/>
      <c r="UZ25" s="62"/>
      <c r="VA25" s="62"/>
      <c r="VB25" s="62"/>
      <c r="VC25" s="62"/>
      <c r="VD25" s="62"/>
      <c r="VE25" s="62"/>
      <c r="VF25" s="62"/>
      <c r="VG25" s="62"/>
      <c r="VH25" s="62"/>
      <c r="VI25" s="62"/>
      <c r="VJ25" s="62"/>
      <c r="VK25" s="62"/>
      <c r="VL25" s="62"/>
      <c r="VM25" s="62"/>
      <c r="VN25" s="62"/>
      <c r="VO25" s="62"/>
      <c r="VP25" s="62"/>
      <c r="VQ25" s="62"/>
      <c r="VR25" s="62"/>
      <c r="VS25" s="62"/>
      <c r="VT25" s="62"/>
      <c r="VU25" s="62"/>
      <c r="VV25" s="62"/>
      <c r="VW25" s="62"/>
      <c r="VX25" s="62"/>
      <c r="VY25" s="62"/>
      <c r="VZ25" s="62"/>
      <c r="WA25" s="62"/>
      <c r="WB25" s="62"/>
      <c r="WC25" s="62"/>
      <c r="WD25" s="62"/>
      <c r="WE25" s="62"/>
      <c r="WF25" s="62"/>
      <c r="WG25" s="62"/>
      <c r="WH25" s="62"/>
      <c r="WI25" s="62"/>
      <c r="WJ25" s="62"/>
      <c r="WK25" s="62"/>
      <c r="WL25" s="62"/>
      <c r="WM25" s="62"/>
      <c r="WN25" s="62"/>
      <c r="WO25" s="62"/>
      <c r="WP25" s="62"/>
      <c r="WQ25" s="62"/>
      <c r="WR25" s="62"/>
      <c r="WS25" s="62"/>
      <c r="WT25" s="62"/>
      <c r="WU25" s="62"/>
      <c r="WV25" s="62"/>
      <c r="WW25" s="62"/>
      <c r="WX25" s="62"/>
      <c r="WY25" s="62"/>
      <c r="WZ25" s="62"/>
      <c r="XA25" s="62"/>
      <c r="XB25" s="62"/>
      <c r="XC25" s="62"/>
      <c r="XD25" s="62"/>
      <c r="XE25" s="62"/>
      <c r="XF25" s="62"/>
      <c r="XG25" s="62"/>
      <c r="XH25" s="62"/>
      <c r="XI25" s="62"/>
      <c r="XJ25" s="62"/>
      <c r="XK25" s="62"/>
      <c r="XL25" s="62"/>
      <c r="XM25" s="62"/>
      <c r="XN25" s="62"/>
      <c r="XO25" s="62"/>
      <c r="XP25" s="62"/>
      <c r="XQ25" s="62"/>
      <c r="XR25" s="62"/>
      <c r="XS25" s="62"/>
      <c r="XT25" s="62"/>
      <c r="XU25" s="62"/>
      <c r="XV25" s="62"/>
      <c r="XW25" s="62"/>
      <c r="XX25" s="62"/>
      <c r="XY25" s="62"/>
      <c r="XZ25" s="62"/>
      <c r="YA25" s="62"/>
      <c r="YB25" s="62"/>
      <c r="YC25" s="62"/>
      <c r="YD25" s="62"/>
      <c r="YE25" s="62"/>
      <c r="YF25" s="62"/>
      <c r="YG25" s="62"/>
      <c r="YH25" s="62"/>
      <c r="YI25" s="62"/>
      <c r="YJ25" s="62"/>
      <c r="YK25" s="62"/>
      <c r="YL25" s="62"/>
      <c r="YM25" s="62"/>
      <c r="YN25" s="62"/>
      <c r="YO25" s="62"/>
      <c r="YP25" s="62"/>
      <c r="YQ25" s="62"/>
      <c r="YR25" s="62"/>
      <c r="YS25" s="62"/>
      <c r="YT25" s="62"/>
      <c r="YU25" s="62"/>
      <c r="YV25" s="62"/>
      <c r="YW25" s="62"/>
      <c r="YX25" s="62"/>
      <c r="YY25" s="62"/>
      <c r="YZ25" s="62"/>
      <c r="ZA25" s="62"/>
      <c r="ZB25" s="62"/>
      <c r="ZC25" s="62"/>
      <c r="ZD25" s="62"/>
      <c r="ZE25" s="62"/>
      <c r="ZF25" s="62"/>
      <c r="ZG25" s="62"/>
      <c r="ZH25" s="62"/>
      <c r="ZI25" s="62"/>
      <c r="ZJ25" s="62"/>
      <c r="ZK25" s="62"/>
      <c r="ZL25" s="62"/>
      <c r="ZM25" s="62"/>
      <c r="ZN25" s="62"/>
      <c r="ZO25" s="62"/>
      <c r="ZP25" s="62"/>
      <c r="ZQ25" s="62"/>
      <c r="ZR25" s="62"/>
      <c r="ZS25" s="62"/>
      <c r="ZT25" s="62"/>
      <c r="ZU25" s="62"/>
      <c r="ZV25" s="62"/>
      <c r="ZW25" s="62"/>
      <c r="ZX25" s="62"/>
      <c r="ZY25" s="62"/>
      <c r="ZZ25" s="62"/>
      <c r="AAA25" s="62"/>
      <c r="AAB25" s="62"/>
      <c r="AAC25" s="62"/>
      <c r="AAD25" s="62"/>
      <c r="AAE25" s="62"/>
      <c r="AAF25" s="62"/>
      <c r="AAG25" s="62"/>
      <c r="AAH25" s="62"/>
      <c r="AAI25" s="62"/>
      <c r="AAJ25" s="62"/>
      <c r="AAK25" s="62"/>
      <c r="AAL25" s="62"/>
      <c r="AAM25" s="62"/>
      <c r="AAN25" s="62"/>
      <c r="AAO25" s="62"/>
      <c r="AAP25" s="62"/>
      <c r="AAQ25" s="62"/>
      <c r="AAR25" s="62"/>
      <c r="AAS25" s="62"/>
      <c r="AAT25" s="62"/>
      <c r="AAU25" s="62"/>
      <c r="AAV25" s="62"/>
      <c r="AAW25" s="62"/>
      <c r="AAX25" s="62"/>
      <c r="AAY25" s="62"/>
      <c r="AAZ25" s="62"/>
      <c r="ABA25" s="62"/>
      <c r="ABB25" s="62"/>
      <c r="ABC25" s="62"/>
      <c r="ABD25" s="62"/>
      <c r="ABE25" s="62"/>
      <c r="ABF25" s="62"/>
      <c r="ABG25" s="62"/>
      <c r="ABH25" s="62"/>
      <c r="ABI25" s="62"/>
      <c r="ABJ25" s="62"/>
      <c r="ABK25" s="62"/>
      <c r="ABL25" s="62"/>
      <c r="ABM25" s="62"/>
      <c r="ABN25" s="62"/>
      <c r="ABO25" s="62"/>
      <c r="ABP25" s="62"/>
      <c r="ABQ25" s="62"/>
      <c r="ABR25" s="62"/>
      <c r="ABS25" s="62"/>
      <c r="ABT25" s="62"/>
      <c r="ABU25" s="62"/>
      <c r="ABV25" s="62"/>
      <c r="ABW25" s="62"/>
      <c r="ABX25" s="62"/>
      <c r="ABY25" s="62"/>
      <c r="ABZ25" s="62"/>
      <c r="ACA25" s="62"/>
      <c r="ACB25" s="62"/>
      <c r="ACC25" s="62"/>
      <c r="ACD25" s="62"/>
      <c r="ACE25" s="62"/>
      <c r="ACF25" s="62"/>
      <c r="ACG25" s="62"/>
      <c r="ACH25" s="62"/>
      <c r="ACI25" s="62"/>
      <c r="ACJ25" s="62"/>
      <c r="ACK25" s="62"/>
      <c r="ACL25" s="62"/>
      <c r="ACM25" s="62"/>
      <c r="ACN25" s="62"/>
      <c r="ACO25" s="62"/>
      <c r="ACP25" s="62"/>
      <c r="ACQ25" s="62"/>
      <c r="ACR25" s="62"/>
      <c r="ACS25" s="62"/>
      <c r="ACT25" s="62"/>
      <c r="ACU25" s="62"/>
      <c r="ACV25" s="62"/>
      <c r="ACW25" s="62"/>
      <c r="ACX25" s="62"/>
      <c r="ACY25" s="62"/>
      <c r="ACZ25" s="62"/>
      <c r="ADA25" s="62"/>
      <c r="ADB25" s="62"/>
      <c r="ADC25" s="62"/>
      <c r="ADD25" s="62"/>
      <c r="ADE25" s="62"/>
      <c r="ADF25" s="62"/>
      <c r="ADG25" s="62"/>
      <c r="ADH25" s="62"/>
      <c r="ADI25" s="62"/>
      <c r="ADJ25" s="62"/>
      <c r="ADK25" s="62"/>
      <c r="ADL25" s="62"/>
      <c r="ADM25" s="62"/>
      <c r="ADN25" s="62"/>
      <c r="ADO25" s="62"/>
      <c r="ADP25" s="62"/>
      <c r="ADQ25" s="62"/>
      <c r="ADR25" s="62"/>
      <c r="ADS25" s="62"/>
      <c r="ADT25" s="62"/>
      <c r="ADU25" s="62"/>
      <c r="ADV25" s="62"/>
      <c r="ADW25" s="62"/>
      <c r="ADX25" s="62"/>
      <c r="ADY25" s="62"/>
      <c r="ADZ25" s="62"/>
      <c r="AEA25" s="62"/>
      <c r="AEB25" s="62"/>
      <c r="AEC25" s="62"/>
      <c r="AED25" s="62"/>
      <c r="AEE25" s="62"/>
      <c r="AEF25" s="62"/>
      <c r="AEG25" s="62"/>
      <c r="AEH25" s="62"/>
      <c r="AEI25" s="62"/>
      <c r="AEJ25" s="62"/>
      <c r="AEK25" s="62"/>
      <c r="AEL25" s="62"/>
      <c r="AEM25" s="62"/>
      <c r="AEN25" s="62"/>
      <c r="AEO25" s="62"/>
      <c r="AEP25" s="62"/>
      <c r="AEQ25" s="62"/>
      <c r="AER25" s="62"/>
      <c r="AES25" s="62"/>
      <c r="AET25" s="62"/>
      <c r="AEU25" s="62"/>
      <c r="AEV25" s="62"/>
      <c r="AEW25" s="62"/>
      <c r="AEX25" s="62"/>
      <c r="AEY25" s="62"/>
      <c r="AEZ25" s="62"/>
      <c r="AFA25" s="62"/>
      <c r="AFB25" s="62"/>
      <c r="AFC25" s="62"/>
      <c r="AFD25" s="62"/>
      <c r="AFE25" s="62"/>
      <c r="AFF25" s="62"/>
      <c r="AFG25" s="62"/>
      <c r="AFH25" s="62"/>
      <c r="AFI25" s="62"/>
      <c r="AFJ25" s="62"/>
      <c r="AFK25" s="62"/>
      <c r="AFL25" s="62"/>
      <c r="AFM25" s="62"/>
      <c r="AFN25" s="62"/>
      <c r="AFO25" s="62"/>
      <c r="AFP25" s="62"/>
      <c r="AFQ25" s="62"/>
      <c r="AFR25" s="62"/>
      <c r="AFS25" s="62"/>
      <c r="AFT25" s="62"/>
      <c r="AFU25" s="62"/>
      <c r="AFV25" s="62"/>
      <c r="AFW25" s="62"/>
      <c r="AFX25" s="62"/>
      <c r="AFY25" s="62"/>
      <c r="AFZ25" s="62"/>
      <c r="AGA25" s="62"/>
      <c r="AGB25" s="62"/>
      <c r="AGC25" s="62"/>
      <c r="AGD25" s="62"/>
      <c r="AGE25" s="62"/>
      <c r="AGF25" s="62"/>
      <c r="AGG25" s="62"/>
      <c r="AGH25" s="62"/>
      <c r="AGI25" s="62"/>
      <c r="AGJ25" s="62"/>
      <c r="AGK25" s="62"/>
      <c r="AGL25" s="62"/>
      <c r="AGM25" s="62"/>
      <c r="AGN25" s="62"/>
      <c r="AGO25" s="62"/>
      <c r="AGP25" s="62"/>
      <c r="AGQ25" s="62"/>
      <c r="AGR25" s="62"/>
      <c r="AGS25" s="62"/>
      <c r="AGT25" s="62"/>
      <c r="AGU25" s="62"/>
      <c r="AGV25" s="62"/>
      <c r="AGW25" s="62"/>
      <c r="AGX25" s="62"/>
      <c r="AGY25" s="62"/>
      <c r="AGZ25" s="62"/>
      <c r="AHA25" s="62"/>
      <c r="AHB25" s="62"/>
      <c r="AHC25" s="62"/>
      <c r="AHD25" s="62"/>
      <c r="AHE25" s="62"/>
      <c r="AHF25" s="62"/>
      <c r="AHG25" s="62"/>
      <c r="AHH25" s="62"/>
      <c r="AHI25" s="62"/>
      <c r="AHJ25" s="62"/>
      <c r="AHK25" s="62"/>
      <c r="AHL25" s="62"/>
      <c r="AHM25" s="62"/>
      <c r="AHN25" s="62"/>
      <c r="AHO25" s="62"/>
      <c r="AHP25" s="62"/>
      <c r="AHQ25" s="62"/>
      <c r="AHR25" s="62"/>
      <c r="AHS25" s="62"/>
      <c r="AHT25" s="62"/>
      <c r="AHU25" s="62"/>
      <c r="AHV25" s="62"/>
      <c r="AHW25" s="62"/>
      <c r="AHX25" s="62"/>
      <c r="AHY25" s="62"/>
      <c r="AHZ25" s="62"/>
      <c r="AIA25" s="62"/>
      <c r="AIB25" s="62"/>
      <c r="AIC25" s="62"/>
      <c r="AID25" s="62"/>
      <c r="AIE25" s="62"/>
      <c r="AIF25" s="62"/>
      <c r="AIG25" s="62"/>
      <c r="AIH25" s="62"/>
      <c r="AII25" s="62"/>
      <c r="AIJ25" s="62"/>
      <c r="AIK25" s="62"/>
      <c r="AIL25" s="62"/>
      <c r="AIM25" s="62"/>
      <c r="AIN25" s="62"/>
      <c r="AIO25" s="62"/>
      <c r="AIP25" s="62"/>
      <c r="AIQ25" s="62"/>
      <c r="AIR25" s="62"/>
      <c r="AIS25" s="62"/>
      <c r="AIT25" s="62"/>
      <c r="AIU25" s="62"/>
      <c r="AIV25" s="62"/>
      <c r="AIW25" s="62"/>
      <c r="AIX25" s="62"/>
      <c r="AIY25" s="62"/>
      <c r="AIZ25" s="62"/>
      <c r="AJA25" s="62"/>
      <c r="AJB25" s="62"/>
      <c r="AJC25" s="62"/>
      <c r="AJD25" s="62"/>
      <c r="AJE25" s="62"/>
      <c r="AJF25" s="62"/>
      <c r="AJG25" s="62"/>
      <c r="AJH25" s="62"/>
      <c r="AJI25" s="62"/>
      <c r="AJJ25" s="62"/>
      <c r="AJK25" s="62"/>
      <c r="AJL25" s="62"/>
      <c r="AJM25" s="62"/>
      <c r="AJN25" s="62"/>
      <c r="AJO25" s="62"/>
      <c r="AJP25" s="62"/>
      <c r="AJQ25" s="62"/>
      <c r="AJR25" s="62"/>
      <c r="AJS25" s="62"/>
      <c r="AJT25" s="62"/>
      <c r="AJU25" s="62"/>
      <c r="AJV25" s="62"/>
      <c r="AJW25" s="62"/>
      <c r="AJX25" s="62"/>
      <c r="AJY25" s="62"/>
      <c r="AJZ25" s="62"/>
      <c r="AKA25" s="62"/>
      <c r="AKB25" s="62"/>
      <c r="AKC25" s="62"/>
      <c r="AKD25" s="62"/>
      <c r="AKE25" s="62"/>
      <c r="AKF25" s="62"/>
      <c r="AKG25" s="62"/>
      <c r="AKH25" s="62"/>
      <c r="AKI25" s="62"/>
      <c r="AKJ25" s="62"/>
      <c r="AKK25" s="62"/>
      <c r="AKL25" s="62"/>
      <c r="AKM25" s="62"/>
      <c r="AKN25" s="62"/>
      <c r="AKO25" s="62"/>
      <c r="AKP25" s="62"/>
      <c r="AKQ25" s="62"/>
      <c r="AKR25" s="62"/>
      <c r="AKS25" s="62"/>
      <c r="AKT25" s="62"/>
      <c r="AKU25" s="62"/>
      <c r="AKV25" s="62"/>
      <c r="AKW25" s="62"/>
      <c r="AKX25" s="62"/>
      <c r="AKY25" s="62"/>
      <c r="AKZ25" s="62"/>
      <c r="ALA25" s="62"/>
      <c r="ALB25" s="62"/>
      <c r="ALC25" s="62"/>
      <c r="ALD25" s="62"/>
      <c r="ALE25" s="62"/>
      <c r="ALF25" s="62"/>
      <c r="ALG25" s="62"/>
      <c r="ALH25" s="62"/>
      <c r="ALI25" s="62"/>
      <c r="ALJ25" s="62"/>
      <c r="ALK25" s="62"/>
      <c r="ALL25" s="62"/>
      <c r="ALM25" s="62"/>
      <c r="ALN25" s="62"/>
      <c r="ALO25" s="62"/>
      <c r="ALP25" s="62"/>
      <c r="ALQ25" s="62"/>
      <c r="ALR25" s="62"/>
      <c r="ALS25" s="62"/>
      <c r="ALT25" s="62"/>
      <c r="ALU25" s="62"/>
      <c r="ALV25" s="62"/>
      <c r="ALW25" s="62"/>
      <c r="ALX25" s="62"/>
      <c r="ALY25" s="62"/>
      <c r="ALZ25" s="62"/>
      <c r="AMA25" s="62"/>
      <c r="AMB25" s="62"/>
      <c r="AMC25" s="62"/>
      <c r="AMD25" s="62"/>
      <c r="AME25" s="62"/>
      <c r="AMF25" s="62"/>
      <c r="AMG25" s="62"/>
      <c r="AMH25" s="62"/>
      <c r="AMI25" s="62"/>
      <c r="AMJ25" s="62"/>
      <c r="AMK25" s="62"/>
    </row>
    <row r="26" spans="1:1025" s="26" customFormat="1" ht="24" customHeight="1" x14ac:dyDescent="0.3">
      <c r="A26" s="42" t="s">
        <v>182</v>
      </c>
      <c r="B26" s="746" t="s">
        <v>183</v>
      </c>
      <c r="C26" s="746"/>
      <c r="D26" s="746"/>
      <c r="E26" s="746"/>
      <c r="F26" s="746"/>
      <c r="G26" s="139">
        <f>Encargos!C57</f>
        <v>0.76400000000000001</v>
      </c>
      <c r="H26" s="38"/>
    </row>
    <row r="27" spans="1:1025" s="26" customFormat="1" ht="12.75" customHeight="1" x14ac:dyDescent="0.3">
      <c r="A27" s="146"/>
      <c r="G27" s="27"/>
      <c r="H27" s="38"/>
    </row>
    <row r="28" spans="1:1025" s="26" customFormat="1" ht="24.75" customHeight="1" x14ac:dyDescent="0.3">
      <c r="A28" s="111">
        <v>1</v>
      </c>
      <c r="B28" s="746" t="s">
        <v>184</v>
      </c>
      <c r="C28" s="746"/>
      <c r="D28" s="746"/>
      <c r="E28" s="746"/>
      <c r="F28" s="746"/>
      <c r="G28" s="147">
        <f>G29*G30</f>
        <v>0.06</v>
      </c>
      <c r="H28" s="38"/>
    </row>
    <row r="29" spans="1:1025" s="26" customFormat="1" ht="24.75" customHeight="1" x14ac:dyDescent="0.3">
      <c r="A29" s="111">
        <v>2</v>
      </c>
      <c r="B29" s="746" t="s">
        <v>185</v>
      </c>
      <c r="C29" s="746"/>
      <c r="D29" s="746"/>
      <c r="E29" s="746"/>
      <c r="F29" s="746"/>
      <c r="G29" s="148">
        <v>0.03</v>
      </c>
      <c r="H29" s="38" t="s">
        <v>186</v>
      </c>
    </row>
    <row r="30" spans="1:1025" s="26" customFormat="1" ht="24.75" customHeight="1" x14ac:dyDescent="0.3">
      <c r="A30" s="111">
        <v>3</v>
      </c>
      <c r="B30" s="746" t="s">
        <v>187</v>
      </c>
      <c r="C30" s="746"/>
      <c r="D30" s="746"/>
      <c r="E30" s="746"/>
      <c r="F30" s="746"/>
      <c r="G30" s="149">
        <v>2</v>
      </c>
      <c r="H30" s="38" t="s">
        <v>188</v>
      </c>
    </row>
    <row r="31" spans="1:1025" s="26" customFormat="1" ht="12.75" customHeight="1" x14ac:dyDescent="0.3">
      <c r="A31" s="146"/>
      <c r="B31" s="118"/>
      <c r="C31" s="118"/>
      <c r="D31" s="118"/>
      <c r="E31" s="118"/>
      <c r="F31" s="118"/>
      <c r="H31" s="38"/>
    </row>
    <row r="32" spans="1:1025" s="62" customFormat="1" ht="24.75" customHeight="1" x14ac:dyDescent="0.3">
      <c r="A32" s="747" t="s">
        <v>189</v>
      </c>
      <c r="B32" s="747"/>
      <c r="C32" s="747"/>
      <c r="D32" s="747"/>
      <c r="E32" s="747"/>
      <c r="F32" s="747"/>
      <c r="G32" s="747"/>
      <c r="H32" s="38"/>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6"/>
      <c r="LY32" s="26"/>
      <c r="LZ32" s="26"/>
      <c r="MA32" s="26"/>
      <c r="MB32" s="26"/>
      <c r="MC32" s="26"/>
      <c r="MD32" s="26"/>
      <c r="ME32" s="26"/>
      <c r="MF32" s="26"/>
      <c r="MG32" s="26"/>
      <c r="MH32" s="26"/>
      <c r="MI32" s="26"/>
      <c r="MJ32" s="26"/>
      <c r="MK32" s="26"/>
      <c r="ML32" s="26"/>
      <c r="MM32" s="26"/>
      <c r="MN32" s="26"/>
      <c r="MO32" s="26"/>
      <c r="MP32" s="26"/>
      <c r="MQ32" s="26"/>
      <c r="MR32" s="26"/>
      <c r="MS32" s="26"/>
      <c r="MT32" s="26"/>
      <c r="MU32" s="26"/>
      <c r="MV32" s="26"/>
      <c r="MW32" s="26"/>
      <c r="MX32" s="26"/>
      <c r="MY32" s="26"/>
      <c r="MZ32" s="26"/>
      <c r="NA32" s="26"/>
      <c r="NB32" s="26"/>
      <c r="NC32" s="26"/>
      <c r="ND32" s="26"/>
      <c r="NE32" s="26"/>
      <c r="NF32" s="26"/>
      <c r="NG32" s="26"/>
      <c r="NH32" s="26"/>
      <c r="NI32" s="26"/>
      <c r="NJ32" s="26"/>
      <c r="NK32" s="26"/>
      <c r="NL32" s="26"/>
      <c r="NM32" s="26"/>
      <c r="NN32" s="26"/>
      <c r="NO32" s="26"/>
      <c r="NP32" s="26"/>
      <c r="NQ32" s="26"/>
      <c r="NR32" s="26"/>
      <c r="NS32" s="26"/>
      <c r="NT32" s="26"/>
      <c r="NU32" s="26"/>
      <c r="NV32" s="26"/>
      <c r="NW32" s="26"/>
      <c r="NX32" s="26"/>
      <c r="NY32" s="26"/>
      <c r="NZ32" s="26"/>
      <c r="OA32" s="26"/>
      <c r="OB32" s="26"/>
      <c r="OC32" s="26"/>
      <c r="OD32" s="26"/>
      <c r="OE32" s="26"/>
      <c r="OF32" s="26"/>
      <c r="OG32" s="26"/>
      <c r="OH32" s="26"/>
      <c r="OI32" s="26"/>
      <c r="OJ32" s="26"/>
      <c r="OK32" s="26"/>
      <c r="OL32" s="26"/>
      <c r="OM32" s="26"/>
      <c r="ON32" s="26"/>
      <c r="OO32" s="26"/>
      <c r="OP32" s="26"/>
      <c r="OQ32" s="26"/>
      <c r="OR32" s="26"/>
      <c r="OS32" s="26"/>
      <c r="OT32" s="26"/>
      <c r="OU32" s="26"/>
      <c r="OV32" s="26"/>
      <c r="OW32" s="26"/>
      <c r="OX32" s="26"/>
      <c r="OY32" s="26"/>
      <c r="OZ32" s="26"/>
      <c r="PA32" s="26"/>
      <c r="PB32" s="26"/>
      <c r="PC32" s="26"/>
      <c r="PD32" s="26"/>
      <c r="PE32" s="26"/>
      <c r="PF32" s="26"/>
      <c r="PG32" s="26"/>
      <c r="PH32" s="26"/>
      <c r="PI32" s="26"/>
      <c r="PJ32" s="26"/>
      <c r="PK32" s="26"/>
      <c r="PL32" s="26"/>
      <c r="PM32" s="26"/>
      <c r="PN32" s="26"/>
      <c r="PO32" s="26"/>
      <c r="PP32" s="26"/>
      <c r="PQ32" s="26"/>
      <c r="PR32" s="26"/>
      <c r="PS32" s="26"/>
      <c r="PT32" s="26"/>
      <c r="PU32" s="26"/>
      <c r="PV32" s="26"/>
      <c r="PW32" s="26"/>
      <c r="PX32" s="26"/>
      <c r="PY32" s="26"/>
      <c r="PZ32" s="26"/>
      <c r="QA32" s="26"/>
      <c r="QB32" s="26"/>
      <c r="QC32" s="26"/>
      <c r="QD32" s="26"/>
      <c r="QE32" s="26"/>
      <c r="QF32" s="26"/>
      <c r="QG32" s="26"/>
      <c r="QH32" s="26"/>
      <c r="QI32" s="26"/>
      <c r="QJ32" s="26"/>
      <c r="QK32" s="26"/>
      <c r="QL32" s="26"/>
      <c r="QM32" s="26"/>
      <c r="QN32" s="26"/>
      <c r="QO32" s="26"/>
      <c r="QP32" s="26"/>
      <c r="QQ32" s="26"/>
      <c r="QR32" s="26"/>
      <c r="QS32" s="26"/>
      <c r="QT32" s="26"/>
      <c r="QU32" s="26"/>
      <c r="QV32" s="26"/>
      <c r="QW32" s="26"/>
      <c r="QX32" s="26"/>
      <c r="QY32" s="26"/>
      <c r="QZ32" s="26"/>
      <c r="RA32" s="26"/>
      <c r="RB32" s="26"/>
      <c r="RC32" s="26"/>
      <c r="RD32" s="26"/>
      <c r="RE32" s="26"/>
      <c r="RF32" s="26"/>
      <c r="RG32" s="26"/>
      <c r="RH32" s="26"/>
      <c r="RI32" s="26"/>
      <c r="RJ32" s="26"/>
      <c r="RK32" s="26"/>
      <c r="RL32" s="26"/>
      <c r="RM32" s="26"/>
      <c r="RN32" s="26"/>
      <c r="RO32" s="26"/>
      <c r="RP32" s="26"/>
      <c r="RQ32" s="26"/>
      <c r="RR32" s="26"/>
      <c r="RS32" s="26"/>
      <c r="RT32" s="26"/>
      <c r="RU32" s="26"/>
      <c r="RV32" s="26"/>
      <c r="RW32" s="26"/>
      <c r="RX32" s="26"/>
      <c r="RY32" s="26"/>
      <c r="RZ32" s="26"/>
      <c r="SA32" s="26"/>
      <c r="SB32" s="26"/>
      <c r="SC32" s="26"/>
      <c r="SD32" s="26"/>
      <c r="SE32" s="26"/>
      <c r="SF32" s="26"/>
      <c r="SG32" s="26"/>
      <c r="SH32" s="26"/>
      <c r="SI32" s="26"/>
      <c r="SJ32" s="26"/>
      <c r="SK32" s="26"/>
      <c r="SL32" s="26"/>
      <c r="SM32" s="26"/>
      <c r="SN32" s="26"/>
      <c r="SO32" s="26"/>
      <c r="SP32" s="26"/>
      <c r="SQ32" s="26"/>
      <c r="SR32" s="26"/>
      <c r="SS32" s="26"/>
      <c r="ST32" s="26"/>
      <c r="SU32" s="26"/>
      <c r="SV32" s="26"/>
      <c r="SW32" s="26"/>
      <c r="SX32" s="26"/>
      <c r="SY32" s="26"/>
      <c r="SZ32" s="26"/>
      <c r="TA32" s="26"/>
      <c r="TB32" s="26"/>
      <c r="TC32" s="26"/>
      <c r="TD32" s="26"/>
      <c r="TE32" s="26"/>
      <c r="TF32" s="26"/>
      <c r="TG32" s="26"/>
      <c r="TH32" s="26"/>
      <c r="TI32" s="26"/>
      <c r="TJ32" s="26"/>
      <c r="TK32" s="26"/>
      <c r="TL32" s="26"/>
      <c r="TM32" s="26"/>
      <c r="TN32" s="26"/>
      <c r="TO32" s="26"/>
      <c r="TP32" s="26"/>
      <c r="TQ32" s="26"/>
      <c r="TR32" s="26"/>
      <c r="TS32" s="26"/>
      <c r="TT32" s="26"/>
      <c r="TU32" s="26"/>
      <c r="TV32" s="26"/>
      <c r="TW32" s="26"/>
      <c r="TX32" s="26"/>
      <c r="TY32" s="26"/>
      <c r="TZ32" s="26"/>
      <c r="UA32" s="26"/>
      <c r="UB32" s="26"/>
      <c r="UC32" s="26"/>
      <c r="UD32" s="26"/>
      <c r="UE32" s="26"/>
      <c r="UF32" s="26"/>
      <c r="UG32" s="26"/>
      <c r="UH32" s="26"/>
      <c r="UI32" s="26"/>
      <c r="UJ32" s="26"/>
      <c r="UK32" s="26"/>
      <c r="UL32" s="26"/>
      <c r="UM32" s="26"/>
      <c r="UN32" s="26"/>
      <c r="UO32" s="26"/>
      <c r="UP32" s="26"/>
      <c r="UQ32" s="26"/>
      <c r="UR32" s="26"/>
      <c r="US32" s="26"/>
      <c r="UT32" s="26"/>
      <c r="UU32" s="26"/>
      <c r="UV32" s="26"/>
      <c r="UW32" s="26"/>
      <c r="UX32" s="26"/>
      <c r="UY32" s="26"/>
      <c r="UZ32" s="26"/>
      <c r="VA32" s="26"/>
      <c r="VB32" s="26"/>
      <c r="VC32" s="26"/>
      <c r="VD32" s="26"/>
      <c r="VE32" s="26"/>
      <c r="VF32" s="26"/>
      <c r="VG32" s="26"/>
      <c r="VH32" s="26"/>
      <c r="VI32" s="26"/>
      <c r="VJ32" s="26"/>
      <c r="VK32" s="26"/>
      <c r="VL32" s="26"/>
      <c r="VM32" s="26"/>
      <c r="VN32" s="26"/>
      <c r="VO32" s="26"/>
      <c r="VP32" s="26"/>
      <c r="VQ32" s="26"/>
      <c r="VR32" s="26"/>
      <c r="VS32" s="26"/>
      <c r="VT32" s="26"/>
      <c r="VU32" s="26"/>
      <c r="VV32" s="26"/>
      <c r="VW32" s="26"/>
      <c r="VX32" s="26"/>
      <c r="VY32" s="26"/>
      <c r="VZ32" s="26"/>
      <c r="WA32" s="26"/>
      <c r="WB32" s="26"/>
      <c r="WC32" s="26"/>
      <c r="WD32" s="26"/>
      <c r="WE32" s="26"/>
      <c r="WF32" s="26"/>
      <c r="WG32" s="26"/>
      <c r="WH32" s="26"/>
      <c r="WI32" s="26"/>
      <c r="WJ32" s="26"/>
      <c r="WK32" s="26"/>
      <c r="WL32" s="26"/>
      <c r="WM32" s="26"/>
      <c r="WN32" s="26"/>
      <c r="WO32" s="26"/>
      <c r="WP32" s="26"/>
      <c r="WQ32" s="26"/>
      <c r="WR32" s="26"/>
      <c r="WS32" s="26"/>
      <c r="WT32" s="26"/>
      <c r="WU32" s="26"/>
      <c r="WV32" s="26"/>
      <c r="WW32" s="26"/>
      <c r="WX32" s="26"/>
      <c r="WY32" s="26"/>
      <c r="WZ32" s="26"/>
      <c r="XA32" s="26"/>
      <c r="XB32" s="26"/>
      <c r="XC32" s="26"/>
      <c r="XD32" s="26"/>
      <c r="XE32" s="26"/>
      <c r="XF32" s="26"/>
      <c r="XG32" s="26"/>
      <c r="XH32" s="26"/>
      <c r="XI32" s="26"/>
      <c r="XJ32" s="26"/>
      <c r="XK32" s="26"/>
      <c r="XL32" s="26"/>
      <c r="XM32" s="26"/>
      <c r="XN32" s="26"/>
      <c r="XO32" s="26"/>
      <c r="XP32" s="26"/>
      <c r="XQ32" s="26"/>
      <c r="XR32" s="26"/>
      <c r="XS32" s="26"/>
      <c r="XT32" s="26"/>
      <c r="XU32" s="26"/>
      <c r="XV32" s="26"/>
      <c r="XW32" s="26"/>
      <c r="XX32" s="26"/>
      <c r="XY32" s="26"/>
      <c r="XZ32" s="26"/>
      <c r="YA32" s="26"/>
      <c r="YB32" s="26"/>
      <c r="YC32" s="26"/>
      <c r="YD32" s="26"/>
      <c r="YE32" s="26"/>
      <c r="YF32" s="26"/>
      <c r="YG32" s="26"/>
      <c r="YH32" s="26"/>
      <c r="YI32" s="26"/>
      <c r="YJ32" s="26"/>
      <c r="YK32" s="26"/>
      <c r="YL32" s="26"/>
      <c r="YM32" s="26"/>
      <c r="YN32" s="26"/>
      <c r="YO32" s="26"/>
      <c r="YP32" s="26"/>
      <c r="YQ32" s="26"/>
      <c r="YR32" s="26"/>
      <c r="YS32" s="26"/>
      <c r="YT32" s="26"/>
      <c r="YU32" s="26"/>
      <c r="YV32" s="26"/>
      <c r="YW32" s="26"/>
      <c r="YX32" s="26"/>
      <c r="YY32" s="26"/>
      <c r="YZ32" s="26"/>
      <c r="ZA32" s="26"/>
      <c r="ZB32" s="26"/>
      <c r="ZC32" s="26"/>
      <c r="ZD32" s="26"/>
      <c r="ZE32" s="26"/>
      <c r="ZF32" s="26"/>
      <c r="ZG32" s="26"/>
      <c r="ZH32" s="26"/>
      <c r="ZI32" s="26"/>
      <c r="ZJ32" s="26"/>
      <c r="ZK32" s="26"/>
      <c r="ZL32" s="26"/>
      <c r="ZM32" s="26"/>
      <c r="ZN32" s="26"/>
      <c r="ZO32" s="26"/>
      <c r="ZP32" s="26"/>
      <c r="ZQ32" s="26"/>
      <c r="ZR32" s="26"/>
      <c r="ZS32" s="26"/>
      <c r="ZT32" s="26"/>
      <c r="ZU32" s="26"/>
      <c r="ZV32" s="26"/>
      <c r="ZW32" s="26"/>
      <c r="ZX32" s="26"/>
      <c r="ZY32" s="26"/>
      <c r="ZZ32" s="26"/>
      <c r="AAA32" s="26"/>
      <c r="AAB32" s="26"/>
      <c r="AAC32" s="26"/>
      <c r="AAD32" s="26"/>
      <c r="AAE32" s="26"/>
      <c r="AAF32" s="26"/>
      <c r="AAG32" s="26"/>
      <c r="AAH32" s="26"/>
      <c r="AAI32" s="26"/>
      <c r="AAJ32" s="26"/>
      <c r="AAK32" s="26"/>
      <c r="AAL32" s="26"/>
      <c r="AAM32" s="26"/>
      <c r="AAN32" s="26"/>
      <c r="AAO32" s="26"/>
      <c r="AAP32" s="26"/>
      <c r="AAQ32" s="26"/>
      <c r="AAR32" s="26"/>
      <c r="AAS32" s="26"/>
      <c r="AAT32" s="26"/>
      <c r="AAU32" s="26"/>
      <c r="AAV32" s="26"/>
      <c r="AAW32" s="26"/>
      <c r="AAX32" s="26"/>
      <c r="AAY32" s="26"/>
      <c r="AAZ32" s="26"/>
      <c r="ABA32" s="26"/>
      <c r="ABB32" s="26"/>
      <c r="ABC32" s="26"/>
      <c r="ABD32" s="26"/>
      <c r="ABE32" s="26"/>
      <c r="ABF32" s="26"/>
      <c r="ABG32" s="26"/>
      <c r="ABH32" s="26"/>
      <c r="ABI32" s="26"/>
      <c r="ABJ32" s="26"/>
      <c r="ABK32" s="26"/>
      <c r="ABL32" s="26"/>
      <c r="ABM32" s="26"/>
      <c r="ABN32" s="26"/>
      <c r="ABO32" s="26"/>
      <c r="ABP32" s="26"/>
      <c r="ABQ32" s="26"/>
      <c r="ABR32" s="26"/>
      <c r="ABS32" s="26"/>
      <c r="ABT32" s="26"/>
      <c r="ABU32" s="26"/>
      <c r="ABV32" s="26"/>
      <c r="ABW32" s="26"/>
      <c r="ABX32" s="26"/>
      <c r="ABY32" s="26"/>
      <c r="ABZ32" s="26"/>
      <c r="ACA32" s="26"/>
      <c r="ACB32" s="26"/>
      <c r="ACC32" s="26"/>
      <c r="ACD32" s="26"/>
      <c r="ACE32" s="26"/>
      <c r="ACF32" s="26"/>
      <c r="ACG32" s="26"/>
      <c r="ACH32" s="26"/>
      <c r="ACI32" s="26"/>
      <c r="ACJ32" s="26"/>
      <c r="ACK32" s="26"/>
      <c r="ACL32" s="26"/>
      <c r="ACM32" s="26"/>
      <c r="ACN32" s="26"/>
      <c r="ACO32" s="26"/>
      <c r="ACP32" s="26"/>
      <c r="ACQ32" s="26"/>
      <c r="ACR32" s="26"/>
      <c r="ACS32" s="26"/>
      <c r="ACT32" s="26"/>
      <c r="ACU32" s="26"/>
      <c r="ACV32" s="26"/>
      <c r="ACW32" s="26"/>
      <c r="ACX32" s="26"/>
      <c r="ACY32" s="26"/>
      <c r="ACZ32" s="26"/>
      <c r="ADA32" s="26"/>
      <c r="ADB32" s="26"/>
      <c r="ADC32" s="26"/>
      <c r="ADD32" s="26"/>
      <c r="ADE32" s="26"/>
      <c r="ADF32" s="26"/>
      <c r="ADG32" s="26"/>
      <c r="ADH32" s="26"/>
      <c r="ADI32" s="26"/>
      <c r="ADJ32" s="26"/>
      <c r="ADK32" s="26"/>
      <c r="ADL32" s="26"/>
      <c r="ADM32" s="26"/>
      <c r="ADN32" s="26"/>
      <c r="ADO32" s="26"/>
      <c r="ADP32" s="26"/>
      <c r="ADQ32" s="26"/>
      <c r="ADR32" s="26"/>
      <c r="ADS32" s="26"/>
      <c r="ADT32" s="26"/>
      <c r="ADU32" s="26"/>
      <c r="ADV32" s="26"/>
      <c r="ADW32" s="26"/>
      <c r="ADX32" s="26"/>
      <c r="ADY32" s="26"/>
      <c r="ADZ32" s="26"/>
      <c r="AEA32" s="26"/>
      <c r="AEB32" s="26"/>
      <c r="AEC32" s="26"/>
      <c r="AED32" s="26"/>
      <c r="AEE32" s="26"/>
      <c r="AEF32" s="26"/>
      <c r="AEG32" s="26"/>
      <c r="AEH32" s="26"/>
      <c r="AEI32" s="26"/>
      <c r="AEJ32" s="26"/>
      <c r="AEK32" s="26"/>
      <c r="AEL32" s="26"/>
      <c r="AEM32" s="26"/>
      <c r="AEN32" s="26"/>
      <c r="AEO32" s="26"/>
      <c r="AEP32" s="26"/>
      <c r="AEQ32" s="26"/>
      <c r="AER32" s="26"/>
      <c r="AES32" s="26"/>
      <c r="AET32" s="26"/>
      <c r="AEU32" s="26"/>
      <c r="AEV32" s="26"/>
      <c r="AEW32" s="26"/>
      <c r="AEX32" s="26"/>
      <c r="AEY32" s="26"/>
      <c r="AEZ32" s="26"/>
      <c r="AFA32" s="26"/>
      <c r="AFB32" s="26"/>
      <c r="AFC32" s="26"/>
      <c r="AFD32" s="26"/>
      <c r="AFE32" s="26"/>
      <c r="AFF32" s="26"/>
      <c r="AFG32" s="26"/>
      <c r="AFH32" s="26"/>
      <c r="AFI32" s="26"/>
      <c r="AFJ32" s="26"/>
      <c r="AFK32" s="26"/>
      <c r="AFL32" s="26"/>
      <c r="AFM32" s="26"/>
      <c r="AFN32" s="26"/>
      <c r="AFO32" s="26"/>
      <c r="AFP32" s="26"/>
      <c r="AFQ32" s="26"/>
      <c r="AFR32" s="26"/>
      <c r="AFS32" s="26"/>
      <c r="AFT32" s="26"/>
      <c r="AFU32" s="26"/>
      <c r="AFV32" s="26"/>
      <c r="AFW32" s="26"/>
      <c r="AFX32" s="26"/>
      <c r="AFY32" s="26"/>
      <c r="AFZ32" s="26"/>
      <c r="AGA32" s="26"/>
      <c r="AGB32" s="26"/>
      <c r="AGC32" s="26"/>
      <c r="AGD32" s="26"/>
      <c r="AGE32" s="26"/>
      <c r="AGF32" s="26"/>
      <c r="AGG32" s="26"/>
      <c r="AGH32" s="26"/>
      <c r="AGI32" s="26"/>
      <c r="AGJ32" s="26"/>
      <c r="AGK32" s="26"/>
      <c r="AGL32" s="26"/>
      <c r="AGM32" s="26"/>
      <c r="AGN32" s="26"/>
      <c r="AGO32" s="26"/>
      <c r="AGP32" s="26"/>
      <c r="AGQ32" s="26"/>
      <c r="AGR32" s="26"/>
      <c r="AGS32" s="26"/>
      <c r="AGT32" s="26"/>
      <c r="AGU32" s="26"/>
      <c r="AGV32" s="26"/>
      <c r="AGW32" s="26"/>
      <c r="AGX32" s="26"/>
      <c r="AGY32" s="26"/>
      <c r="AGZ32" s="26"/>
      <c r="AHA32" s="26"/>
      <c r="AHB32" s="26"/>
      <c r="AHC32" s="26"/>
      <c r="AHD32" s="26"/>
      <c r="AHE32" s="26"/>
      <c r="AHF32" s="26"/>
      <c r="AHG32" s="26"/>
      <c r="AHH32" s="26"/>
      <c r="AHI32" s="26"/>
      <c r="AHJ32" s="26"/>
      <c r="AHK32" s="26"/>
      <c r="AHL32" s="26"/>
      <c r="AHM32" s="26"/>
      <c r="AHN32" s="26"/>
      <c r="AHO32" s="26"/>
      <c r="AHP32" s="26"/>
      <c r="AHQ32" s="26"/>
      <c r="AHR32" s="26"/>
      <c r="AHS32" s="26"/>
      <c r="AHT32" s="26"/>
      <c r="AHU32" s="26"/>
      <c r="AHV32" s="26"/>
      <c r="AHW32" s="26"/>
      <c r="AHX32" s="26"/>
      <c r="AHY32" s="26"/>
      <c r="AHZ32" s="26"/>
      <c r="AIA32" s="26"/>
      <c r="AIB32" s="26"/>
      <c r="AIC32" s="26"/>
      <c r="AID32" s="26"/>
      <c r="AIE32" s="26"/>
      <c r="AIF32" s="26"/>
      <c r="AIG32" s="26"/>
      <c r="AIH32" s="26"/>
      <c r="AII32" s="26"/>
      <c r="AIJ32" s="26"/>
      <c r="AIK32" s="26"/>
      <c r="AIL32" s="26"/>
      <c r="AIM32" s="26"/>
      <c r="AIN32" s="26"/>
      <c r="AIO32" s="26"/>
      <c r="AIP32" s="26"/>
      <c r="AIQ32" s="26"/>
      <c r="AIR32" s="26"/>
      <c r="AIS32" s="26"/>
      <c r="AIT32" s="26"/>
      <c r="AIU32" s="26"/>
      <c r="AIV32" s="26"/>
      <c r="AIW32" s="26"/>
      <c r="AIX32" s="26"/>
      <c r="AIY32" s="26"/>
      <c r="AIZ32" s="26"/>
      <c r="AJA32" s="26"/>
      <c r="AJB32" s="26"/>
      <c r="AJC32" s="26"/>
      <c r="AJD32" s="26"/>
      <c r="AJE32" s="26"/>
      <c r="AJF32" s="26"/>
      <c r="AJG32" s="26"/>
      <c r="AJH32" s="26"/>
      <c r="AJI32" s="26"/>
      <c r="AJJ32" s="26"/>
      <c r="AJK32" s="26"/>
      <c r="AJL32" s="26"/>
      <c r="AJM32" s="26"/>
      <c r="AJN32" s="26"/>
      <c r="AJO32" s="26"/>
      <c r="AJP32" s="26"/>
      <c r="AJQ32" s="26"/>
      <c r="AJR32" s="26"/>
      <c r="AJS32" s="26"/>
      <c r="AJT32" s="26"/>
      <c r="AJU32" s="26"/>
      <c r="AJV32" s="26"/>
      <c r="AJW32" s="26"/>
      <c r="AJX32" s="26"/>
      <c r="AJY32" s="26"/>
      <c r="AJZ32" s="26"/>
      <c r="AKA32" s="26"/>
      <c r="AKB32" s="26"/>
      <c r="AKC32" s="26"/>
      <c r="AKD32" s="26"/>
      <c r="AKE32" s="26"/>
      <c r="AKF32" s="26"/>
      <c r="AKG32" s="26"/>
      <c r="AKH32" s="26"/>
      <c r="AKI32" s="26"/>
      <c r="AKJ32" s="26"/>
      <c r="AKK32" s="26"/>
      <c r="AKL32" s="26"/>
      <c r="AKM32" s="26"/>
      <c r="AKN32" s="26"/>
      <c r="AKO32" s="26"/>
      <c r="AKP32" s="26"/>
      <c r="AKQ32" s="26"/>
      <c r="AKR32" s="26"/>
      <c r="AKS32" s="26"/>
      <c r="AKT32" s="26"/>
      <c r="AKU32" s="26"/>
      <c r="AKV32" s="26"/>
      <c r="AKW32" s="26"/>
      <c r="AKX32" s="26"/>
      <c r="AKY32" s="26"/>
      <c r="AKZ32" s="26"/>
      <c r="ALA32" s="26"/>
      <c r="ALB32" s="26"/>
      <c r="ALC32" s="26"/>
      <c r="ALD32" s="26"/>
      <c r="ALE32" s="26"/>
      <c r="ALF32" s="26"/>
      <c r="ALG32" s="26"/>
      <c r="ALH32" s="26"/>
      <c r="ALI32" s="26"/>
      <c r="ALJ32" s="26"/>
      <c r="ALK32" s="26"/>
      <c r="ALL32" s="26"/>
      <c r="ALM32" s="26"/>
      <c r="ALN32" s="26"/>
      <c r="ALO32" s="26"/>
      <c r="ALP32" s="26"/>
      <c r="ALQ32" s="26"/>
      <c r="ALR32" s="26"/>
      <c r="ALS32" s="26"/>
      <c r="ALT32" s="26"/>
      <c r="ALU32" s="26"/>
      <c r="ALV32" s="26"/>
      <c r="ALW32" s="26"/>
      <c r="ALX32" s="26"/>
      <c r="ALY32" s="26"/>
      <c r="ALZ32" s="26"/>
      <c r="AMA32" s="26"/>
      <c r="AMB32" s="26"/>
      <c r="AMC32" s="26"/>
      <c r="AMD32" s="26"/>
      <c r="AME32" s="26"/>
      <c r="AMF32" s="26"/>
      <c r="AMG32" s="26"/>
      <c r="AMH32" s="26"/>
      <c r="AMI32" s="26"/>
      <c r="AMJ32" s="26"/>
      <c r="AMK32" s="26"/>
    </row>
    <row r="33" spans="1:1025" s="26" customFormat="1" ht="24.75" customHeight="1" x14ac:dyDescent="0.3">
      <c r="A33" s="111">
        <v>1</v>
      </c>
      <c r="B33" s="746" t="s">
        <v>190</v>
      </c>
      <c r="C33" s="746"/>
      <c r="D33" s="746"/>
      <c r="E33" s="746"/>
      <c r="F33" s="746"/>
      <c r="G33" s="128">
        <v>1518</v>
      </c>
      <c r="H33" s="38" t="s">
        <v>191</v>
      </c>
    </row>
    <row r="34" spans="1:1025" s="26" customFormat="1" ht="12.75" customHeight="1" x14ac:dyDescent="0.3">
      <c r="A34" s="150"/>
      <c r="B34" s="151"/>
      <c r="C34" s="151"/>
      <c r="D34" s="151"/>
      <c r="E34" s="151"/>
      <c r="F34" s="151"/>
      <c r="G34" s="152"/>
      <c r="H34" s="38"/>
    </row>
    <row r="35" spans="1:1025" s="26" customFormat="1" ht="24.75" customHeight="1" x14ac:dyDescent="0.3">
      <c r="A35" s="747" t="s">
        <v>192</v>
      </c>
      <c r="B35" s="747"/>
      <c r="C35" s="747"/>
      <c r="D35" s="747"/>
      <c r="E35" s="747"/>
      <c r="F35" s="747"/>
      <c r="G35" s="747"/>
      <c r="H35" s="38"/>
      <c r="K35" s="118"/>
      <c r="L35" s="118"/>
      <c r="M35" s="118"/>
      <c r="N35" s="118"/>
      <c r="O35" s="118"/>
      <c r="P35" s="118"/>
      <c r="Q35" s="118"/>
      <c r="R35" s="118"/>
      <c r="S35" s="118"/>
      <c r="T35" s="118"/>
      <c r="U35" s="118"/>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2"/>
      <c r="LQ35" s="62"/>
      <c r="LR35" s="62"/>
      <c r="LS35" s="62"/>
      <c r="LT35" s="62"/>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62"/>
      <c r="ON35" s="62"/>
      <c r="OO35" s="62"/>
      <c r="OP35" s="62"/>
      <c r="OQ35" s="62"/>
      <c r="OR35" s="62"/>
      <c r="OS35" s="62"/>
      <c r="OT35" s="62"/>
      <c r="OU35" s="62"/>
      <c r="OV35" s="62"/>
      <c r="OW35" s="62"/>
      <c r="OX35" s="62"/>
      <c r="OY35" s="62"/>
      <c r="OZ35" s="62"/>
      <c r="PA35" s="62"/>
      <c r="PB35" s="62"/>
      <c r="PC35" s="62"/>
      <c r="PD35" s="62"/>
      <c r="PE35" s="62"/>
      <c r="PF35" s="62"/>
      <c r="PG35" s="62"/>
      <c r="PH35" s="62"/>
      <c r="PI35" s="62"/>
      <c r="PJ35" s="62"/>
      <c r="PK35" s="62"/>
      <c r="PL35" s="62"/>
      <c r="PM35" s="62"/>
      <c r="PN35" s="62"/>
      <c r="PO35" s="62"/>
      <c r="PP35" s="62"/>
      <c r="PQ35" s="62"/>
      <c r="PR35" s="62"/>
      <c r="PS35" s="62"/>
      <c r="PT35" s="62"/>
      <c r="PU35" s="62"/>
      <c r="PV35" s="62"/>
      <c r="PW35" s="62"/>
      <c r="PX35" s="62"/>
      <c r="PY35" s="62"/>
      <c r="PZ35" s="62"/>
      <c r="QA35" s="62"/>
      <c r="QB35" s="62"/>
      <c r="QC35" s="62"/>
      <c r="QD35" s="62"/>
      <c r="QE35" s="62"/>
      <c r="QF35" s="62"/>
      <c r="QG35" s="62"/>
      <c r="QH35" s="62"/>
      <c r="QI35" s="62"/>
      <c r="QJ35" s="62"/>
      <c r="QK35" s="62"/>
      <c r="QL35" s="62"/>
      <c r="QM35" s="62"/>
      <c r="QN35" s="62"/>
      <c r="QO35" s="62"/>
      <c r="QP35" s="62"/>
      <c r="QQ35" s="62"/>
      <c r="QR35" s="62"/>
      <c r="QS35" s="62"/>
      <c r="QT35" s="62"/>
      <c r="QU35" s="62"/>
      <c r="QV35" s="62"/>
      <c r="QW35" s="62"/>
      <c r="QX35" s="62"/>
      <c r="QY35" s="62"/>
      <c r="QZ35" s="62"/>
      <c r="RA35" s="62"/>
      <c r="RB35" s="62"/>
      <c r="RC35" s="62"/>
      <c r="RD35" s="62"/>
      <c r="RE35" s="62"/>
      <c r="RF35" s="62"/>
      <c r="RG35" s="62"/>
      <c r="RH35" s="62"/>
      <c r="RI35" s="62"/>
      <c r="RJ35" s="62"/>
      <c r="RK35" s="62"/>
      <c r="RL35" s="62"/>
      <c r="RM35" s="62"/>
      <c r="RN35" s="62"/>
      <c r="RO35" s="62"/>
      <c r="RP35" s="62"/>
      <c r="RQ35" s="62"/>
      <c r="RR35" s="62"/>
      <c r="RS35" s="62"/>
      <c r="RT35" s="62"/>
      <c r="RU35" s="62"/>
      <c r="RV35" s="62"/>
      <c r="RW35" s="62"/>
      <c r="RX35" s="62"/>
      <c r="RY35" s="62"/>
      <c r="RZ35" s="62"/>
      <c r="SA35" s="62"/>
      <c r="SB35" s="62"/>
      <c r="SC35" s="62"/>
      <c r="SD35" s="62"/>
      <c r="SE35" s="62"/>
      <c r="SF35" s="62"/>
      <c r="SG35" s="62"/>
      <c r="SH35" s="62"/>
      <c r="SI35" s="62"/>
      <c r="SJ35" s="62"/>
      <c r="SK35" s="62"/>
      <c r="SL35" s="62"/>
      <c r="SM35" s="62"/>
      <c r="SN35" s="62"/>
      <c r="SO35" s="62"/>
      <c r="SP35" s="62"/>
      <c r="SQ35" s="62"/>
      <c r="SR35" s="62"/>
      <c r="SS35" s="62"/>
      <c r="ST35" s="62"/>
      <c r="SU35" s="62"/>
      <c r="SV35" s="62"/>
      <c r="SW35" s="62"/>
      <c r="SX35" s="62"/>
      <c r="SY35" s="62"/>
      <c r="SZ35" s="62"/>
      <c r="TA35" s="62"/>
      <c r="TB35" s="62"/>
      <c r="TC35" s="62"/>
      <c r="TD35" s="62"/>
      <c r="TE35" s="62"/>
      <c r="TF35" s="62"/>
      <c r="TG35" s="62"/>
      <c r="TH35" s="62"/>
      <c r="TI35" s="62"/>
      <c r="TJ35" s="62"/>
      <c r="TK35" s="62"/>
      <c r="TL35" s="62"/>
      <c r="TM35" s="62"/>
      <c r="TN35" s="62"/>
      <c r="TO35" s="62"/>
      <c r="TP35" s="62"/>
      <c r="TQ35" s="62"/>
      <c r="TR35" s="62"/>
      <c r="TS35" s="62"/>
      <c r="TT35" s="62"/>
      <c r="TU35" s="62"/>
      <c r="TV35" s="62"/>
      <c r="TW35" s="62"/>
      <c r="TX35" s="62"/>
      <c r="TY35" s="62"/>
      <c r="TZ35" s="62"/>
      <c r="UA35" s="62"/>
      <c r="UB35" s="62"/>
      <c r="UC35" s="62"/>
      <c r="UD35" s="62"/>
      <c r="UE35" s="62"/>
      <c r="UF35" s="62"/>
      <c r="UG35" s="62"/>
      <c r="UH35" s="62"/>
      <c r="UI35" s="62"/>
      <c r="UJ35" s="62"/>
      <c r="UK35" s="62"/>
      <c r="UL35" s="62"/>
      <c r="UM35" s="62"/>
      <c r="UN35" s="62"/>
      <c r="UO35" s="62"/>
      <c r="UP35" s="62"/>
      <c r="UQ35" s="62"/>
      <c r="UR35" s="62"/>
      <c r="US35" s="62"/>
      <c r="UT35" s="62"/>
      <c r="UU35" s="62"/>
      <c r="UV35" s="62"/>
      <c r="UW35" s="62"/>
      <c r="UX35" s="62"/>
      <c r="UY35" s="62"/>
      <c r="UZ35" s="62"/>
      <c r="VA35" s="62"/>
      <c r="VB35" s="62"/>
      <c r="VC35" s="62"/>
      <c r="VD35" s="62"/>
      <c r="VE35" s="62"/>
      <c r="VF35" s="62"/>
      <c r="VG35" s="62"/>
      <c r="VH35" s="62"/>
      <c r="VI35" s="62"/>
      <c r="VJ35" s="62"/>
      <c r="VK35" s="62"/>
      <c r="VL35" s="62"/>
      <c r="VM35" s="62"/>
      <c r="VN35" s="62"/>
      <c r="VO35" s="62"/>
      <c r="VP35" s="62"/>
      <c r="VQ35" s="62"/>
      <c r="VR35" s="62"/>
      <c r="VS35" s="62"/>
      <c r="VT35" s="62"/>
      <c r="VU35" s="62"/>
      <c r="VV35" s="62"/>
      <c r="VW35" s="62"/>
      <c r="VX35" s="62"/>
      <c r="VY35" s="62"/>
      <c r="VZ35" s="62"/>
      <c r="WA35" s="62"/>
      <c r="WB35" s="62"/>
      <c r="WC35" s="62"/>
      <c r="WD35" s="62"/>
      <c r="WE35" s="62"/>
      <c r="WF35" s="62"/>
      <c r="WG35" s="62"/>
      <c r="WH35" s="62"/>
      <c r="WI35" s="62"/>
      <c r="WJ35" s="62"/>
      <c r="WK35" s="62"/>
      <c r="WL35" s="62"/>
      <c r="WM35" s="62"/>
      <c r="WN35" s="62"/>
      <c r="WO35" s="62"/>
      <c r="WP35" s="62"/>
      <c r="WQ35" s="62"/>
      <c r="WR35" s="62"/>
      <c r="WS35" s="62"/>
      <c r="WT35" s="62"/>
      <c r="WU35" s="62"/>
      <c r="WV35" s="62"/>
      <c r="WW35" s="62"/>
      <c r="WX35" s="62"/>
      <c r="WY35" s="62"/>
      <c r="WZ35" s="62"/>
      <c r="XA35" s="62"/>
      <c r="XB35" s="62"/>
      <c r="XC35" s="62"/>
      <c r="XD35" s="62"/>
      <c r="XE35" s="62"/>
      <c r="XF35" s="62"/>
      <c r="XG35" s="62"/>
      <c r="XH35" s="62"/>
      <c r="XI35" s="62"/>
      <c r="XJ35" s="62"/>
      <c r="XK35" s="62"/>
      <c r="XL35" s="62"/>
      <c r="XM35" s="62"/>
      <c r="XN35" s="62"/>
      <c r="XO35" s="62"/>
      <c r="XP35" s="62"/>
      <c r="XQ35" s="62"/>
      <c r="XR35" s="62"/>
      <c r="XS35" s="62"/>
      <c r="XT35" s="62"/>
      <c r="XU35" s="62"/>
      <c r="XV35" s="62"/>
      <c r="XW35" s="62"/>
      <c r="XX35" s="62"/>
      <c r="XY35" s="62"/>
      <c r="XZ35" s="62"/>
      <c r="YA35" s="62"/>
      <c r="YB35" s="62"/>
      <c r="YC35" s="62"/>
      <c r="YD35" s="62"/>
      <c r="YE35" s="62"/>
      <c r="YF35" s="62"/>
      <c r="YG35" s="62"/>
      <c r="YH35" s="62"/>
      <c r="YI35" s="62"/>
      <c r="YJ35" s="62"/>
      <c r="YK35" s="62"/>
      <c r="YL35" s="62"/>
      <c r="YM35" s="62"/>
      <c r="YN35" s="62"/>
      <c r="YO35" s="62"/>
      <c r="YP35" s="62"/>
      <c r="YQ35" s="62"/>
      <c r="YR35" s="62"/>
      <c r="YS35" s="62"/>
      <c r="YT35" s="62"/>
      <c r="YU35" s="62"/>
      <c r="YV35" s="62"/>
      <c r="YW35" s="62"/>
      <c r="YX35" s="62"/>
      <c r="YY35" s="62"/>
      <c r="YZ35" s="62"/>
      <c r="ZA35" s="62"/>
      <c r="ZB35" s="62"/>
      <c r="ZC35" s="62"/>
      <c r="ZD35" s="62"/>
      <c r="ZE35" s="62"/>
      <c r="ZF35" s="62"/>
      <c r="ZG35" s="62"/>
      <c r="ZH35" s="62"/>
      <c r="ZI35" s="62"/>
      <c r="ZJ35" s="62"/>
      <c r="ZK35" s="62"/>
      <c r="ZL35" s="62"/>
      <c r="ZM35" s="62"/>
      <c r="ZN35" s="62"/>
      <c r="ZO35" s="62"/>
      <c r="ZP35" s="62"/>
      <c r="ZQ35" s="62"/>
      <c r="ZR35" s="62"/>
      <c r="ZS35" s="62"/>
      <c r="ZT35" s="62"/>
      <c r="ZU35" s="62"/>
      <c r="ZV35" s="62"/>
      <c r="ZW35" s="62"/>
      <c r="ZX35" s="62"/>
      <c r="ZY35" s="62"/>
      <c r="ZZ35" s="62"/>
      <c r="AAA35" s="62"/>
      <c r="AAB35" s="62"/>
      <c r="AAC35" s="62"/>
      <c r="AAD35" s="62"/>
      <c r="AAE35" s="62"/>
      <c r="AAF35" s="62"/>
      <c r="AAG35" s="62"/>
      <c r="AAH35" s="62"/>
      <c r="AAI35" s="62"/>
      <c r="AAJ35" s="62"/>
      <c r="AAK35" s="62"/>
      <c r="AAL35" s="62"/>
      <c r="AAM35" s="62"/>
      <c r="AAN35" s="62"/>
      <c r="AAO35" s="62"/>
      <c r="AAP35" s="62"/>
      <c r="AAQ35" s="62"/>
      <c r="AAR35" s="62"/>
      <c r="AAS35" s="62"/>
      <c r="AAT35" s="62"/>
      <c r="AAU35" s="62"/>
      <c r="AAV35" s="62"/>
      <c r="AAW35" s="62"/>
      <c r="AAX35" s="62"/>
      <c r="AAY35" s="62"/>
      <c r="AAZ35" s="62"/>
      <c r="ABA35" s="62"/>
      <c r="ABB35" s="62"/>
      <c r="ABC35" s="62"/>
      <c r="ABD35" s="62"/>
      <c r="ABE35" s="62"/>
      <c r="ABF35" s="62"/>
      <c r="ABG35" s="62"/>
      <c r="ABH35" s="62"/>
      <c r="ABI35" s="62"/>
      <c r="ABJ35" s="62"/>
      <c r="ABK35" s="62"/>
      <c r="ABL35" s="62"/>
      <c r="ABM35" s="62"/>
      <c r="ABN35" s="62"/>
      <c r="ABO35" s="62"/>
      <c r="ABP35" s="62"/>
      <c r="ABQ35" s="62"/>
      <c r="ABR35" s="62"/>
      <c r="ABS35" s="62"/>
      <c r="ABT35" s="62"/>
      <c r="ABU35" s="62"/>
      <c r="ABV35" s="62"/>
      <c r="ABW35" s="62"/>
      <c r="ABX35" s="62"/>
      <c r="ABY35" s="62"/>
      <c r="ABZ35" s="62"/>
      <c r="ACA35" s="62"/>
      <c r="ACB35" s="62"/>
      <c r="ACC35" s="62"/>
      <c r="ACD35" s="62"/>
      <c r="ACE35" s="62"/>
      <c r="ACF35" s="62"/>
      <c r="ACG35" s="62"/>
      <c r="ACH35" s="62"/>
      <c r="ACI35" s="62"/>
      <c r="ACJ35" s="62"/>
      <c r="ACK35" s="62"/>
      <c r="ACL35" s="62"/>
      <c r="ACM35" s="62"/>
      <c r="ACN35" s="62"/>
      <c r="ACO35" s="62"/>
      <c r="ACP35" s="62"/>
      <c r="ACQ35" s="62"/>
      <c r="ACR35" s="62"/>
      <c r="ACS35" s="62"/>
      <c r="ACT35" s="62"/>
      <c r="ACU35" s="62"/>
      <c r="ACV35" s="62"/>
      <c r="ACW35" s="62"/>
      <c r="ACX35" s="62"/>
      <c r="ACY35" s="62"/>
      <c r="ACZ35" s="62"/>
      <c r="ADA35" s="62"/>
      <c r="ADB35" s="62"/>
      <c r="ADC35" s="62"/>
      <c r="ADD35" s="62"/>
      <c r="ADE35" s="62"/>
      <c r="ADF35" s="62"/>
      <c r="ADG35" s="62"/>
      <c r="ADH35" s="62"/>
      <c r="ADI35" s="62"/>
      <c r="ADJ35" s="62"/>
      <c r="ADK35" s="62"/>
      <c r="ADL35" s="62"/>
      <c r="ADM35" s="62"/>
      <c r="ADN35" s="62"/>
      <c r="ADO35" s="62"/>
      <c r="ADP35" s="62"/>
      <c r="ADQ35" s="62"/>
      <c r="ADR35" s="62"/>
      <c r="ADS35" s="62"/>
      <c r="ADT35" s="62"/>
      <c r="ADU35" s="62"/>
      <c r="ADV35" s="62"/>
      <c r="ADW35" s="62"/>
      <c r="ADX35" s="62"/>
      <c r="ADY35" s="62"/>
      <c r="ADZ35" s="62"/>
      <c r="AEA35" s="62"/>
      <c r="AEB35" s="62"/>
      <c r="AEC35" s="62"/>
      <c r="AED35" s="62"/>
      <c r="AEE35" s="62"/>
      <c r="AEF35" s="62"/>
      <c r="AEG35" s="62"/>
      <c r="AEH35" s="62"/>
      <c r="AEI35" s="62"/>
      <c r="AEJ35" s="62"/>
      <c r="AEK35" s="62"/>
      <c r="AEL35" s="62"/>
      <c r="AEM35" s="62"/>
      <c r="AEN35" s="62"/>
      <c r="AEO35" s="62"/>
      <c r="AEP35" s="62"/>
      <c r="AEQ35" s="62"/>
      <c r="AER35" s="62"/>
      <c r="AES35" s="62"/>
      <c r="AET35" s="62"/>
      <c r="AEU35" s="62"/>
      <c r="AEV35" s="62"/>
      <c r="AEW35" s="62"/>
      <c r="AEX35" s="62"/>
      <c r="AEY35" s="62"/>
      <c r="AEZ35" s="62"/>
      <c r="AFA35" s="62"/>
      <c r="AFB35" s="62"/>
      <c r="AFC35" s="62"/>
      <c r="AFD35" s="62"/>
      <c r="AFE35" s="62"/>
      <c r="AFF35" s="62"/>
      <c r="AFG35" s="62"/>
      <c r="AFH35" s="62"/>
      <c r="AFI35" s="62"/>
      <c r="AFJ35" s="62"/>
      <c r="AFK35" s="62"/>
      <c r="AFL35" s="62"/>
      <c r="AFM35" s="62"/>
      <c r="AFN35" s="62"/>
      <c r="AFO35" s="62"/>
      <c r="AFP35" s="62"/>
      <c r="AFQ35" s="62"/>
      <c r="AFR35" s="62"/>
      <c r="AFS35" s="62"/>
      <c r="AFT35" s="62"/>
      <c r="AFU35" s="62"/>
      <c r="AFV35" s="62"/>
      <c r="AFW35" s="62"/>
      <c r="AFX35" s="62"/>
      <c r="AFY35" s="62"/>
      <c r="AFZ35" s="62"/>
      <c r="AGA35" s="62"/>
      <c r="AGB35" s="62"/>
      <c r="AGC35" s="62"/>
      <c r="AGD35" s="62"/>
      <c r="AGE35" s="62"/>
      <c r="AGF35" s="62"/>
      <c r="AGG35" s="62"/>
      <c r="AGH35" s="62"/>
      <c r="AGI35" s="62"/>
      <c r="AGJ35" s="62"/>
      <c r="AGK35" s="62"/>
      <c r="AGL35" s="62"/>
      <c r="AGM35" s="62"/>
      <c r="AGN35" s="62"/>
      <c r="AGO35" s="62"/>
      <c r="AGP35" s="62"/>
      <c r="AGQ35" s="62"/>
      <c r="AGR35" s="62"/>
      <c r="AGS35" s="62"/>
      <c r="AGT35" s="62"/>
      <c r="AGU35" s="62"/>
      <c r="AGV35" s="62"/>
      <c r="AGW35" s="62"/>
      <c r="AGX35" s="62"/>
      <c r="AGY35" s="62"/>
      <c r="AGZ35" s="62"/>
      <c r="AHA35" s="62"/>
      <c r="AHB35" s="62"/>
      <c r="AHC35" s="62"/>
      <c r="AHD35" s="62"/>
      <c r="AHE35" s="62"/>
      <c r="AHF35" s="62"/>
      <c r="AHG35" s="62"/>
      <c r="AHH35" s="62"/>
      <c r="AHI35" s="62"/>
      <c r="AHJ35" s="62"/>
      <c r="AHK35" s="62"/>
      <c r="AHL35" s="62"/>
      <c r="AHM35" s="62"/>
      <c r="AHN35" s="62"/>
      <c r="AHO35" s="62"/>
      <c r="AHP35" s="62"/>
      <c r="AHQ35" s="62"/>
      <c r="AHR35" s="62"/>
      <c r="AHS35" s="62"/>
      <c r="AHT35" s="62"/>
      <c r="AHU35" s="62"/>
      <c r="AHV35" s="62"/>
      <c r="AHW35" s="62"/>
      <c r="AHX35" s="62"/>
      <c r="AHY35" s="62"/>
      <c r="AHZ35" s="62"/>
      <c r="AIA35" s="62"/>
      <c r="AIB35" s="62"/>
      <c r="AIC35" s="62"/>
      <c r="AID35" s="62"/>
      <c r="AIE35" s="62"/>
      <c r="AIF35" s="62"/>
      <c r="AIG35" s="62"/>
      <c r="AIH35" s="62"/>
      <c r="AII35" s="62"/>
      <c r="AIJ35" s="62"/>
      <c r="AIK35" s="62"/>
      <c r="AIL35" s="62"/>
      <c r="AIM35" s="62"/>
      <c r="AIN35" s="62"/>
      <c r="AIO35" s="62"/>
      <c r="AIP35" s="62"/>
      <c r="AIQ35" s="62"/>
      <c r="AIR35" s="62"/>
      <c r="AIS35" s="62"/>
      <c r="AIT35" s="62"/>
      <c r="AIU35" s="62"/>
      <c r="AIV35" s="62"/>
      <c r="AIW35" s="62"/>
      <c r="AIX35" s="62"/>
      <c r="AIY35" s="62"/>
      <c r="AIZ35" s="62"/>
      <c r="AJA35" s="62"/>
      <c r="AJB35" s="62"/>
      <c r="AJC35" s="62"/>
      <c r="AJD35" s="62"/>
      <c r="AJE35" s="62"/>
      <c r="AJF35" s="62"/>
      <c r="AJG35" s="62"/>
      <c r="AJH35" s="62"/>
      <c r="AJI35" s="62"/>
      <c r="AJJ35" s="62"/>
      <c r="AJK35" s="62"/>
      <c r="AJL35" s="62"/>
      <c r="AJM35" s="62"/>
      <c r="AJN35" s="62"/>
      <c r="AJO35" s="62"/>
      <c r="AJP35" s="62"/>
      <c r="AJQ35" s="62"/>
      <c r="AJR35" s="62"/>
      <c r="AJS35" s="62"/>
      <c r="AJT35" s="62"/>
      <c r="AJU35" s="62"/>
      <c r="AJV35" s="62"/>
      <c r="AJW35" s="62"/>
      <c r="AJX35" s="62"/>
      <c r="AJY35" s="62"/>
      <c r="AJZ35" s="62"/>
      <c r="AKA35" s="62"/>
      <c r="AKB35" s="62"/>
      <c r="AKC35" s="62"/>
      <c r="AKD35" s="62"/>
      <c r="AKE35" s="62"/>
      <c r="AKF35" s="62"/>
      <c r="AKG35" s="62"/>
      <c r="AKH35" s="62"/>
      <c r="AKI35" s="62"/>
      <c r="AKJ35" s="62"/>
      <c r="AKK35" s="62"/>
      <c r="AKL35" s="62"/>
      <c r="AKM35" s="62"/>
      <c r="AKN35" s="62"/>
      <c r="AKO35" s="62"/>
      <c r="AKP35" s="62"/>
      <c r="AKQ35" s="62"/>
      <c r="AKR35" s="62"/>
      <c r="AKS35" s="62"/>
      <c r="AKT35" s="62"/>
      <c r="AKU35" s="62"/>
      <c r="AKV35" s="62"/>
      <c r="AKW35" s="62"/>
      <c r="AKX35" s="62"/>
      <c r="AKY35" s="62"/>
      <c r="AKZ35" s="62"/>
      <c r="ALA35" s="62"/>
      <c r="ALB35" s="62"/>
      <c r="ALC35" s="62"/>
      <c r="ALD35" s="62"/>
      <c r="ALE35" s="62"/>
      <c r="ALF35" s="62"/>
      <c r="ALG35" s="62"/>
      <c r="ALH35" s="62"/>
      <c r="ALI35" s="62"/>
      <c r="ALJ35" s="62"/>
      <c r="ALK35" s="62"/>
      <c r="ALL35" s="62"/>
      <c r="ALM35" s="62"/>
      <c r="ALN35" s="62"/>
      <c r="ALO35" s="62"/>
      <c r="ALP35" s="62"/>
      <c r="ALQ35" s="62"/>
      <c r="ALR35" s="62"/>
      <c r="ALS35" s="62"/>
      <c r="ALT35" s="62"/>
      <c r="ALU35" s="62"/>
      <c r="ALV35" s="62"/>
      <c r="ALW35" s="62"/>
      <c r="ALX35" s="62"/>
      <c r="ALY35" s="62"/>
      <c r="ALZ35" s="62"/>
      <c r="AMA35" s="62"/>
      <c r="AMB35" s="62"/>
      <c r="AMC35" s="62"/>
      <c r="AMD35" s="62"/>
      <c r="AME35" s="62"/>
      <c r="AMF35" s="62"/>
      <c r="AMG35" s="62"/>
      <c r="AMH35" s="62"/>
      <c r="AMI35" s="62"/>
      <c r="AMJ35" s="62"/>
      <c r="AMK35" s="62"/>
    </row>
    <row r="36" spans="1:1025" s="26" customFormat="1" ht="26.25" customHeight="1" x14ac:dyDescent="0.3">
      <c r="A36" s="42">
        <v>1</v>
      </c>
      <c r="B36" s="753" t="s">
        <v>193</v>
      </c>
      <c r="C36" s="753"/>
      <c r="D36" s="753"/>
      <c r="E36" s="753"/>
      <c r="F36" s="753"/>
      <c r="G36" s="153">
        <v>5.27</v>
      </c>
      <c r="H36" s="38" t="s">
        <v>194</v>
      </c>
    </row>
    <row r="37" spans="1:1025" s="26" customFormat="1" ht="26.25" customHeight="1" x14ac:dyDescent="0.3">
      <c r="A37" s="154">
        <v>2</v>
      </c>
      <c r="B37" s="746" t="s">
        <v>195</v>
      </c>
      <c r="C37" s="746"/>
      <c r="D37" s="746"/>
      <c r="E37" s="746"/>
      <c r="F37" s="746"/>
      <c r="G37" s="149">
        <v>0</v>
      </c>
      <c r="H37" s="38" t="s">
        <v>194</v>
      </c>
    </row>
    <row r="38" spans="1:1025" ht="26.25" customHeight="1" x14ac:dyDescent="0.3">
      <c r="A38" s="745">
        <v>3</v>
      </c>
      <c r="B38" s="750" t="s">
        <v>196</v>
      </c>
      <c r="C38" s="750"/>
      <c r="D38" s="752" t="s">
        <v>197</v>
      </c>
      <c r="E38" s="752"/>
      <c r="F38" s="752"/>
      <c r="G38" s="155">
        <v>5.7</v>
      </c>
      <c r="H38" s="156" t="s">
        <v>198</v>
      </c>
      <c r="I38" s="118"/>
      <c r="J38" s="26"/>
      <c r="K38" s="26"/>
      <c r="O38" s="38"/>
      <c r="P38" s="38"/>
      <c r="Q38" s="38"/>
    </row>
    <row r="39" spans="1:1025" s="26" customFormat="1" ht="26.25" customHeight="1" x14ac:dyDescent="0.3">
      <c r="A39" s="745"/>
      <c r="B39" s="750"/>
      <c r="C39" s="750"/>
      <c r="D39" s="752" t="s">
        <v>199</v>
      </c>
      <c r="E39" s="752"/>
      <c r="F39" s="752"/>
      <c r="G39" s="155">
        <v>2</v>
      </c>
      <c r="H39" s="156" t="s">
        <v>200</v>
      </c>
      <c r="I39" s="118"/>
      <c r="O39" s="38"/>
      <c r="P39" s="38"/>
      <c r="Q39" s="38"/>
    </row>
    <row r="40" spans="1:1025" s="26" customFormat="1" ht="26.25" customHeight="1" x14ac:dyDescent="0.3">
      <c r="A40" s="745"/>
      <c r="B40" s="750"/>
      <c r="C40" s="750"/>
      <c r="D40" s="752" t="s">
        <v>201</v>
      </c>
      <c r="E40" s="752"/>
      <c r="F40" s="752"/>
      <c r="G40" s="157">
        <v>22</v>
      </c>
      <c r="H40" s="38" t="s">
        <v>202</v>
      </c>
      <c r="I40" s="118"/>
      <c r="O40" s="38"/>
      <c r="P40" s="38"/>
      <c r="Q40" s="38"/>
    </row>
    <row r="41" spans="1:1025" ht="26.25" customHeight="1" x14ac:dyDescent="0.3">
      <c r="A41" s="745"/>
      <c r="B41" s="750"/>
      <c r="C41" s="750"/>
      <c r="D41" s="751" t="s">
        <v>203</v>
      </c>
      <c r="E41" s="751"/>
      <c r="F41" s="751"/>
      <c r="G41" s="158">
        <v>0.06</v>
      </c>
      <c r="H41" s="156" t="s">
        <v>204</v>
      </c>
      <c r="O41" s="38"/>
      <c r="P41" s="38"/>
      <c r="Q41" s="38"/>
    </row>
    <row r="42" spans="1:1025" s="26" customFormat="1" ht="29.25" customHeight="1" x14ac:dyDescent="0.3">
      <c r="A42" s="745">
        <v>4</v>
      </c>
      <c r="B42" s="750" t="s">
        <v>205</v>
      </c>
      <c r="C42" s="750"/>
      <c r="D42" s="751" t="s">
        <v>538</v>
      </c>
      <c r="E42" s="751"/>
      <c r="F42" s="751"/>
      <c r="G42" s="593">
        <v>387.79</v>
      </c>
      <c r="H42" s="156" t="s">
        <v>206</v>
      </c>
      <c r="I42" s="118"/>
    </row>
    <row r="43" spans="1:1025" s="26" customFormat="1" ht="40.5" customHeight="1" x14ac:dyDescent="0.3">
      <c r="A43" s="745"/>
      <c r="B43" s="750"/>
      <c r="C43" s="750"/>
      <c r="D43" s="752" t="s">
        <v>201</v>
      </c>
      <c r="E43" s="752"/>
      <c r="F43" s="752"/>
      <c r="G43" s="637">
        <v>1</v>
      </c>
      <c r="H43" s="758" t="s">
        <v>759</v>
      </c>
      <c r="I43" s="759"/>
      <c r="J43" s="759"/>
      <c r="K43" s="759"/>
      <c r="L43" s="759"/>
      <c r="M43" s="759"/>
      <c r="N43" s="759"/>
      <c r="O43" s="38"/>
      <c r="P43" s="38"/>
      <c r="Q43" s="38"/>
    </row>
    <row r="44" spans="1:1025" s="62" customFormat="1" ht="26.25" customHeight="1" x14ac:dyDescent="0.3">
      <c r="A44" s="745"/>
      <c r="B44" s="750"/>
      <c r="C44" s="750"/>
      <c r="D44" s="751" t="s">
        <v>203</v>
      </c>
      <c r="E44" s="751"/>
      <c r="F44" s="751"/>
      <c r="G44" s="148">
        <v>0</v>
      </c>
      <c r="H44" s="156" t="s">
        <v>204</v>
      </c>
      <c r="I44" s="26"/>
      <c r="J44" s="26"/>
      <c r="K44" s="26"/>
      <c r="L44" s="26"/>
      <c r="M44" s="26"/>
      <c r="N44" s="26"/>
      <c r="O44" s="38"/>
      <c r="P44" s="38"/>
      <c r="Q44" s="38"/>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c r="ID44" s="26"/>
      <c r="IE44" s="26"/>
      <c r="IF44" s="26"/>
      <c r="IG44" s="26"/>
      <c r="IH44" s="26"/>
      <c r="II44" s="26"/>
      <c r="IJ44" s="26"/>
      <c r="IK44" s="26"/>
      <c r="IL44" s="26"/>
      <c r="IM44" s="26"/>
      <c r="IN44" s="26"/>
      <c r="IO44" s="26"/>
      <c r="IP44" s="26"/>
      <c r="IQ44" s="26"/>
      <c r="IR44" s="26"/>
      <c r="IS44" s="26"/>
      <c r="IT44" s="26"/>
      <c r="IU44" s="26"/>
      <c r="IV44" s="26"/>
      <c r="IW44" s="26"/>
      <c r="IX44" s="26"/>
      <c r="IY44" s="26"/>
      <c r="IZ44" s="26"/>
      <c r="JA44" s="26"/>
      <c r="JB44" s="26"/>
      <c r="JC44" s="26"/>
      <c r="JD44" s="26"/>
      <c r="JE44" s="26"/>
      <c r="JF44" s="26"/>
      <c r="JG44" s="26"/>
      <c r="JH44" s="26"/>
      <c r="JI44" s="26"/>
      <c r="JJ44" s="26"/>
      <c r="JK44" s="26"/>
      <c r="JL44" s="26"/>
      <c r="JM44" s="26"/>
      <c r="JN44" s="26"/>
      <c r="JO44" s="26"/>
      <c r="JP44" s="26"/>
      <c r="JQ44" s="26"/>
      <c r="JR44" s="26"/>
      <c r="JS44" s="26"/>
      <c r="JT44" s="26"/>
      <c r="JU44" s="26"/>
      <c r="JV44" s="26"/>
      <c r="JW44" s="26"/>
      <c r="JX44" s="26"/>
      <c r="JY44" s="26"/>
      <c r="JZ44" s="26"/>
      <c r="KA44" s="26"/>
      <c r="KB44" s="26"/>
      <c r="KC44" s="26"/>
      <c r="KD44" s="26"/>
      <c r="KE44" s="26"/>
      <c r="KF44" s="26"/>
      <c r="KG44" s="26"/>
      <c r="KH44" s="26"/>
      <c r="KI44" s="26"/>
      <c r="KJ44" s="26"/>
      <c r="KK44" s="26"/>
      <c r="KL44" s="26"/>
      <c r="KM44" s="26"/>
      <c r="KN44" s="26"/>
      <c r="KO44" s="26"/>
      <c r="KP44" s="26"/>
      <c r="KQ44" s="26"/>
      <c r="KR44" s="26"/>
      <c r="KS44" s="26"/>
      <c r="KT44" s="26"/>
      <c r="KU44" s="26"/>
      <c r="KV44" s="26"/>
      <c r="KW44" s="26"/>
      <c r="KX44" s="26"/>
      <c r="KY44" s="26"/>
      <c r="KZ44" s="26"/>
      <c r="LA44" s="26"/>
      <c r="LB44" s="26"/>
      <c r="LC44" s="26"/>
      <c r="LD44" s="26"/>
      <c r="LE44" s="26"/>
      <c r="LF44" s="26"/>
      <c r="LG44" s="26"/>
      <c r="LH44" s="26"/>
      <c r="LI44" s="26"/>
      <c r="LJ44" s="26"/>
      <c r="LK44" s="26"/>
      <c r="LL44" s="26"/>
      <c r="LM44" s="26"/>
      <c r="LN44" s="26"/>
      <c r="LO44" s="26"/>
      <c r="LP44" s="26"/>
      <c r="LQ44" s="26"/>
      <c r="LR44" s="26"/>
      <c r="LS44" s="26"/>
      <c r="LT44" s="26"/>
      <c r="LU44" s="26"/>
      <c r="LV44" s="26"/>
      <c r="LW44" s="26"/>
      <c r="LX44" s="26"/>
      <c r="LY44" s="26"/>
      <c r="LZ44" s="26"/>
      <c r="MA44" s="26"/>
      <c r="MB44" s="26"/>
      <c r="MC44" s="26"/>
      <c r="MD44" s="26"/>
      <c r="ME44" s="26"/>
      <c r="MF44" s="26"/>
      <c r="MG44" s="26"/>
      <c r="MH44" s="26"/>
      <c r="MI44" s="26"/>
      <c r="MJ44" s="26"/>
      <c r="MK44" s="26"/>
      <c r="ML44" s="26"/>
      <c r="MM44" s="26"/>
      <c r="MN44" s="26"/>
      <c r="MO44" s="26"/>
      <c r="MP44" s="26"/>
      <c r="MQ44" s="26"/>
      <c r="MR44" s="26"/>
      <c r="MS44" s="26"/>
      <c r="MT44" s="26"/>
      <c r="MU44" s="26"/>
      <c r="MV44" s="26"/>
      <c r="MW44" s="26"/>
      <c r="MX44" s="26"/>
      <c r="MY44" s="26"/>
      <c r="MZ44" s="26"/>
      <c r="NA44" s="26"/>
      <c r="NB44" s="26"/>
      <c r="NC44" s="26"/>
      <c r="ND44" s="26"/>
      <c r="NE44" s="26"/>
      <c r="NF44" s="26"/>
      <c r="NG44" s="26"/>
      <c r="NH44" s="26"/>
      <c r="NI44" s="26"/>
      <c r="NJ44" s="26"/>
      <c r="NK44" s="26"/>
      <c r="NL44" s="26"/>
      <c r="NM44" s="26"/>
      <c r="NN44" s="26"/>
      <c r="NO44" s="26"/>
      <c r="NP44" s="26"/>
      <c r="NQ44" s="26"/>
      <c r="NR44" s="26"/>
      <c r="NS44" s="26"/>
      <c r="NT44" s="26"/>
      <c r="NU44" s="26"/>
      <c r="NV44" s="26"/>
      <c r="NW44" s="26"/>
      <c r="NX44" s="26"/>
      <c r="NY44" s="26"/>
      <c r="NZ44" s="26"/>
      <c r="OA44" s="26"/>
      <c r="OB44" s="26"/>
      <c r="OC44" s="26"/>
      <c r="OD44" s="26"/>
      <c r="OE44" s="26"/>
      <c r="OF44" s="26"/>
      <c r="OG44" s="26"/>
      <c r="OH44" s="26"/>
      <c r="OI44" s="26"/>
      <c r="OJ44" s="26"/>
      <c r="OK44" s="26"/>
      <c r="OL44" s="26"/>
      <c r="OM44" s="26"/>
      <c r="ON44" s="26"/>
      <c r="OO44" s="26"/>
      <c r="OP44" s="26"/>
      <c r="OQ44" s="26"/>
      <c r="OR44" s="26"/>
      <c r="OS44" s="26"/>
      <c r="OT44" s="26"/>
      <c r="OU44" s="26"/>
      <c r="OV44" s="26"/>
      <c r="OW44" s="26"/>
      <c r="OX44" s="26"/>
      <c r="OY44" s="26"/>
      <c r="OZ44" s="26"/>
      <c r="PA44" s="26"/>
      <c r="PB44" s="26"/>
      <c r="PC44" s="26"/>
      <c r="PD44" s="26"/>
      <c r="PE44" s="26"/>
      <c r="PF44" s="26"/>
      <c r="PG44" s="26"/>
      <c r="PH44" s="26"/>
      <c r="PI44" s="26"/>
      <c r="PJ44" s="26"/>
      <c r="PK44" s="26"/>
      <c r="PL44" s="26"/>
      <c r="PM44" s="26"/>
      <c r="PN44" s="26"/>
      <c r="PO44" s="26"/>
      <c r="PP44" s="26"/>
      <c r="PQ44" s="26"/>
      <c r="PR44" s="26"/>
      <c r="PS44" s="26"/>
      <c r="PT44" s="26"/>
      <c r="PU44" s="26"/>
      <c r="PV44" s="26"/>
      <c r="PW44" s="26"/>
      <c r="PX44" s="26"/>
      <c r="PY44" s="26"/>
      <c r="PZ44" s="26"/>
      <c r="QA44" s="26"/>
      <c r="QB44" s="26"/>
      <c r="QC44" s="26"/>
      <c r="QD44" s="26"/>
      <c r="QE44" s="26"/>
      <c r="QF44" s="26"/>
      <c r="QG44" s="26"/>
      <c r="QH44" s="26"/>
      <c r="QI44" s="26"/>
      <c r="QJ44" s="26"/>
      <c r="QK44" s="26"/>
      <c r="QL44" s="26"/>
      <c r="QM44" s="26"/>
      <c r="QN44" s="26"/>
      <c r="QO44" s="26"/>
      <c r="QP44" s="26"/>
      <c r="QQ44" s="26"/>
      <c r="QR44" s="26"/>
      <c r="QS44" s="26"/>
      <c r="QT44" s="26"/>
      <c r="QU44" s="26"/>
      <c r="QV44" s="26"/>
      <c r="QW44" s="26"/>
      <c r="QX44" s="26"/>
      <c r="QY44" s="26"/>
      <c r="QZ44" s="26"/>
      <c r="RA44" s="26"/>
      <c r="RB44" s="26"/>
      <c r="RC44" s="26"/>
      <c r="RD44" s="26"/>
      <c r="RE44" s="26"/>
      <c r="RF44" s="26"/>
      <c r="RG44" s="26"/>
      <c r="RH44" s="26"/>
      <c r="RI44" s="26"/>
      <c r="RJ44" s="26"/>
      <c r="RK44" s="26"/>
      <c r="RL44" s="26"/>
      <c r="RM44" s="26"/>
      <c r="RN44" s="26"/>
      <c r="RO44" s="26"/>
      <c r="RP44" s="26"/>
      <c r="RQ44" s="26"/>
      <c r="RR44" s="26"/>
      <c r="RS44" s="26"/>
      <c r="RT44" s="26"/>
      <c r="RU44" s="26"/>
      <c r="RV44" s="26"/>
      <c r="RW44" s="26"/>
      <c r="RX44" s="26"/>
      <c r="RY44" s="26"/>
      <c r="RZ44" s="26"/>
      <c r="SA44" s="26"/>
      <c r="SB44" s="26"/>
      <c r="SC44" s="26"/>
      <c r="SD44" s="26"/>
      <c r="SE44" s="26"/>
      <c r="SF44" s="26"/>
      <c r="SG44" s="26"/>
      <c r="SH44" s="26"/>
      <c r="SI44" s="26"/>
      <c r="SJ44" s="26"/>
      <c r="SK44" s="26"/>
      <c r="SL44" s="26"/>
      <c r="SM44" s="26"/>
      <c r="SN44" s="26"/>
      <c r="SO44" s="26"/>
      <c r="SP44" s="26"/>
      <c r="SQ44" s="26"/>
      <c r="SR44" s="26"/>
      <c r="SS44" s="26"/>
      <c r="ST44" s="26"/>
      <c r="SU44" s="26"/>
      <c r="SV44" s="26"/>
      <c r="SW44" s="26"/>
      <c r="SX44" s="26"/>
      <c r="SY44" s="26"/>
      <c r="SZ44" s="26"/>
      <c r="TA44" s="26"/>
      <c r="TB44" s="26"/>
      <c r="TC44" s="26"/>
      <c r="TD44" s="26"/>
      <c r="TE44" s="26"/>
      <c r="TF44" s="26"/>
      <c r="TG44" s="26"/>
      <c r="TH44" s="26"/>
      <c r="TI44" s="26"/>
      <c r="TJ44" s="26"/>
      <c r="TK44" s="26"/>
      <c r="TL44" s="26"/>
      <c r="TM44" s="26"/>
      <c r="TN44" s="26"/>
      <c r="TO44" s="26"/>
      <c r="TP44" s="26"/>
      <c r="TQ44" s="26"/>
      <c r="TR44" s="26"/>
      <c r="TS44" s="26"/>
      <c r="TT44" s="26"/>
      <c r="TU44" s="26"/>
      <c r="TV44" s="26"/>
      <c r="TW44" s="26"/>
      <c r="TX44" s="26"/>
      <c r="TY44" s="26"/>
      <c r="TZ44" s="26"/>
      <c r="UA44" s="26"/>
      <c r="UB44" s="26"/>
      <c r="UC44" s="26"/>
      <c r="UD44" s="26"/>
      <c r="UE44" s="26"/>
      <c r="UF44" s="26"/>
      <c r="UG44" s="26"/>
      <c r="UH44" s="26"/>
      <c r="UI44" s="26"/>
      <c r="UJ44" s="26"/>
      <c r="UK44" s="26"/>
      <c r="UL44" s="26"/>
      <c r="UM44" s="26"/>
      <c r="UN44" s="26"/>
      <c r="UO44" s="26"/>
      <c r="UP44" s="26"/>
      <c r="UQ44" s="26"/>
      <c r="UR44" s="26"/>
      <c r="US44" s="26"/>
      <c r="UT44" s="26"/>
      <c r="UU44" s="26"/>
      <c r="UV44" s="26"/>
      <c r="UW44" s="26"/>
      <c r="UX44" s="26"/>
      <c r="UY44" s="26"/>
      <c r="UZ44" s="26"/>
      <c r="VA44" s="26"/>
      <c r="VB44" s="26"/>
      <c r="VC44" s="26"/>
      <c r="VD44" s="26"/>
      <c r="VE44" s="26"/>
      <c r="VF44" s="26"/>
      <c r="VG44" s="26"/>
      <c r="VH44" s="26"/>
      <c r="VI44" s="26"/>
      <c r="VJ44" s="26"/>
      <c r="VK44" s="26"/>
      <c r="VL44" s="26"/>
      <c r="VM44" s="26"/>
      <c r="VN44" s="26"/>
      <c r="VO44" s="26"/>
      <c r="VP44" s="26"/>
      <c r="VQ44" s="26"/>
      <c r="VR44" s="26"/>
      <c r="VS44" s="26"/>
      <c r="VT44" s="26"/>
      <c r="VU44" s="26"/>
      <c r="VV44" s="26"/>
      <c r="VW44" s="26"/>
      <c r="VX44" s="26"/>
      <c r="VY44" s="26"/>
      <c r="VZ44" s="26"/>
      <c r="WA44" s="26"/>
      <c r="WB44" s="26"/>
      <c r="WC44" s="26"/>
      <c r="WD44" s="26"/>
      <c r="WE44" s="26"/>
      <c r="WF44" s="26"/>
      <c r="WG44" s="26"/>
      <c r="WH44" s="26"/>
      <c r="WI44" s="26"/>
      <c r="WJ44" s="26"/>
      <c r="WK44" s="26"/>
      <c r="WL44" s="26"/>
      <c r="WM44" s="26"/>
      <c r="WN44" s="26"/>
      <c r="WO44" s="26"/>
      <c r="WP44" s="26"/>
      <c r="WQ44" s="26"/>
      <c r="WR44" s="26"/>
      <c r="WS44" s="26"/>
      <c r="WT44" s="26"/>
      <c r="WU44" s="26"/>
      <c r="WV44" s="26"/>
      <c r="WW44" s="26"/>
      <c r="WX44" s="26"/>
      <c r="WY44" s="26"/>
      <c r="WZ44" s="26"/>
      <c r="XA44" s="26"/>
      <c r="XB44" s="26"/>
      <c r="XC44" s="26"/>
      <c r="XD44" s="26"/>
      <c r="XE44" s="26"/>
      <c r="XF44" s="26"/>
      <c r="XG44" s="26"/>
      <c r="XH44" s="26"/>
      <c r="XI44" s="26"/>
      <c r="XJ44" s="26"/>
      <c r="XK44" s="26"/>
      <c r="XL44" s="26"/>
      <c r="XM44" s="26"/>
      <c r="XN44" s="26"/>
      <c r="XO44" s="26"/>
      <c r="XP44" s="26"/>
      <c r="XQ44" s="26"/>
      <c r="XR44" s="26"/>
      <c r="XS44" s="26"/>
      <c r="XT44" s="26"/>
      <c r="XU44" s="26"/>
      <c r="XV44" s="26"/>
      <c r="XW44" s="26"/>
      <c r="XX44" s="26"/>
      <c r="XY44" s="26"/>
      <c r="XZ44" s="26"/>
      <c r="YA44" s="26"/>
      <c r="YB44" s="26"/>
      <c r="YC44" s="26"/>
      <c r="YD44" s="26"/>
      <c r="YE44" s="26"/>
      <c r="YF44" s="26"/>
      <c r="YG44" s="26"/>
      <c r="YH44" s="26"/>
      <c r="YI44" s="26"/>
      <c r="YJ44" s="26"/>
      <c r="YK44" s="26"/>
      <c r="YL44" s="26"/>
      <c r="YM44" s="26"/>
      <c r="YN44" s="26"/>
      <c r="YO44" s="26"/>
      <c r="YP44" s="26"/>
      <c r="YQ44" s="26"/>
      <c r="YR44" s="26"/>
      <c r="YS44" s="26"/>
      <c r="YT44" s="26"/>
      <c r="YU44" s="26"/>
      <c r="YV44" s="26"/>
      <c r="YW44" s="26"/>
      <c r="YX44" s="26"/>
      <c r="YY44" s="26"/>
      <c r="YZ44" s="26"/>
      <c r="ZA44" s="26"/>
      <c r="ZB44" s="26"/>
      <c r="ZC44" s="26"/>
      <c r="ZD44" s="26"/>
      <c r="ZE44" s="26"/>
      <c r="ZF44" s="26"/>
      <c r="ZG44" s="26"/>
      <c r="ZH44" s="26"/>
      <c r="ZI44" s="26"/>
      <c r="ZJ44" s="26"/>
      <c r="ZK44" s="26"/>
      <c r="ZL44" s="26"/>
      <c r="ZM44" s="26"/>
      <c r="ZN44" s="26"/>
      <c r="ZO44" s="26"/>
      <c r="ZP44" s="26"/>
      <c r="ZQ44" s="26"/>
      <c r="ZR44" s="26"/>
      <c r="ZS44" s="26"/>
      <c r="ZT44" s="26"/>
      <c r="ZU44" s="26"/>
      <c r="ZV44" s="26"/>
      <c r="ZW44" s="26"/>
      <c r="ZX44" s="26"/>
      <c r="ZY44" s="26"/>
      <c r="ZZ44" s="26"/>
      <c r="AAA44" s="26"/>
      <c r="AAB44" s="26"/>
      <c r="AAC44" s="26"/>
      <c r="AAD44" s="26"/>
      <c r="AAE44" s="26"/>
      <c r="AAF44" s="26"/>
      <c r="AAG44" s="26"/>
      <c r="AAH44" s="26"/>
      <c r="AAI44" s="26"/>
      <c r="AAJ44" s="26"/>
      <c r="AAK44" s="26"/>
      <c r="AAL44" s="26"/>
      <c r="AAM44" s="26"/>
      <c r="AAN44" s="26"/>
      <c r="AAO44" s="26"/>
      <c r="AAP44" s="26"/>
      <c r="AAQ44" s="26"/>
      <c r="AAR44" s="26"/>
      <c r="AAS44" s="26"/>
      <c r="AAT44" s="26"/>
      <c r="AAU44" s="26"/>
      <c r="AAV44" s="26"/>
      <c r="AAW44" s="26"/>
      <c r="AAX44" s="26"/>
      <c r="AAY44" s="26"/>
      <c r="AAZ44" s="26"/>
      <c r="ABA44" s="26"/>
      <c r="ABB44" s="26"/>
      <c r="ABC44" s="26"/>
      <c r="ABD44" s="26"/>
      <c r="ABE44" s="26"/>
      <c r="ABF44" s="26"/>
      <c r="ABG44" s="26"/>
      <c r="ABH44" s="26"/>
      <c r="ABI44" s="26"/>
      <c r="ABJ44" s="26"/>
      <c r="ABK44" s="26"/>
      <c r="ABL44" s="26"/>
      <c r="ABM44" s="26"/>
      <c r="ABN44" s="26"/>
      <c r="ABO44" s="26"/>
      <c r="ABP44" s="26"/>
      <c r="ABQ44" s="26"/>
      <c r="ABR44" s="26"/>
      <c r="ABS44" s="26"/>
      <c r="ABT44" s="26"/>
      <c r="ABU44" s="26"/>
      <c r="ABV44" s="26"/>
      <c r="ABW44" s="26"/>
      <c r="ABX44" s="26"/>
      <c r="ABY44" s="26"/>
      <c r="ABZ44" s="26"/>
      <c r="ACA44" s="26"/>
      <c r="ACB44" s="26"/>
      <c r="ACC44" s="26"/>
      <c r="ACD44" s="26"/>
      <c r="ACE44" s="26"/>
      <c r="ACF44" s="26"/>
      <c r="ACG44" s="26"/>
      <c r="ACH44" s="26"/>
      <c r="ACI44" s="26"/>
      <c r="ACJ44" s="26"/>
      <c r="ACK44" s="26"/>
      <c r="ACL44" s="26"/>
      <c r="ACM44" s="26"/>
      <c r="ACN44" s="26"/>
      <c r="ACO44" s="26"/>
      <c r="ACP44" s="26"/>
      <c r="ACQ44" s="26"/>
      <c r="ACR44" s="26"/>
      <c r="ACS44" s="26"/>
      <c r="ACT44" s="26"/>
      <c r="ACU44" s="26"/>
      <c r="ACV44" s="26"/>
      <c r="ACW44" s="26"/>
      <c r="ACX44" s="26"/>
      <c r="ACY44" s="26"/>
      <c r="ACZ44" s="26"/>
      <c r="ADA44" s="26"/>
      <c r="ADB44" s="26"/>
      <c r="ADC44" s="26"/>
      <c r="ADD44" s="26"/>
      <c r="ADE44" s="26"/>
      <c r="ADF44" s="26"/>
      <c r="ADG44" s="26"/>
      <c r="ADH44" s="26"/>
      <c r="ADI44" s="26"/>
      <c r="ADJ44" s="26"/>
      <c r="ADK44" s="26"/>
      <c r="ADL44" s="26"/>
      <c r="ADM44" s="26"/>
      <c r="ADN44" s="26"/>
      <c r="ADO44" s="26"/>
      <c r="ADP44" s="26"/>
      <c r="ADQ44" s="26"/>
      <c r="ADR44" s="26"/>
      <c r="ADS44" s="26"/>
      <c r="ADT44" s="26"/>
      <c r="ADU44" s="26"/>
      <c r="ADV44" s="26"/>
      <c r="ADW44" s="26"/>
      <c r="ADX44" s="26"/>
      <c r="ADY44" s="26"/>
      <c r="ADZ44" s="26"/>
      <c r="AEA44" s="26"/>
      <c r="AEB44" s="26"/>
      <c r="AEC44" s="26"/>
      <c r="AED44" s="26"/>
      <c r="AEE44" s="26"/>
      <c r="AEF44" s="26"/>
      <c r="AEG44" s="26"/>
      <c r="AEH44" s="26"/>
      <c r="AEI44" s="26"/>
      <c r="AEJ44" s="26"/>
      <c r="AEK44" s="26"/>
      <c r="AEL44" s="26"/>
      <c r="AEM44" s="26"/>
      <c r="AEN44" s="26"/>
      <c r="AEO44" s="26"/>
      <c r="AEP44" s="26"/>
      <c r="AEQ44" s="26"/>
      <c r="AER44" s="26"/>
      <c r="AES44" s="26"/>
      <c r="AET44" s="26"/>
      <c r="AEU44" s="26"/>
      <c r="AEV44" s="26"/>
      <c r="AEW44" s="26"/>
      <c r="AEX44" s="26"/>
      <c r="AEY44" s="26"/>
      <c r="AEZ44" s="26"/>
      <c r="AFA44" s="26"/>
      <c r="AFB44" s="26"/>
      <c r="AFC44" s="26"/>
      <c r="AFD44" s="26"/>
      <c r="AFE44" s="26"/>
      <c r="AFF44" s="26"/>
      <c r="AFG44" s="26"/>
      <c r="AFH44" s="26"/>
      <c r="AFI44" s="26"/>
      <c r="AFJ44" s="26"/>
      <c r="AFK44" s="26"/>
      <c r="AFL44" s="26"/>
      <c r="AFM44" s="26"/>
      <c r="AFN44" s="26"/>
      <c r="AFO44" s="26"/>
      <c r="AFP44" s="26"/>
      <c r="AFQ44" s="26"/>
      <c r="AFR44" s="26"/>
      <c r="AFS44" s="26"/>
      <c r="AFT44" s="26"/>
      <c r="AFU44" s="26"/>
      <c r="AFV44" s="26"/>
      <c r="AFW44" s="26"/>
      <c r="AFX44" s="26"/>
      <c r="AFY44" s="26"/>
      <c r="AFZ44" s="26"/>
      <c r="AGA44" s="26"/>
      <c r="AGB44" s="26"/>
      <c r="AGC44" s="26"/>
      <c r="AGD44" s="26"/>
      <c r="AGE44" s="26"/>
      <c r="AGF44" s="26"/>
      <c r="AGG44" s="26"/>
      <c r="AGH44" s="26"/>
      <c r="AGI44" s="26"/>
      <c r="AGJ44" s="26"/>
      <c r="AGK44" s="26"/>
      <c r="AGL44" s="26"/>
      <c r="AGM44" s="26"/>
      <c r="AGN44" s="26"/>
      <c r="AGO44" s="26"/>
      <c r="AGP44" s="26"/>
      <c r="AGQ44" s="26"/>
      <c r="AGR44" s="26"/>
      <c r="AGS44" s="26"/>
      <c r="AGT44" s="26"/>
      <c r="AGU44" s="26"/>
      <c r="AGV44" s="26"/>
      <c r="AGW44" s="26"/>
      <c r="AGX44" s="26"/>
      <c r="AGY44" s="26"/>
      <c r="AGZ44" s="26"/>
      <c r="AHA44" s="26"/>
      <c r="AHB44" s="26"/>
      <c r="AHC44" s="26"/>
      <c r="AHD44" s="26"/>
      <c r="AHE44" s="26"/>
      <c r="AHF44" s="26"/>
      <c r="AHG44" s="26"/>
      <c r="AHH44" s="26"/>
      <c r="AHI44" s="26"/>
      <c r="AHJ44" s="26"/>
      <c r="AHK44" s="26"/>
      <c r="AHL44" s="26"/>
      <c r="AHM44" s="26"/>
      <c r="AHN44" s="26"/>
      <c r="AHO44" s="26"/>
      <c r="AHP44" s="26"/>
      <c r="AHQ44" s="26"/>
      <c r="AHR44" s="26"/>
      <c r="AHS44" s="26"/>
      <c r="AHT44" s="26"/>
      <c r="AHU44" s="26"/>
      <c r="AHV44" s="26"/>
      <c r="AHW44" s="26"/>
      <c r="AHX44" s="26"/>
      <c r="AHY44" s="26"/>
      <c r="AHZ44" s="26"/>
      <c r="AIA44" s="26"/>
      <c r="AIB44" s="26"/>
      <c r="AIC44" s="26"/>
      <c r="AID44" s="26"/>
      <c r="AIE44" s="26"/>
      <c r="AIF44" s="26"/>
      <c r="AIG44" s="26"/>
      <c r="AIH44" s="26"/>
      <c r="AII44" s="26"/>
      <c r="AIJ44" s="26"/>
      <c r="AIK44" s="26"/>
      <c r="AIL44" s="26"/>
      <c r="AIM44" s="26"/>
      <c r="AIN44" s="26"/>
      <c r="AIO44" s="26"/>
      <c r="AIP44" s="26"/>
      <c r="AIQ44" s="26"/>
      <c r="AIR44" s="26"/>
      <c r="AIS44" s="26"/>
      <c r="AIT44" s="26"/>
      <c r="AIU44" s="26"/>
      <c r="AIV44" s="26"/>
      <c r="AIW44" s="26"/>
      <c r="AIX44" s="26"/>
      <c r="AIY44" s="26"/>
      <c r="AIZ44" s="26"/>
      <c r="AJA44" s="26"/>
      <c r="AJB44" s="26"/>
      <c r="AJC44" s="26"/>
      <c r="AJD44" s="26"/>
      <c r="AJE44" s="26"/>
      <c r="AJF44" s="26"/>
      <c r="AJG44" s="26"/>
      <c r="AJH44" s="26"/>
      <c r="AJI44" s="26"/>
      <c r="AJJ44" s="26"/>
      <c r="AJK44" s="26"/>
      <c r="AJL44" s="26"/>
      <c r="AJM44" s="26"/>
      <c r="AJN44" s="26"/>
      <c r="AJO44" s="26"/>
      <c r="AJP44" s="26"/>
      <c r="AJQ44" s="26"/>
      <c r="AJR44" s="26"/>
      <c r="AJS44" s="26"/>
      <c r="AJT44" s="26"/>
      <c r="AJU44" s="26"/>
      <c r="AJV44" s="26"/>
      <c r="AJW44" s="26"/>
      <c r="AJX44" s="26"/>
      <c r="AJY44" s="26"/>
      <c r="AJZ44" s="26"/>
      <c r="AKA44" s="26"/>
      <c r="AKB44" s="26"/>
      <c r="AKC44" s="26"/>
      <c r="AKD44" s="26"/>
      <c r="AKE44" s="26"/>
      <c r="AKF44" s="26"/>
      <c r="AKG44" s="26"/>
      <c r="AKH44" s="26"/>
      <c r="AKI44" s="26"/>
      <c r="AKJ44" s="26"/>
      <c r="AKK44" s="26"/>
      <c r="AKL44" s="26"/>
      <c r="AKM44" s="26"/>
      <c r="AKN44" s="26"/>
      <c r="AKO44" s="26"/>
      <c r="AKP44" s="26"/>
      <c r="AKQ44" s="26"/>
      <c r="AKR44" s="26"/>
      <c r="AKS44" s="26"/>
      <c r="AKT44" s="26"/>
      <c r="AKU44" s="26"/>
      <c r="AKV44" s="26"/>
      <c r="AKW44" s="26"/>
      <c r="AKX44" s="26"/>
      <c r="AKY44" s="26"/>
      <c r="AKZ44" s="26"/>
      <c r="ALA44" s="26"/>
      <c r="ALB44" s="26"/>
      <c r="ALC44" s="26"/>
      <c r="ALD44" s="26"/>
      <c r="ALE44" s="26"/>
      <c r="ALF44" s="26"/>
      <c r="ALG44" s="26"/>
      <c r="ALH44" s="26"/>
      <c r="ALI44" s="26"/>
      <c r="ALJ44" s="26"/>
      <c r="ALK44" s="26"/>
      <c r="ALL44" s="26"/>
      <c r="ALM44" s="26"/>
      <c r="ALN44" s="26"/>
      <c r="ALO44" s="26"/>
      <c r="ALP44" s="26"/>
      <c r="ALQ44" s="26"/>
      <c r="ALR44" s="26"/>
      <c r="ALS44" s="26"/>
      <c r="ALT44" s="26"/>
      <c r="ALU44" s="26"/>
      <c r="ALV44" s="26"/>
      <c r="ALW44" s="26"/>
      <c r="ALX44" s="26"/>
      <c r="ALY44" s="26"/>
      <c r="ALZ44" s="26"/>
      <c r="AMA44" s="26"/>
      <c r="AMB44" s="26"/>
      <c r="AMC44" s="26"/>
      <c r="AMD44" s="26"/>
      <c r="AME44" s="26"/>
      <c r="AMF44" s="26"/>
      <c r="AMG44" s="26"/>
      <c r="AMH44" s="26"/>
      <c r="AMI44" s="26"/>
      <c r="AMJ44" s="26"/>
      <c r="AMK44" s="26"/>
    </row>
    <row r="45" spans="1:1025" s="26" customFormat="1" ht="26.25" customHeight="1" x14ac:dyDescent="0.3">
      <c r="A45" s="42">
        <v>5</v>
      </c>
      <c r="B45" s="749" t="s">
        <v>539</v>
      </c>
      <c r="C45" s="749"/>
      <c r="D45" s="749"/>
      <c r="E45" s="749"/>
      <c r="F45" s="749"/>
      <c r="G45" s="149">
        <v>42.97</v>
      </c>
      <c r="H45" s="38" t="s">
        <v>208</v>
      </c>
      <c r="O45" s="38"/>
      <c r="P45" s="38"/>
      <c r="Q45" s="38"/>
    </row>
    <row r="46" spans="1:1025" s="26" customFormat="1" ht="26.25" customHeight="1" x14ac:dyDescent="0.3">
      <c r="A46" s="42">
        <v>6</v>
      </c>
      <c r="B46" s="749" t="s">
        <v>207</v>
      </c>
      <c r="C46" s="749"/>
      <c r="D46" s="749"/>
      <c r="E46" s="749"/>
      <c r="F46" s="749"/>
      <c r="G46" s="149">
        <v>0</v>
      </c>
      <c r="H46" s="38" t="s">
        <v>208</v>
      </c>
    </row>
    <row r="47" spans="1:1025" s="26" customFormat="1" ht="12.75" customHeight="1" x14ac:dyDescent="0.3">
      <c r="H47" s="38"/>
    </row>
    <row r="48" spans="1:1025" s="62" customFormat="1" ht="24.75" customHeight="1" x14ac:dyDescent="0.3">
      <c r="A48" s="747" t="s">
        <v>209</v>
      </c>
      <c r="B48" s="747"/>
      <c r="C48" s="747"/>
      <c r="D48" s="747"/>
      <c r="E48" s="747"/>
      <c r="F48" s="747"/>
      <c r="G48" s="747"/>
      <c r="H48" s="38"/>
      <c r="I48" s="118"/>
      <c r="J48" s="118"/>
      <c r="K48" s="118"/>
      <c r="L48" s="118"/>
      <c r="M48" s="118"/>
      <c r="N48" s="118"/>
      <c r="O48" s="118"/>
      <c r="P48" s="118"/>
      <c r="Q48" s="118"/>
      <c r="R48" s="118"/>
      <c r="S48" s="118"/>
      <c r="T48" s="118"/>
      <c r="U48" s="118"/>
    </row>
    <row r="49" spans="1:1025" s="62" customFormat="1" ht="24.75" customHeight="1" x14ac:dyDescent="0.3">
      <c r="A49" s="42">
        <v>1</v>
      </c>
      <c r="B49" s="746" t="s">
        <v>210</v>
      </c>
      <c r="C49" s="746"/>
      <c r="D49" s="746"/>
      <c r="E49" s="746"/>
      <c r="F49" s="746"/>
      <c r="G49" s="148">
        <v>7.0000000000000007E-2</v>
      </c>
      <c r="H49" s="38" t="s">
        <v>211</v>
      </c>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c r="ID49" s="26"/>
      <c r="IE49" s="26"/>
      <c r="IF49" s="26"/>
      <c r="IG49" s="26"/>
      <c r="IH49" s="26"/>
      <c r="II49" s="26"/>
      <c r="IJ49" s="26"/>
      <c r="IK49" s="26"/>
      <c r="IL49" s="26"/>
      <c r="IM49" s="26"/>
      <c r="IN49" s="26"/>
      <c r="IO49" s="26"/>
      <c r="IP49" s="26"/>
      <c r="IQ49" s="26"/>
      <c r="IR49" s="26"/>
      <c r="IS49" s="26"/>
      <c r="IT49" s="26"/>
      <c r="IU49" s="26"/>
      <c r="IV49" s="26"/>
      <c r="IW49" s="26"/>
      <c r="IX49" s="26"/>
      <c r="IY49" s="26"/>
      <c r="IZ49" s="26"/>
      <c r="JA49" s="26"/>
      <c r="JB49" s="26"/>
      <c r="JC49" s="26"/>
      <c r="JD49" s="26"/>
      <c r="JE49" s="26"/>
      <c r="JF49" s="26"/>
      <c r="JG49" s="26"/>
      <c r="JH49" s="26"/>
      <c r="JI49" s="26"/>
      <c r="JJ49" s="26"/>
      <c r="JK49" s="26"/>
      <c r="JL49" s="26"/>
      <c r="JM49" s="26"/>
      <c r="JN49" s="26"/>
      <c r="JO49" s="26"/>
      <c r="JP49" s="26"/>
      <c r="JQ49" s="26"/>
      <c r="JR49" s="26"/>
      <c r="JS49" s="26"/>
      <c r="JT49" s="26"/>
      <c r="JU49" s="26"/>
      <c r="JV49" s="26"/>
      <c r="JW49" s="26"/>
      <c r="JX49" s="26"/>
      <c r="JY49" s="26"/>
      <c r="JZ49" s="26"/>
      <c r="KA49" s="26"/>
      <c r="KB49" s="26"/>
      <c r="KC49" s="26"/>
      <c r="KD49" s="26"/>
      <c r="KE49" s="26"/>
      <c r="KF49" s="26"/>
      <c r="KG49" s="26"/>
      <c r="KH49" s="26"/>
      <c r="KI49" s="26"/>
      <c r="KJ49" s="26"/>
      <c r="KK49" s="26"/>
      <c r="KL49" s="26"/>
      <c r="KM49" s="26"/>
      <c r="KN49" s="26"/>
      <c r="KO49" s="26"/>
      <c r="KP49" s="26"/>
      <c r="KQ49" s="26"/>
      <c r="KR49" s="26"/>
      <c r="KS49" s="26"/>
      <c r="KT49" s="26"/>
      <c r="KU49" s="26"/>
      <c r="KV49" s="26"/>
      <c r="KW49" s="26"/>
      <c r="KX49" s="26"/>
      <c r="KY49" s="26"/>
      <c r="KZ49" s="26"/>
      <c r="LA49" s="26"/>
      <c r="LB49" s="26"/>
      <c r="LC49" s="26"/>
      <c r="LD49" s="26"/>
      <c r="LE49" s="26"/>
      <c r="LF49" s="26"/>
      <c r="LG49" s="26"/>
      <c r="LH49" s="26"/>
      <c r="LI49" s="26"/>
      <c r="LJ49" s="26"/>
      <c r="LK49" s="26"/>
      <c r="LL49" s="26"/>
      <c r="LM49" s="26"/>
      <c r="LN49" s="26"/>
      <c r="LO49" s="26"/>
      <c r="LP49" s="26"/>
      <c r="LQ49" s="26"/>
      <c r="LR49" s="26"/>
      <c r="LS49" s="26"/>
      <c r="LT49" s="26"/>
      <c r="LU49" s="26"/>
      <c r="LV49" s="26"/>
      <c r="LW49" s="26"/>
      <c r="LX49" s="26"/>
      <c r="LY49" s="26"/>
      <c r="LZ49" s="26"/>
      <c r="MA49" s="26"/>
      <c r="MB49" s="26"/>
      <c r="MC49" s="26"/>
      <c r="MD49" s="26"/>
      <c r="ME49" s="26"/>
      <c r="MF49" s="26"/>
      <c r="MG49" s="26"/>
      <c r="MH49" s="26"/>
      <c r="MI49" s="26"/>
      <c r="MJ49" s="26"/>
      <c r="MK49" s="26"/>
      <c r="ML49" s="26"/>
      <c r="MM49" s="26"/>
      <c r="MN49" s="26"/>
      <c r="MO49" s="26"/>
      <c r="MP49" s="26"/>
      <c r="MQ49" s="26"/>
      <c r="MR49" s="26"/>
      <c r="MS49" s="26"/>
      <c r="MT49" s="26"/>
      <c r="MU49" s="26"/>
      <c r="MV49" s="26"/>
      <c r="MW49" s="26"/>
      <c r="MX49" s="26"/>
      <c r="MY49" s="26"/>
      <c r="MZ49" s="26"/>
      <c r="NA49" s="26"/>
      <c r="NB49" s="26"/>
      <c r="NC49" s="26"/>
      <c r="ND49" s="26"/>
      <c r="NE49" s="26"/>
      <c r="NF49" s="26"/>
      <c r="NG49" s="26"/>
      <c r="NH49" s="26"/>
      <c r="NI49" s="26"/>
      <c r="NJ49" s="26"/>
      <c r="NK49" s="26"/>
      <c r="NL49" s="26"/>
      <c r="NM49" s="26"/>
      <c r="NN49" s="26"/>
      <c r="NO49" s="26"/>
      <c r="NP49" s="26"/>
      <c r="NQ49" s="26"/>
      <c r="NR49" s="26"/>
      <c r="NS49" s="26"/>
      <c r="NT49" s="26"/>
      <c r="NU49" s="26"/>
      <c r="NV49" s="26"/>
      <c r="NW49" s="26"/>
      <c r="NX49" s="26"/>
      <c r="NY49" s="26"/>
      <c r="NZ49" s="26"/>
      <c r="OA49" s="26"/>
      <c r="OB49" s="26"/>
      <c r="OC49" s="26"/>
      <c r="OD49" s="26"/>
      <c r="OE49" s="26"/>
      <c r="OF49" s="26"/>
      <c r="OG49" s="26"/>
      <c r="OH49" s="26"/>
      <c r="OI49" s="26"/>
      <c r="OJ49" s="26"/>
      <c r="OK49" s="26"/>
      <c r="OL49" s="26"/>
      <c r="OM49" s="26"/>
      <c r="ON49" s="26"/>
      <c r="OO49" s="26"/>
      <c r="OP49" s="26"/>
      <c r="OQ49" s="26"/>
      <c r="OR49" s="26"/>
      <c r="OS49" s="26"/>
      <c r="OT49" s="26"/>
      <c r="OU49" s="26"/>
      <c r="OV49" s="26"/>
      <c r="OW49" s="26"/>
      <c r="OX49" s="26"/>
      <c r="OY49" s="26"/>
      <c r="OZ49" s="26"/>
      <c r="PA49" s="26"/>
      <c r="PB49" s="26"/>
      <c r="PC49" s="26"/>
      <c r="PD49" s="26"/>
      <c r="PE49" s="26"/>
      <c r="PF49" s="26"/>
      <c r="PG49" s="26"/>
      <c r="PH49" s="26"/>
      <c r="PI49" s="26"/>
      <c r="PJ49" s="26"/>
      <c r="PK49" s="26"/>
      <c r="PL49" s="26"/>
      <c r="PM49" s="26"/>
      <c r="PN49" s="26"/>
      <c r="PO49" s="26"/>
      <c r="PP49" s="26"/>
      <c r="PQ49" s="26"/>
      <c r="PR49" s="26"/>
      <c r="PS49" s="26"/>
      <c r="PT49" s="26"/>
      <c r="PU49" s="26"/>
      <c r="PV49" s="26"/>
      <c r="PW49" s="26"/>
      <c r="PX49" s="26"/>
      <c r="PY49" s="26"/>
      <c r="PZ49" s="26"/>
      <c r="QA49" s="26"/>
      <c r="QB49" s="26"/>
      <c r="QC49" s="26"/>
      <c r="QD49" s="26"/>
      <c r="QE49" s="26"/>
      <c r="QF49" s="26"/>
      <c r="QG49" s="26"/>
      <c r="QH49" s="26"/>
      <c r="QI49" s="26"/>
      <c r="QJ49" s="26"/>
      <c r="QK49" s="26"/>
      <c r="QL49" s="26"/>
      <c r="QM49" s="26"/>
      <c r="QN49" s="26"/>
      <c r="QO49" s="26"/>
      <c r="QP49" s="26"/>
      <c r="QQ49" s="26"/>
      <c r="QR49" s="26"/>
      <c r="QS49" s="26"/>
      <c r="QT49" s="26"/>
      <c r="QU49" s="26"/>
      <c r="QV49" s="26"/>
      <c r="QW49" s="26"/>
      <c r="QX49" s="26"/>
      <c r="QY49" s="26"/>
      <c r="QZ49" s="26"/>
      <c r="RA49" s="26"/>
      <c r="RB49" s="26"/>
      <c r="RC49" s="26"/>
      <c r="RD49" s="26"/>
      <c r="RE49" s="26"/>
      <c r="RF49" s="26"/>
      <c r="RG49" s="26"/>
      <c r="RH49" s="26"/>
      <c r="RI49" s="26"/>
      <c r="RJ49" s="26"/>
      <c r="RK49" s="26"/>
      <c r="RL49" s="26"/>
      <c r="RM49" s="26"/>
      <c r="RN49" s="26"/>
      <c r="RO49" s="26"/>
      <c r="RP49" s="26"/>
      <c r="RQ49" s="26"/>
      <c r="RR49" s="26"/>
      <c r="RS49" s="26"/>
      <c r="RT49" s="26"/>
      <c r="RU49" s="26"/>
      <c r="RV49" s="26"/>
      <c r="RW49" s="26"/>
      <c r="RX49" s="26"/>
      <c r="RY49" s="26"/>
      <c r="RZ49" s="26"/>
      <c r="SA49" s="26"/>
      <c r="SB49" s="26"/>
      <c r="SC49" s="26"/>
      <c r="SD49" s="26"/>
      <c r="SE49" s="26"/>
      <c r="SF49" s="26"/>
      <c r="SG49" s="26"/>
      <c r="SH49" s="26"/>
      <c r="SI49" s="26"/>
      <c r="SJ49" s="26"/>
      <c r="SK49" s="26"/>
      <c r="SL49" s="26"/>
      <c r="SM49" s="26"/>
      <c r="SN49" s="26"/>
      <c r="SO49" s="26"/>
      <c r="SP49" s="26"/>
      <c r="SQ49" s="26"/>
      <c r="SR49" s="26"/>
      <c r="SS49" s="26"/>
      <c r="ST49" s="26"/>
      <c r="SU49" s="26"/>
      <c r="SV49" s="26"/>
      <c r="SW49" s="26"/>
      <c r="SX49" s="26"/>
      <c r="SY49" s="26"/>
      <c r="SZ49" s="26"/>
      <c r="TA49" s="26"/>
      <c r="TB49" s="26"/>
      <c r="TC49" s="26"/>
      <c r="TD49" s="26"/>
      <c r="TE49" s="26"/>
      <c r="TF49" s="26"/>
      <c r="TG49" s="26"/>
      <c r="TH49" s="26"/>
      <c r="TI49" s="26"/>
      <c r="TJ49" s="26"/>
      <c r="TK49" s="26"/>
      <c r="TL49" s="26"/>
      <c r="TM49" s="26"/>
      <c r="TN49" s="26"/>
      <c r="TO49" s="26"/>
      <c r="TP49" s="26"/>
      <c r="TQ49" s="26"/>
      <c r="TR49" s="26"/>
      <c r="TS49" s="26"/>
      <c r="TT49" s="26"/>
      <c r="TU49" s="26"/>
      <c r="TV49" s="26"/>
      <c r="TW49" s="26"/>
      <c r="TX49" s="26"/>
      <c r="TY49" s="26"/>
      <c r="TZ49" s="26"/>
      <c r="UA49" s="26"/>
      <c r="UB49" s="26"/>
      <c r="UC49" s="26"/>
      <c r="UD49" s="26"/>
      <c r="UE49" s="26"/>
      <c r="UF49" s="26"/>
      <c r="UG49" s="26"/>
      <c r="UH49" s="26"/>
      <c r="UI49" s="26"/>
      <c r="UJ49" s="26"/>
      <c r="UK49" s="26"/>
      <c r="UL49" s="26"/>
      <c r="UM49" s="26"/>
      <c r="UN49" s="26"/>
      <c r="UO49" s="26"/>
      <c r="UP49" s="26"/>
      <c r="UQ49" s="26"/>
      <c r="UR49" s="26"/>
      <c r="US49" s="26"/>
      <c r="UT49" s="26"/>
      <c r="UU49" s="26"/>
      <c r="UV49" s="26"/>
      <c r="UW49" s="26"/>
      <c r="UX49" s="26"/>
      <c r="UY49" s="26"/>
      <c r="UZ49" s="26"/>
      <c r="VA49" s="26"/>
      <c r="VB49" s="26"/>
      <c r="VC49" s="26"/>
      <c r="VD49" s="26"/>
      <c r="VE49" s="26"/>
      <c r="VF49" s="26"/>
      <c r="VG49" s="26"/>
      <c r="VH49" s="26"/>
      <c r="VI49" s="26"/>
      <c r="VJ49" s="26"/>
      <c r="VK49" s="26"/>
      <c r="VL49" s="26"/>
      <c r="VM49" s="26"/>
      <c r="VN49" s="26"/>
      <c r="VO49" s="26"/>
      <c r="VP49" s="26"/>
      <c r="VQ49" s="26"/>
      <c r="VR49" s="26"/>
      <c r="VS49" s="26"/>
      <c r="VT49" s="26"/>
      <c r="VU49" s="26"/>
      <c r="VV49" s="26"/>
      <c r="VW49" s="26"/>
      <c r="VX49" s="26"/>
      <c r="VY49" s="26"/>
      <c r="VZ49" s="26"/>
      <c r="WA49" s="26"/>
      <c r="WB49" s="26"/>
      <c r="WC49" s="26"/>
      <c r="WD49" s="26"/>
      <c r="WE49" s="26"/>
      <c r="WF49" s="26"/>
      <c r="WG49" s="26"/>
      <c r="WH49" s="26"/>
      <c r="WI49" s="26"/>
      <c r="WJ49" s="26"/>
      <c r="WK49" s="26"/>
      <c r="WL49" s="26"/>
      <c r="WM49" s="26"/>
      <c r="WN49" s="26"/>
      <c r="WO49" s="26"/>
      <c r="WP49" s="26"/>
      <c r="WQ49" s="26"/>
      <c r="WR49" s="26"/>
      <c r="WS49" s="26"/>
      <c r="WT49" s="26"/>
      <c r="WU49" s="26"/>
      <c r="WV49" s="26"/>
      <c r="WW49" s="26"/>
      <c r="WX49" s="26"/>
      <c r="WY49" s="26"/>
      <c r="WZ49" s="26"/>
      <c r="XA49" s="26"/>
      <c r="XB49" s="26"/>
      <c r="XC49" s="26"/>
      <c r="XD49" s="26"/>
      <c r="XE49" s="26"/>
      <c r="XF49" s="26"/>
      <c r="XG49" s="26"/>
      <c r="XH49" s="26"/>
      <c r="XI49" s="26"/>
      <c r="XJ49" s="26"/>
      <c r="XK49" s="26"/>
      <c r="XL49" s="26"/>
      <c r="XM49" s="26"/>
      <c r="XN49" s="26"/>
      <c r="XO49" s="26"/>
      <c r="XP49" s="26"/>
      <c r="XQ49" s="26"/>
      <c r="XR49" s="26"/>
      <c r="XS49" s="26"/>
      <c r="XT49" s="26"/>
      <c r="XU49" s="26"/>
      <c r="XV49" s="26"/>
      <c r="XW49" s="26"/>
      <c r="XX49" s="26"/>
      <c r="XY49" s="26"/>
      <c r="XZ49" s="26"/>
      <c r="YA49" s="26"/>
      <c r="YB49" s="26"/>
      <c r="YC49" s="26"/>
      <c r="YD49" s="26"/>
      <c r="YE49" s="26"/>
      <c r="YF49" s="26"/>
      <c r="YG49" s="26"/>
      <c r="YH49" s="26"/>
      <c r="YI49" s="26"/>
      <c r="YJ49" s="26"/>
      <c r="YK49" s="26"/>
      <c r="YL49" s="26"/>
      <c r="YM49" s="26"/>
      <c r="YN49" s="26"/>
      <c r="YO49" s="26"/>
      <c r="YP49" s="26"/>
      <c r="YQ49" s="26"/>
      <c r="YR49" s="26"/>
      <c r="YS49" s="26"/>
      <c r="YT49" s="26"/>
      <c r="YU49" s="26"/>
      <c r="YV49" s="26"/>
      <c r="YW49" s="26"/>
      <c r="YX49" s="26"/>
      <c r="YY49" s="26"/>
      <c r="YZ49" s="26"/>
      <c r="ZA49" s="26"/>
      <c r="ZB49" s="26"/>
      <c r="ZC49" s="26"/>
      <c r="ZD49" s="26"/>
      <c r="ZE49" s="26"/>
      <c r="ZF49" s="26"/>
      <c r="ZG49" s="26"/>
      <c r="ZH49" s="26"/>
      <c r="ZI49" s="26"/>
      <c r="ZJ49" s="26"/>
      <c r="ZK49" s="26"/>
      <c r="ZL49" s="26"/>
      <c r="ZM49" s="26"/>
      <c r="ZN49" s="26"/>
      <c r="ZO49" s="26"/>
      <c r="ZP49" s="26"/>
      <c r="ZQ49" s="26"/>
      <c r="ZR49" s="26"/>
      <c r="ZS49" s="26"/>
      <c r="ZT49" s="26"/>
      <c r="ZU49" s="26"/>
      <c r="ZV49" s="26"/>
      <c r="ZW49" s="26"/>
      <c r="ZX49" s="26"/>
      <c r="ZY49" s="26"/>
      <c r="ZZ49" s="26"/>
      <c r="AAA49" s="26"/>
      <c r="AAB49" s="26"/>
      <c r="AAC49" s="26"/>
      <c r="AAD49" s="26"/>
      <c r="AAE49" s="26"/>
      <c r="AAF49" s="26"/>
      <c r="AAG49" s="26"/>
      <c r="AAH49" s="26"/>
      <c r="AAI49" s="26"/>
      <c r="AAJ49" s="26"/>
      <c r="AAK49" s="26"/>
      <c r="AAL49" s="26"/>
      <c r="AAM49" s="26"/>
      <c r="AAN49" s="26"/>
      <c r="AAO49" s="26"/>
      <c r="AAP49" s="26"/>
      <c r="AAQ49" s="26"/>
      <c r="AAR49" s="26"/>
      <c r="AAS49" s="26"/>
      <c r="AAT49" s="26"/>
      <c r="AAU49" s="26"/>
      <c r="AAV49" s="26"/>
      <c r="AAW49" s="26"/>
      <c r="AAX49" s="26"/>
      <c r="AAY49" s="26"/>
      <c r="AAZ49" s="26"/>
      <c r="ABA49" s="26"/>
      <c r="ABB49" s="26"/>
      <c r="ABC49" s="26"/>
      <c r="ABD49" s="26"/>
      <c r="ABE49" s="26"/>
      <c r="ABF49" s="26"/>
      <c r="ABG49" s="26"/>
      <c r="ABH49" s="26"/>
      <c r="ABI49" s="26"/>
      <c r="ABJ49" s="26"/>
      <c r="ABK49" s="26"/>
      <c r="ABL49" s="26"/>
      <c r="ABM49" s="26"/>
      <c r="ABN49" s="26"/>
      <c r="ABO49" s="26"/>
      <c r="ABP49" s="26"/>
      <c r="ABQ49" s="26"/>
      <c r="ABR49" s="26"/>
      <c r="ABS49" s="26"/>
      <c r="ABT49" s="26"/>
      <c r="ABU49" s="26"/>
      <c r="ABV49" s="26"/>
      <c r="ABW49" s="26"/>
      <c r="ABX49" s="26"/>
      <c r="ABY49" s="26"/>
      <c r="ABZ49" s="26"/>
      <c r="ACA49" s="26"/>
      <c r="ACB49" s="26"/>
      <c r="ACC49" s="26"/>
      <c r="ACD49" s="26"/>
      <c r="ACE49" s="26"/>
      <c r="ACF49" s="26"/>
      <c r="ACG49" s="26"/>
      <c r="ACH49" s="26"/>
      <c r="ACI49" s="26"/>
      <c r="ACJ49" s="26"/>
      <c r="ACK49" s="26"/>
      <c r="ACL49" s="26"/>
      <c r="ACM49" s="26"/>
      <c r="ACN49" s="26"/>
      <c r="ACO49" s="26"/>
      <c r="ACP49" s="26"/>
      <c r="ACQ49" s="26"/>
      <c r="ACR49" s="26"/>
      <c r="ACS49" s="26"/>
      <c r="ACT49" s="26"/>
      <c r="ACU49" s="26"/>
      <c r="ACV49" s="26"/>
      <c r="ACW49" s="26"/>
      <c r="ACX49" s="26"/>
      <c r="ACY49" s="26"/>
      <c r="ACZ49" s="26"/>
      <c r="ADA49" s="26"/>
      <c r="ADB49" s="26"/>
      <c r="ADC49" s="26"/>
      <c r="ADD49" s="26"/>
      <c r="ADE49" s="26"/>
      <c r="ADF49" s="26"/>
      <c r="ADG49" s="26"/>
      <c r="ADH49" s="26"/>
      <c r="ADI49" s="26"/>
      <c r="ADJ49" s="26"/>
      <c r="ADK49" s="26"/>
      <c r="ADL49" s="26"/>
      <c r="ADM49" s="26"/>
      <c r="ADN49" s="26"/>
      <c r="ADO49" s="26"/>
      <c r="ADP49" s="26"/>
      <c r="ADQ49" s="26"/>
      <c r="ADR49" s="26"/>
      <c r="ADS49" s="26"/>
      <c r="ADT49" s="26"/>
      <c r="ADU49" s="26"/>
      <c r="ADV49" s="26"/>
      <c r="ADW49" s="26"/>
      <c r="ADX49" s="26"/>
      <c r="ADY49" s="26"/>
      <c r="ADZ49" s="26"/>
      <c r="AEA49" s="26"/>
      <c r="AEB49" s="26"/>
      <c r="AEC49" s="26"/>
      <c r="AED49" s="26"/>
      <c r="AEE49" s="26"/>
      <c r="AEF49" s="26"/>
      <c r="AEG49" s="26"/>
      <c r="AEH49" s="26"/>
      <c r="AEI49" s="26"/>
      <c r="AEJ49" s="26"/>
      <c r="AEK49" s="26"/>
      <c r="AEL49" s="26"/>
      <c r="AEM49" s="26"/>
      <c r="AEN49" s="26"/>
      <c r="AEO49" s="26"/>
      <c r="AEP49" s="26"/>
      <c r="AEQ49" s="26"/>
      <c r="AER49" s="26"/>
      <c r="AES49" s="26"/>
      <c r="AET49" s="26"/>
      <c r="AEU49" s="26"/>
      <c r="AEV49" s="26"/>
      <c r="AEW49" s="26"/>
      <c r="AEX49" s="26"/>
      <c r="AEY49" s="26"/>
      <c r="AEZ49" s="26"/>
      <c r="AFA49" s="26"/>
      <c r="AFB49" s="26"/>
      <c r="AFC49" s="26"/>
      <c r="AFD49" s="26"/>
      <c r="AFE49" s="26"/>
      <c r="AFF49" s="26"/>
      <c r="AFG49" s="26"/>
      <c r="AFH49" s="26"/>
      <c r="AFI49" s="26"/>
      <c r="AFJ49" s="26"/>
      <c r="AFK49" s="26"/>
      <c r="AFL49" s="26"/>
      <c r="AFM49" s="26"/>
      <c r="AFN49" s="26"/>
      <c r="AFO49" s="26"/>
      <c r="AFP49" s="26"/>
      <c r="AFQ49" s="26"/>
      <c r="AFR49" s="26"/>
      <c r="AFS49" s="26"/>
      <c r="AFT49" s="26"/>
      <c r="AFU49" s="26"/>
      <c r="AFV49" s="26"/>
      <c r="AFW49" s="26"/>
      <c r="AFX49" s="26"/>
      <c r="AFY49" s="26"/>
      <c r="AFZ49" s="26"/>
      <c r="AGA49" s="26"/>
      <c r="AGB49" s="26"/>
      <c r="AGC49" s="26"/>
      <c r="AGD49" s="26"/>
      <c r="AGE49" s="26"/>
      <c r="AGF49" s="26"/>
      <c r="AGG49" s="26"/>
      <c r="AGH49" s="26"/>
      <c r="AGI49" s="26"/>
      <c r="AGJ49" s="26"/>
      <c r="AGK49" s="26"/>
      <c r="AGL49" s="26"/>
      <c r="AGM49" s="26"/>
      <c r="AGN49" s="26"/>
      <c r="AGO49" s="26"/>
      <c r="AGP49" s="26"/>
      <c r="AGQ49" s="26"/>
      <c r="AGR49" s="26"/>
      <c r="AGS49" s="26"/>
      <c r="AGT49" s="26"/>
      <c r="AGU49" s="26"/>
      <c r="AGV49" s="26"/>
      <c r="AGW49" s="26"/>
      <c r="AGX49" s="26"/>
      <c r="AGY49" s="26"/>
      <c r="AGZ49" s="26"/>
      <c r="AHA49" s="26"/>
      <c r="AHB49" s="26"/>
      <c r="AHC49" s="26"/>
      <c r="AHD49" s="26"/>
      <c r="AHE49" s="26"/>
      <c r="AHF49" s="26"/>
      <c r="AHG49" s="26"/>
      <c r="AHH49" s="26"/>
      <c r="AHI49" s="26"/>
      <c r="AHJ49" s="26"/>
      <c r="AHK49" s="26"/>
      <c r="AHL49" s="26"/>
      <c r="AHM49" s="26"/>
      <c r="AHN49" s="26"/>
      <c r="AHO49" s="26"/>
      <c r="AHP49" s="26"/>
      <c r="AHQ49" s="26"/>
      <c r="AHR49" s="26"/>
      <c r="AHS49" s="26"/>
      <c r="AHT49" s="26"/>
      <c r="AHU49" s="26"/>
      <c r="AHV49" s="26"/>
      <c r="AHW49" s="26"/>
      <c r="AHX49" s="26"/>
      <c r="AHY49" s="26"/>
      <c r="AHZ49" s="26"/>
      <c r="AIA49" s="26"/>
      <c r="AIB49" s="26"/>
      <c r="AIC49" s="26"/>
      <c r="AID49" s="26"/>
      <c r="AIE49" s="26"/>
      <c r="AIF49" s="26"/>
      <c r="AIG49" s="26"/>
      <c r="AIH49" s="26"/>
      <c r="AII49" s="26"/>
      <c r="AIJ49" s="26"/>
      <c r="AIK49" s="26"/>
      <c r="AIL49" s="26"/>
      <c r="AIM49" s="26"/>
      <c r="AIN49" s="26"/>
      <c r="AIO49" s="26"/>
      <c r="AIP49" s="26"/>
      <c r="AIQ49" s="26"/>
      <c r="AIR49" s="26"/>
      <c r="AIS49" s="26"/>
      <c r="AIT49" s="26"/>
      <c r="AIU49" s="26"/>
      <c r="AIV49" s="26"/>
      <c r="AIW49" s="26"/>
      <c r="AIX49" s="26"/>
      <c r="AIY49" s="26"/>
      <c r="AIZ49" s="26"/>
      <c r="AJA49" s="26"/>
      <c r="AJB49" s="26"/>
      <c r="AJC49" s="26"/>
      <c r="AJD49" s="26"/>
      <c r="AJE49" s="26"/>
      <c r="AJF49" s="26"/>
      <c r="AJG49" s="26"/>
      <c r="AJH49" s="26"/>
      <c r="AJI49" s="26"/>
      <c r="AJJ49" s="26"/>
      <c r="AJK49" s="26"/>
      <c r="AJL49" s="26"/>
      <c r="AJM49" s="26"/>
      <c r="AJN49" s="26"/>
      <c r="AJO49" s="26"/>
      <c r="AJP49" s="26"/>
      <c r="AJQ49" s="26"/>
      <c r="AJR49" s="26"/>
      <c r="AJS49" s="26"/>
      <c r="AJT49" s="26"/>
      <c r="AJU49" s="26"/>
      <c r="AJV49" s="26"/>
      <c r="AJW49" s="26"/>
      <c r="AJX49" s="26"/>
      <c r="AJY49" s="26"/>
      <c r="AJZ49" s="26"/>
      <c r="AKA49" s="26"/>
      <c r="AKB49" s="26"/>
      <c r="AKC49" s="26"/>
      <c r="AKD49" s="26"/>
      <c r="AKE49" s="26"/>
      <c r="AKF49" s="26"/>
      <c r="AKG49" s="26"/>
      <c r="AKH49" s="26"/>
      <c r="AKI49" s="26"/>
      <c r="AKJ49" s="26"/>
      <c r="AKK49" s="26"/>
      <c r="AKL49" s="26"/>
      <c r="AKM49" s="26"/>
      <c r="AKN49" s="26"/>
      <c r="AKO49" s="26"/>
      <c r="AKP49" s="26"/>
      <c r="AKQ49" s="26"/>
      <c r="AKR49" s="26"/>
      <c r="AKS49" s="26"/>
      <c r="AKT49" s="26"/>
      <c r="AKU49" s="26"/>
      <c r="AKV49" s="26"/>
      <c r="AKW49" s="26"/>
      <c r="AKX49" s="26"/>
      <c r="AKY49" s="26"/>
      <c r="AKZ49" s="26"/>
      <c r="ALA49" s="26"/>
      <c r="ALB49" s="26"/>
      <c r="ALC49" s="26"/>
      <c r="ALD49" s="26"/>
      <c r="ALE49" s="26"/>
      <c r="ALF49" s="26"/>
      <c r="ALG49" s="26"/>
      <c r="ALH49" s="26"/>
      <c r="ALI49" s="26"/>
      <c r="ALJ49" s="26"/>
      <c r="ALK49" s="26"/>
      <c r="ALL49" s="26"/>
      <c r="ALM49" s="26"/>
      <c r="ALN49" s="26"/>
      <c r="ALO49" s="26"/>
      <c r="ALP49" s="26"/>
      <c r="ALQ49" s="26"/>
      <c r="ALR49" s="26"/>
      <c r="ALS49" s="26"/>
      <c r="ALT49" s="26"/>
      <c r="ALU49" s="26"/>
      <c r="ALV49" s="26"/>
      <c r="ALW49" s="26"/>
      <c r="ALX49" s="26"/>
      <c r="ALY49" s="26"/>
      <c r="ALZ49" s="26"/>
      <c r="AMA49" s="26"/>
      <c r="AMB49" s="26"/>
      <c r="AMC49" s="26"/>
      <c r="AMD49" s="26"/>
      <c r="AME49" s="26"/>
      <c r="AMF49" s="26"/>
      <c r="AMG49" s="26"/>
      <c r="AMH49" s="26"/>
      <c r="AMI49" s="26"/>
      <c r="AMJ49" s="26"/>
      <c r="AMK49" s="26"/>
    </row>
    <row r="50" spans="1:1025" s="62" customFormat="1" ht="24.75" customHeight="1" x14ac:dyDescent="0.3">
      <c r="A50" s="42">
        <v>2</v>
      </c>
      <c r="B50" s="746" t="s">
        <v>212</v>
      </c>
      <c r="C50" s="746"/>
      <c r="D50" s="746"/>
      <c r="E50" s="746"/>
      <c r="F50" s="746"/>
      <c r="G50" s="148">
        <v>3.6900000000000002E-2</v>
      </c>
      <c r="H50" s="38" t="s">
        <v>211</v>
      </c>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c r="ID50" s="26"/>
      <c r="IE50" s="26"/>
      <c r="IF50" s="26"/>
      <c r="IG50" s="26"/>
      <c r="IH50" s="26"/>
      <c r="II50" s="26"/>
      <c r="IJ50" s="26"/>
      <c r="IK50" s="26"/>
      <c r="IL50" s="26"/>
      <c r="IM50" s="26"/>
      <c r="IN50" s="26"/>
      <c r="IO50" s="26"/>
      <c r="IP50" s="26"/>
      <c r="IQ50" s="26"/>
      <c r="IR50" s="26"/>
      <c r="IS50" s="26"/>
      <c r="IT50" s="26"/>
      <c r="IU50" s="26"/>
      <c r="IV50" s="26"/>
      <c r="IW50" s="26"/>
      <c r="IX50" s="26"/>
      <c r="IY50" s="26"/>
      <c r="IZ50" s="26"/>
      <c r="JA50" s="26"/>
      <c r="JB50" s="26"/>
      <c r="JC50" s="26"/>
      <c r="JD50" s="26"/>
      <c r="JE50" s="26"/>
      <c r="JF50" s="26"/>
      <c r="JG50" s="26"/>
      <c r="JH50" s="26"/>
      <c r="JI50" s="26"/>
      <c r="JJ50" s="26"/>
      <c r="JK50" s="26"/>
      <c r="JL50" s="26"/>
      <c r="JM50" s="26"/>
      <c r="JN50" s="26"/>
      <c r="JO50" s="26"/>
      <c r="JP50" s="26"/>
      <c r="JQ50" s="26"/>
      <c r="JR50" s="26"/>
      <c r="JS50" s="26"/>
      <c r="JT50" s="26"/>
      <c r="JU50" s="26"/>
      <c r="JV50" s="26"/>
      <c r="JW50" s="26"/>
      <c r="JX50" s="26"/>
      <c r="JY50" s="26"/>
      <c r="JZ50" s="26"/>
      <c r="KA50" s="26"/>
      <c r="KB50" s="26"/>
      <c r="KC50" s="26"/>
      <c r="KD50" s="26"/>
      <c r="KE50" s="26"/>
      <c r="KF50" s="26"/>
      <c r="KG50" s="26"/>
      <c r="KH50" s="26"/>
      <c r="KI50" s="26"/>
      <c r="KJ50" s="26"/>
      <c r="KK50" s="26"/>
      <c r="KL50" s="26"/>
      <c r="KM50" s="26"/>
      <c r="KN50" s="26"/>
      <c r="KO50" s="26"/>
      <c r="KP50" s="26"/>
      <c r="KQ50" s="26"/>
      <c r="KR50" s="26"/>
      <c r="KS50" s="26"/>
      <c r="KT50" s="26"/>
      <c r="KU50" s="26"/>
      <c r="KV50" s="26"/>
      <c r="KW50" s="26"/>
      <c r="KX50" s="26"/>
      <c r="KY50" s="26"/>
      <c r="KZ50" s="26"/>
      <c r="LA50" s="26"/>
      <c r="LB50" s="26"/>
      <c r="LC50" s="26"/>
      <c r="LD50" s="26"/>
      <c r="LE50" s="26"/>
      <c r="LF50" s="26"/>
      <c r="LG50" s="26"/>
      <c r="LH50" s="26"/>
      <c r="LI50" s="26"/>
      <c r="LJ50" s="26"/>
      <c r="LK50" s="26"/>
      <c r="LL50" s="26"/>
      <c r="LM50" s="26"/>
      <c r="LN50" s="26"/>
      <c r="LO50" s="26"/>
      <c r="LP50" s="26"/>
      <c r="LQ50" s="26"/>
      <c r="LR50" s="26"/>
      <c r="LS50" s="26"/>
      <c r="LT50" s="26"/>
      <c r="LU50" s="26"/>
      <c r="LV50" s="26"/>
      <c r="LW50" s="26"/>
      <c r="LX50" s="26"/>
      <c r="LY50" s="26"/>
      <c r="LZ50" s="26"/>
      <c r="MA50" s="26"/>
      <c r="MB50" s="26"/>
      <c r="MC50" s="26"/>
      <c r="MD50" s="26"/>
      <c r="ME50" s="26"/>
      <c r="MF50" s="26"/>
      <c r="MG50" s="26"/>
      <c r="MH50" s="26"/>
      <c r="MI50" s="26"/>
      <c r="MJ50" s="26"/>
      <c r="MK50" s="26"/>
      <c r="ML50" s="26"/>
      <c r="MM50" s="26"/>
      <c r="MN50" s="26"/>
      <c r="MO50" s="26"/>
      <c r="MP50" s="26"/>
      <c r="MQ50" s="26"/>
      <c r="MR50" s="26"/>
      <c r="MS50" s="26"/>
      <c r="MT50" s="26"/>
      <c r="MU50" s="26"/>
      <c r="MV50" s="26"/>
      <c r="MW50" s="26"/>
      <c r="MX50" s="26"/>
      <c r="MY50" s="26"/>
      <c r="MZ50" s="26"/>
      <c r="NA50" s="26"/>
      <c r="NB50" s="26"/>
      <c r="NC50" s="26"/>
      <c r="ND50" s="26"/>
      <c r="NE50" s="26"/>
      <c r="NF50" s="26"/>
      <c r="NG50" s="26"/>
      <c r="NH50" s="26"/>
      <c r="NI50" s="26"/>
      <c r="NJ50" s="26"/>
      <c r="NK50" s="26"/>
      <c r="NL50" s="26"/>
      <c r="NM50" s="26"/>
      <c r="NN50" s="26"/>
      <c r="NO50" s="26"/>
      <c r="NP50" s="26"/>
      <c r="NQ50" s="26"/>
      <c r="NR50" s="26"/>
      <c r="NS50" s="26"/>
      <c r="NT50" s="26"/>
      <c r="NU50" s="26"/>
      <c r="NV50" s="26"/>
      <c r="NW50" s="26"/>
      <c r="NX50" s="26"/>
      <c r="NY50" s="26"/>
      <c r="NZ50" s="26"/>
      <c r="OA50" s="26"/>
      <c r="OB50" s="26"/>
      <c r="OC50" s="26"/>
      <c r="OD50" s="26"/>
      <c r="OE50" s="26"/>
      <c r="OF50" s="26"/>
      <c r="OG50" s="26"/>
      <c r="OH50" s="26"/>
      <c r="OI50" s="26"/>
      <c r="OJ50" s="26"/>
      <c r="OK50" s="26"/>
      <c r="OL50" s="26"/>
      <c r="OM50" s="26"/>
      <c r="ON50" s="26"/>
      <c r="OO50" s="26"/>
      <c r="OP50" s="26"/>
      <c r="OQ50" s="26"/>
      <c r="OR50" s="26"/>
      <c r="OS50" s="26"/>
      <c r="OT50" s="26"/>
      <c r="OU50" s="26"/>
      <c r="OV50" s="26"/>
      <c r="OW50" s="26"/>
      <c r="OX50" s="26"/>
      <c r="OY50" s="26"/>
      <c r="OZ50" s="26"/>
      <c r="PA50" s="26"/>
      <c r="PB50" s="26"/>
      <c r="PC50" s="26"/>
      <c r="PD50" s="26"/>
      <c r="PE50" s="26"/>
      <c r="PF50" s="26"/>
      <c r="PG50" s="26"/>
      <c r="PH50" s="26"/>
      <c r="PI50" s="26"/>
      <c r="PJ50" s="26"/>
      <c r="PK50" s="26"/>
      <c r="PL50" s="26"/>
      <c r="PM50" s="26"/>
      <c r="PN50" s="26"/>
      <c r="PO50" s="26"/>
      <c r="PP50" s="26"/>
      <c r="PQ50" s="26"/>
      <c r="PR50" s="26"/>
      <c r="PS50" s="26"/>
      <c r="PT50" s="26"/>
      <c r="PU50" s="26"/>
      <c r="PV50" s="26"/>
      <c r="PW50" s="26"/>
      <c r="PX50" s="26"/>
      <c r="PY50" s="26"/>
      <c r="PZ50" s="26"/>
      <c r="QA50" s="26"/>
      <c r="QB50" s="26"/>
      <c r="QC50" s="26"/>
      <c r="QD50" s="26"/>
      <c r="QE50" s="26"/>
      <c r="QF50" s="26"/>
      <c r="QG50" s="26"/>
      <c r="QH50" s="26"/>
      <c r="QI50" s="26"/>
      <c r="QJ50" s="26"/>
      <c r="QK50" s="26"/>
      <c r="QL50" s="26"/>
      <c r="QM50" s="26"/>
      <c r="QN50" s="26"/>
      <c r="QO50" s="26"/>
      <c r="QP50" s="26"/>
      <c r="QQ50" s="26"/>
      <c r="QR50" s="26"/>
      <c r="QS50" s="26"/>
      <c r="QT50" s="26"/>
      <c r="QU50" s="26"/>
      <c r="QV50" s="26"/>
      <c r="QW50" s="26"/>
      <c r="QX50" s="26"/>
      <c r="QY50" s="26"/>
      <c r="QZ50" s="26"/>
      <c r="RA50" s="26"/>
      <c r="RB50" s="26"/>
      <c r="RC50" s="26"/>
      <c r="RD50" s="26"/>
      <c r="RE50" s="26"/>
      <c r="RF50" s="26"/>
      <c r="RG50" s="26"/>
      <c r="RH50" s="26"/>
      <c r="RI50" s="26"/>
      <c r="RJ50" s="26"/>
      <c r="RK50" s="26"/>
      <c r="RL50" s="26"/>
      <c r="RM50" s="26"/>
      <c r="RN50" s="26"/>
      <c r="RO50" s="26"/>
      <c r="RP50" s="26"/>
      <c r="RQ50" s="26"/>
      <c r="RR50" s="26"/>
      <c r="RS50" s="26"/>
      <c r="RT50" s="26"/>
      <c r="RU50" s="26"/>
      <c r="RV50" s="26"/>
      <c r="RW50" s="26"/>
      <c r="RX50" s="26"/>
      <c r="RY50" s="26"/>
      <c r="RZ50" s="26"/>
      <c r="SA50" s="26"/>
      <c r="SB50" s="26"/>
      <c r="SC50" s="26"/>
      <c r="SD50" s="26"/>
      <c r="SE50" s="26"/>
      <c r="SF50" s="26"/>
      <c r="SG50" s="26"/>
      <c r="SH50" s="26"/>
      <c r="SI50" s="26"/>
      <c r="SJ50" s="26"/>
      <c r="SK50" s="26"/>
      <c r="SL50" s="26"/>
      <c r="SM50" s="26"/>
      <c r="SN50" s="26"/>
      <c r="SO50" s="26"/>
      <c r="SP50" s="26"/>
      <c r="SQ50" s="26"/>
      <c r="SR50" s="26"/>
      <c r="SS50" s="26"/>
      <c r="ST50" s="26"/>
      <c r="SU50" s="26"/>
      <c r="SV50" s="26"/>
      <c r="SW50" s="26"/>
      <c r="SX50" s="26"/>
      <c r="SY50" s="26"/>
      <c r="SZ50" s="26"/>
      <c r="TA50" s="26"/>
      <c r="TB50" s="26"/>
      <c r="TC50" s="26"/>
      <c r="TD50" s="26"/>
      <c r="TE50" s="26"/>
      <c r="TF50" s="26"/>
      <c r="TG50" s="26"/>
      <c r="TH50" s="26"/>
      <c r="TI50" s="26"/>
      <c r="TJ50" s="26"/>
      <c r="TK50" s="26"/>
      <c r="TL50" s="26"/>
      <c r="TM50" s="26"/>
      <c r="TN50" s="26"/>
      <c r="TO50" s="26"/>
      <c r="TP50" s="26"/>
      <c r="TQ50" s="26"/>
      <c r="TR50" s="26"/>
      <c r="TS50" s="26"/>
      <c r="TT50" s="26"/>
      <c r="TU50" s="26"/>
      <c r="TV50" s="26"/>
      <c r="TW50" s="26"/>
      <c r="TX50" s="26"/>
      <c r="TY50" s="26"/>
      <c r="TZ50" s="26"/>
      <c r="UA50" s="26"/>
      <c r="UB50" s="26"/>
      <c r="UC50" s="26"/>
      <c r="UD50" s="26"/>
      <c r="UE50" s="26"/>
      <c r="UF50" s="26"/>
      <c r="UG50" s="26"/>
      <c r="UH50" s="26"/>
      <c r="UI50" s="26"/>
      <c r="UJ50" s="26"/>
      <c r="UK50" s="26"/>
      <c r="UL50" s="26"/>
      <c r="UM50" s="26"/>
      <c r="UN50" s="26"/>
      <c r="UO50" s="26"/>
      <c r="UP50" s="26"/>
      <c r="UQ50" s="26"/>
      <c r="UR50" s="26"/>
      <c r="US50" s="26"/>
      <c r="UT50" s="26"/>
      <c r="UU50" s="26"/>
      <c r="UV50" s="26"/>
      <c r="UW50" s="26"/>
      <c r="UX50" s="26"/>
      <c r="UY50" s="26"/>
      <c r="UZ50" s="26"/>
      <c r="VA50" s="26"/>
      <c r="VB50" s="26"/>
      <c r="VC50" s="26"/>
      <c r="VD50" s="26"/>
      <c r="VE50" s="26"/>
      <c r="VF50" s="26"/>
      <c r="VG50" s="26"/>
      <c r="VH50" s="26"/>
      <c r="VI50" s="26"/>
      <c r="VJ50" s="26"/>
      <c r="VK50" s="26"/>
      <c r="VL50" s="26"/>
      <c r="VM50" s="26"/>
      <c r="VN50" s="26"/>
      <c r="VO50" s="26"/>
      <c r="VP50" s="26"/>
      <c r="VQ50" s="26"/>
      <c r="VR50" s="26"/>
      <c r="VS50" s="26"/>
      <c r="VT50" s="26"/>
      <c r="VU50" s="26"/>
      <c r="VV50" s="26"/>
      <c r="VW50" s="26"/>
      <c r="VX50" s="26"/>
      <c r="VY50" s="26"/>
      <c r="VZ50" s="26"/>
      <c r="WA50" s="26"/>
      <c r="WB50" s="26"/>
      <c r="WC50" s="26"/>
      <c r="WD50" s="26"/>
      <c r="WE50" s="26"/>
      <c r="WF50" s="26"/>
      <c r="WG50" s="26"/>
      <c r="WH50" s="26"/>
      <c r="WI50" s="26"/>
      <c r="WJ50" s="26"/>
      <c r="WK50" s="26"/>
      <c r="WL50" s="26"/>
      <c r="WM50" s="26"/>
      <c r="WN50" s="26"/>
      <c r="WO50" s="26"/>
      <c r="WP50" s="26"/>
      <c r="WQ50" s="26"/>
      <c r="WR50" s="26"/>
      <c r="WS50" s="26"/>
      <c r="WT50" s="26"/>
      <c r="WU50" s="26"/>
      <c r="WV50" s="26"/>
      <c r="WW50" s="26"/>
      <c r="WX50" s="26"/>
      <c r="WY50" s="26"/>
      <c r="WZ50" s="26"/>
      <c r="XA50" s="26"/>
      <c r="XB50" s="26"/>
      <c r="XC50" s="26"/>
      <c r="XD50" s="26"/>
      <c r="XE50" s="26"/>
      <c r="XF50" s="26"/>
      <c r="XG50" s="26"/>
      <c r="XH50" s="26"/>
      <c r="XI50" s="26"/>
      <c r="XJ50" s="26"/>
      <c r="XK50" s="26"/>
      <c r="XL50" s="26"/>
      <c r="XM50" s="26"/>
      <c r="XN50" s="26"/>
      <c r="XO50" s="26"/>
      <c r="XP50" s="26"/>
      <c r="XQ50" s="26"/>
      <c r="XR50" s="26"/>
      <c r="XS50" s="26"/>
      <c r="XT50" s="26"/>
      <c r="XU50" s="26"/>
      <c r="XV50" s="26"/>
      <c r="XW50" s="26"/>
      <c r="XX50" s="26"/>
      <c r="XY50" s="26"/>
      <c r="XZ50" s="26"/>
      <c r="YA50" s="26"/>
      <c r="YB50" s="26"/>
      <c r="YC50" s="26"/>
      <c r="YD50" s="26"/>
      <c r="YE50" s="26"/>
      <c r="YF50" s="26"/>
      <c r="YG50" s="26"/>
      <c r="YH50" s="26"/>
      <c r="YI50" s="26"/>
      <c r="YJ50" s="26"/>
      <c r="YK50" s="26"/>
      <c r="YL50" s="26"/>
      <c r="YM50" s="26"/>
      <c r="YN50" s="26"/>
      <c r="YO50" s="26"/>
      <c r="YP50" s="26"/>
      <c r="YQ50" s="26"/>
      <c r="YR50" s="26"/>
      <c r="YS50" s="26"/>
      <c r="YT50" s="26"/>
      <c r="YU50" s="26"/>
      <c r="YV50" s="26"/>
      <c r="YW50" s="26"/>
      <c r="YX50" s="26"/>
      <c r="YY50" s="26"/>
      <c r="YZ50" s="26"/>
      <c r="ZA50" s="26"/>
      <c r="ZB50" s="26"/>
      <c r="ZC50" s="26"/>
      <c r="ZD50" s="26"/>
      <c r="ZE50" s="26"/>
      <c r="ZF50" s="26"/>
      <c r="ZG50" s="26"/>
      <c r="ZH50" s="26"/>
      <c r="ZI50" s="26"/>
      <c r="ZJ50" s="26"/>
      <c r="ZK50" s="26"/>
      <c r="ZL50" s="26"/>
      <c r="ZM50" s="26"/>
      <c r="ZN50" s="26"/>
      <c r="ZO50" s="26"/>
      <c r="ZP50" s="26"/>
      <c r="ZQ50" s="26"/>
      <c r="ZR50" s="26"/>
      <c r="ZS50" s="26"/>
      <c r="ZT50" s="26"/>
      <c r="ZU50" s="26"/>
      <c r="ZV50" s="26"/>
      <c r="ZW50" s="26"/>
      <c r="ZX50" s="26"/>
      <c r="ZY50" s="26"/>
      <c r="ZZ50" s="26"/>
      <c r="AAA50" s="26"/>
      <c r="AAB50" s="26"/>
      <c r="AAC50" s="26"/>
      <c r="AAD50" s="26"/>
      <c r="AAE50" s="26"/>
      <c r="AAF50" s="26"/>
      <c r="AAG50" s="26"/>
      <c r="AAH50" s="26"/>
      <c r="AAI50" s="26"/>
      <c r="AAJ50" s="26"/>
      <c r="AAK50" s="26"/>
      <c r="AAL50" s="26"/>
      <c r="AAM50" s="26"/>
      <c r="AAN50" s="26"/>
      <c r="AAO50" s="26"/>
      <c r="AAP50" s="26"/>
      <c r="AAQ50" s="26"/>
      <c r="AAR50" s="26"/>
      <c r="AAS50" s="26"/>
      <c r="AAT50" s="26"/>
      <c r="AAU50" s="26"/>
      <c r="AAV50" s="26"/>
      <c r="AAW50" s="26"/>
      <c r="AAX50" s="26"/>
      <c r="AAY50" s="26"/>
      <c r="AAZ50" s="26"/>
      <c r="ABA50" s="26"/>
      <c r="ABB50" s="26"/>
      <c r="ABC50" s="26"/>
      <c r="ABD50" s="26"/>
      <c r="ABE50" s="26"/>
      <c r="ABF50" s="26"/>
      <c r="ABG50" s="26"/>
      <c r="ABH50" s="26"/>
      <c r="ABI50" s="26"/>
      <c r="ABJ50" s="26"/>
      <c r="ABK50" s="26"/>
      <c r="ABL50" s="26"/>
      <c r="ABM50" s="26"/>
      <c r="ABN50" s="26"/>
      <c r="ABO50" s="26"/>
      <c r="ABP50" s="26"/>
      <c r="ABQ50" s="26"/>
      <c r="ABR50" s="26"/>
      <c r="ABS50" s="26"/>
      <c r="ABT50" s="26"/>
      <c r="ABU50" s="26"/>
      <c r="ABV50" s="26"/>
      <c r="ABW50" s="26"/>
      <c r="ABX50" s="26"/>
      <c r="ABY50" s="26"/>
      <c r="ABZ50" s="26"/>
      <c r="ACA50" s="26"/>
      <c r="ACB50" s="26"/>
      <c r="ACC50" s="26"/>
      <c r="ACD50" s="26"/>
      <c r="ACE50" s="26"/>
      <c r="ACF50" s="26"/>
      <c r="ACG50" s="26"/>
      <c r="ACH50" s="26"/>
      <c r="ACI50" s="26"/>
      <c r="ACJ50" s="26"/>
      <c r="ACK50" s="26"/>
      <c r="ACL50" s="26"/>
      <c r="ACM50" s="26"/>
      <c r="ACN50" s="26"/>
      <c r="ACO50" s="26"/>
      <c r="ACP50" s="26"/>
      <c r="ACQ50" s="26"/>
      <c r="ACR50" s="26"/>
      <c r="ACS50" s="26"/>
      <c r="ACT50" s="26"/>
      <c r="ACU50" s="26"/>
      <c r="ACV50" s="26"/>
      <c r="ACW50" s="26"/>
      <c r="ACX50" s="26"/>
      <c r="ACY50" s="26"/>
      <c r="ACZ50" s="26"/>
      <c r="ADA50" s="26"/>
      <c r="ADB50" s="26"/>
      <c r="ADC50" s="26"/>
      <c r="ADD50" s="26"/>
      <c r="ADE50" s="26"/>
      <c r="ADF50" s="26"/>
      <c r="ADG50" s="26"/>
      <c r="ADH50" s="26"/>
      <c r="ADI50" s="26"/>
      <c r="ADJ50" s="26"/>
      <c r="ADK50" s="26"/>
      <c r="ADL50" s="26"/>
      <c r="ADM50" s="26"/>
      <c r="ADN50" s="26"/>
      <c r="ADO50" s="26"/>
      <c r="ADP50" s="26"/>
      <c r="ADQ50" s="26"/>
      <c r="ADR50" s="26"/>
      <c r="ADS50" s="26"/>
      <c r="ADT50" s="26"/>
      <c r="ADU50" s="26"/>
      <c r="ADV50" s="26"/>
      <c r="ADW50" s="26"/>
      <c r="ADX50" s="26"/>
      <c r="ADY50" s="26"/>
      <c r="ADZ50" s="26"/>
      <c r="AEA50" s="26"/>
      <c r="AEB50" s="26"/>
      <c r="AEC50" s="26"/>
      <c r="AED50" s="26"/>
      <c r="AEE50" s="26"/>
      <c r="AEF50" s="26"/>
      <c r="AEG50" s="26"/>
      <c r="AEH50" s="26"/>
      <c r="AEI50" s="26"/>
      <c r="AEJ50" s="26"/>
      <c r="AEK50" s="26"/>
      <c r="AEL50" s="26"/>
      <c r="AEM50" s="26"/>
      <c r="AEN50" s="26"/>
      <c r="AEO50" s="26"/>
      <c r="AEP50" s="26"/>
      <c r="AEQ50" s="26"/>
      <c r="AER50" s="26"/>
      <c r="AES50" s="26"/>
      <c r="AET50" s="26"/>
      <c r="AEU50" s="26"/>
      <c r="AEV50" s="26"/>
      <c r="AEW50" s="26"/>
      <c r="AEX50" s="26"/>
      <c r="AEY50" s="26"/>
      <c r="AEZ50" s="26"/>
      <c r="AFA50" s="26"/>
      <c r="AFB50" s="26"/>
      <c r="AFC50" s="26"/>
      <c r="AFD50" s="26"/>
      <c r="AFE50" s="26"/>
      <c r="AFF50" s="26"/>
      <c r="AFG50" s="26"/>
      <c r="AFH50" s="26"/>
      <c r="AFI50" s="26"/>
      <c r="AFJ50" s="26"/>
      <c r="AFK50" s="26"/>
      <c r="AFL50" s="26"/>
      <c r="AFM50" s="26"/>
      <c r="AFN50" s="26"/>
      <c r="AFO50" s="26"/>
      <c r="AFP50" s="26"/>
      <c r="AFQ50" s="26"/>
      <c r="AFR50" s="26"/>
      <c r="AFS50" s="26"/>
      <c r="AFT50" s="26"/>
      <c r="AFU50" s="26"/>
      <c r="AFV50" s="26"/>
      <c r="AFW50" s="26"/>
      <c r="AFX50" s="26"/>
      <c r="AFY50" s="26"/>
      <c r="AFZ50" s="26"/>
      <c r="AGA50" s="26"/>
      <c r="AGB50" s="26"/>
      <c r="AGC50" s="26"/>
      <c r="AGD50" s="26"/>
      <c r="AGE50" s="26"/>
      <c r="AGF50" s="26"/>
      <c r="AGG50" s="26"/>
      <c r="AGH50" s="26"/>
      <c r="AGI50" s="26"/>
      <c r="AGJ50" s="26"/>
      <c r="AGK50" s="26"/>
      <c r="AGL50" s="26"/>
      <c r="AGM50" s="26"/>
      <c r="AGN50" s="26"/>
      <c r="AGO50" s="26"/>
      <c r="AGP50" s="26"/>
      <c r="AGQ50" s="26"/>
      <c r="AGR50" s="26"/>
      <c r="AGS50" s="26"/>
      <c r="AGT50" s="26"/>
      <c r="AGU50" s="26"/>
      <c r="AGV50" s="26"/>
      <c r="AGW50" s="26"/>
      <c r="AGX50" s="26"/>
      <c r="AGY50" s="26"/>
      <c r="AGZ50" s="26"/>
      <c r="AHA50" s="26"/>
      <c r="AHB50" s="26"/>
      <c r="AHC50" s="26"/>
      <c r="AHD50" s="26"/>
      <c r="AHE50" s="26"/>
      <c r="AHF50" s="26"/>
      <c r="AHG50" s="26"/>
      <c r="AHH50" s="26"/>
      <c r="AHI50" s="26"/>
      <c r="AHJ50" s="26"/>
      <c r="AHK50" s="26"/>
      <c r="AHL50" s="26"/>
      <c r="AHM50" s="26"/>
      <c r="AHN50" s="26"/>
      <c r="AHO50" s="26"/>
      <c r="AHP50" s="26"/>
      <c r="AHQ50" s="26"/>
      <c r="AHR50" s="26"/>
      <c r="AHS50" s="26"/>
      <c r="AHT50" s="26"/>
      <c r="AHU50" s="26"/>
      <c r="AHV50" s="26"/>
      <c r="AHW50" s="26"/>
      <c r="AHX50" s="26"/>
      <c r="AHY50" s="26"/>
      <c r="AHZ50" s="26"/>
      <c r="AIA50" s="26"/>
      <c r="AIB50" s="26"/>
      <c r="AIC50" s="26"/>
      <c r="AID50" s="26"/>
      <c r="AIE50" s="26"/>
      <c r="AIF50" s="26"/>
      <c r="AIG50" s="26"/>
      <c r="AIH50" s="26"/>
      <c r="AII50" s="26"/>
      <c r="AIJ50" s="26"/>
      <c r="AIK50" s="26"/>
      <c r="AIL50" s="26"/>
      <c r="AIM50" s="26"/>
      <c r="AIN50" s="26"/>
      <c r="AIO50" s="26"/>
      <c r="AIP50" s="26"/>
      <c r="AIQ50" s="26"/>
      <c r="AIR50" s="26"/>
      <c r="AIS50" s="26"/>
      <c r="AIT50" s="26"/>
      <c r="AIU50" s="26"/>
      <c r="AIV50" s="26"/>
      <c r="AIW50" s="26"/>
      <c r="AIX50" s="26"/>
      <c r="AIY50" s="26"/>
      <c r="AIZ50" s="26"/>
      <c r="AJA50" s="26"/>
      <c r="AJB50" s="26"/>
      <c r="AJC50" s="26"/>
      <c r="AJD50" s="26"/>
      <c r="AJE50" s="26"/>
      <c r="AJF50" s="26"/>
      <c r="AJG50" s="26"/>
      <c r="AJH50" s="26"/>
      <c r="AJI50" s="26"/>
      <c r="AJJ50" s="26"/>
      <c r="AJK50" s="26"/>
      <c r="AJL50" s="26"/>
      <c r="AJM50" s="26"/>
      <c r="AJN50" s="26"/>
      <c r="AJO50" s="26"/>
      <c r="AJP50" s="26"/>
      <c r="AJQ50" s="26"/>
      <c r="AJR50" s="26"/>
      <c r="AJS50" s="26"/>
      <c r="AJT50" s="26"/>
      <c r="AJU50" s="26"/>
      <c r="AJV50" s="26"/>
      <c r="AJW50" s="26"/>
      <c r="AJX50" s="26"/>
      <c r="AJY50" s="26"/>
      <c r="AJZ50" s="26"/>
      <c r="AKA50" s="26"/>
      <c r="AKB50" s="26"/>
      <c r="AKC50" s="26"/>
      <c r="AKD50" s="26"/>
      <c r="AKE50" s="26"/>
      <c r="AKF50" s="26"/>
      <c r="AKG50" s="26"/>
      <c r="AKH50" s="26"/>
      <c r="AKI50" s="26"/>
      <c r="AKJ50" s="26"/>
      <c r="AKK50" s="26"/>
      <c r="AKL50" s="26"/>
      <c r="AKM50" s="26"/>
      <c r="AKN50" s="26"/>
      <c r="AKO50" s="26"/>
      <c r="AKP50" s="26"/>
      <c r="AKQ50" s="26"/>
      <c r="AKR50" s="26"/>
      <c r="AKS50" s="26"/>
      <c r="AKT50" s="26"/>
      <c r="AKU50" s="26"/>
      <c r="AKV50" s="26"/>
      <c r="AKW50" s="26"/>
      <c r="AKX50" s="26"/>
      <c r="AKY50" s="26"/>
      <c r="AKZ50" s="26"/>
      <c r="ALA50" s="26"/>
      <c r="ALB50" s="26"/>
      <c r="ALC50" s="26"/>
      <c r="ALD50" s="26"/>
      <c r="ALE50" s="26"/>
      <c r="ALF50" s="26"/>
      <c r="ALG50" s="26"/>
      <c r="ALH50" s="26"/>
      <c r="ALI50" s="26"/>
      <c r="ALJ50" s="26"/>
      <c r="ALK50" s="26"/>
      <c r="ALL50" s="26"/>
      <c r="ALM50" s="26"/>
      <c r="ALN50" s="26"/>
      <c r="ALO50" s="26"/>
      <c r="ALP50" s="26"/>
      <c r="ALQ50" s="26"/>
      <c r="ALR50" s="26"/>
      <c r="ALS50" s="26"/>
      <c r="ALT50" s="26"/>
      <c r="ALU50" s="26"/>
      <c r="ALV50" s="26"/>
      <c r="ALW50" s="26"/>
      <c r="ALX50" s="26"/>
      <c r="ALY50" s="26"/>
      <c r="ALZ50" s="26"/>
      <c r="AMA50" s="26"/>
      <c r="AMB50" s="26"/>
      <c r="AMC50" s="26"/>
      <c r="AMD50" s="26"/>
      <c r="AME50" s="26"/>
      <c r="AMF50" s="26"/>
      <c r="AMG50" s="26"/>
      <c r="AMH50" s="26"/>
      <c r="AMI50" s="26"/>
      <c r="AMJ50" s="26"/>
      <c r="AMK50" s="26"/>
    </row>
    <row r="51" spans="1:1025" s="62" customFormat="1" ht="12.75" customHeight="1" x14ac:dyDescent="0.3">
      <c r="A51" s="26"/>
      <c r="B51" s="26"/>
      <c r="C51" s="26"/>
      <c r="D51" s="26"/>
      <c r="E51" s="26"/>
      <c r="F51" s="26"/>
      <c r="G51" s="26"/>
      <c r="H51" s="38"/>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c r="ID51" s="26"/>
      <c r="IE51" s="26"/>
      <c r="IF51" s="26"/>
      <c r="IG51" s="26"/>
      <c r="IH51" s="26"/>
      <c r="II51" s="26"/>
      <c r="IJ51" s="26"/>
      <c r="IK51" s="26"/>
      <c r="IL51" s="26"/>
      <c r="IM51" s="26"/>
      <c r="IN51" s="26"/>
      <c r="IO51" s="26"/>
      <c r="IP51" s="26"/>
      <c r="IQ51" s="26"/>
      <c r="IR51" s="26"/>
      <c r="IS51" s="26"/>
      <c r="IT51" s="26"/>
      <c r="IU51" s="26"/>
      <c r="IV51" s="26"/>
      <c r="IW51" s="26"/>
      <c r="IX51" s="26"/>
      <c r="IY51" s="26"/>
      <c r="IZ51" s="26"/>
      <c r="JA51" s="26"/>
      <c r="JB51" s="26"/>
      <c r="JC51" s="26"/>
      <c r="JD51" s="26"/>
      <c r="JE51" s="26"/>
      <c r="JF51" s="26"/>
      <c r="JG51" s="26"/>
      <c r="JH51" s="26"/>
      <c r="JI51" s="26"/>
      <c r="JJ51" s="26"/>
      <c r="JK51" s="26"/>
      <c r="JL51" s="26"/>
      <c r="JM51" s="26"/>
      <c r="JN51" s="26"/>
      <c r="JO51" s="26"/>
      <c r="JP51" s="26"/>
      <c r="JQ51" s="26"/>
      <c r="JR51" s="26"/>
      <c r="JS51" s="26"/>
      <c r="JT51" s="26"/>
      <c r="JU51" s="26"/>
      <c r="JV51" s="26"/>
      <c r="JW51" s="26"/>
      <c r="JX51" s="26"/>
      <c r="JY51" s="26"/>
      <c r="JZ51" s="26"/>
      <c r="KA51" s="26"/>
      <c r="KB51" s="26"/>
      <c r="KC51" s="26"/>
      <c r="KD51" s="26"/>
      <c r="KE51" s="26"/>
      <c r="KF51" s="26"/>
      <c r="KG51" s="26"/>
      <c r="KH51" s="26"/>
      <c r="KI51" s="26"/>
      <c r="KJ51" s="26"/>
      <c r="KK51" s="26"/>
      <c r="KL51" s="26"/>
      <c r="KM51" s="26"/>
      <c r="KN51" s="26"/>
      <c r="KO51" s="26"/>
      <c r="KP51" s="26"/>
      <c r="KQ51" s="26"/>
      <c r="KR51" s="26"/>
      <c r="KS51" s="26"/>
      <c r="KT51" s="26"/>
      <c r="KU51" s="26"/>
      <c r="KV51" s="26"/>
      <c r="KW51" s="26"/>
      <c r="KX51" s="26"/>
      <c r="KY51" s="26"/>
      <c r="KZ51" s="26"/>
      <c r="LA51" s="26"/>
      <c r="LB51" s="26"/>
      <c r="LC51" s="26"/>
      <c r="LD51" s="26"/>
      <c r="LE51" s="26"/>
      <c r="LF51" s="26"/>
      <c r="LG51" s="26"/>
      <c r="LH51" s="26"/>
      <c r="LI51" s="26"/>
      <c r="LJ51" s="26"/>
      <c r="LK51" s="26"/>
      <c r="LL51" s="26"/>
      <c r="LM51" s="26"/>
      <c r="LN51" s="26"/>
      <c r="LO51" s="26"/>
      <c r="LP51" s="26"/>
      <c r="LQ51" s="26"/>
      <c r="LR51" s="26"/>
      <c r="LS51" s="26"/>
      <c r="LT51" s="26"/>
      <c r="LU51" s="26"/>
      <c r="LV51" s="26"/>
      <c r="LW51" s="26"/>
      <c r="LX51" s="26"/>
      <c r="LY51" s="26"/>
      <c r="LZ51" s="26"/>
      <c r="MA51" s="26"/>
      <c r="MB51" s="26"/>
      <c r="MC51" s="26"/>
      <c r="MD51" s="26"/>
      <c r="ME51" s="26"/>
      <c r="MF51" s="26"/>
      <c r="MG51" s="26"/>
      <c r="MH51" s="26"/>
      <c r="MI51" s="26"/>
      <c r="MJ51" s="26"/>
      <c r="MK51" s="26"/>
      <c r="ML51" s="26"/>
      <c r="MM51" s="26"/>
      <c r="MN51" s="26"/>
      <c r="MO51" s="26"/>
      <c r="MP51" s="26"/>
      <c r="MQ51" s="26"/>
      <c r="MR51" s="26"/>
      <c r="MS51" s="26"/>
      <c r="MT51" s="26"/>
      <c r="MU51" s="26"/>
      <c r="MV51" s="26"/>
      <c r="MW51" s="26"/>
      <c r="MX51" s="26"/>
      <c r="MY51" s="26"/>
      <c r="MZ51" s="26"/>
      <c r="NA51" s="26"/>
      <c r="NB51" s="26"/>
      <c r="NC51" s="26"/>
      <c r="ND51" s="26"/>
      <c r="NE51" s="26"/>
      <c r="NF51" s="26"/>
      <c r="NG51" s="26"/>
      <c r="NH51" s="26"/>
      <c r="NI51" s="26"/>
      <c r="NJ51" s="26"/>
      <c r="NK51" s="26"/>
      <c r="NL51" s="26"/>
      <c r="NM51" s="26"/>
      <c r="NN51" s="26"/>
      <c r="NO51" s="26"/>
      <c r="NP51" s="26"/>
      <c r="NQ51" s="26"/>
      <c r="NR51" s="26"/>
      <c r="NS51" s="26"/>
      <c r="NT51" s="26"/>
      <c r="NU51" s="26"/>
      <c r="NV51" s="26"/>
      <c r="NW51" s="26"/>
      <c r="NX51" s="26"/>
      <c r="NY51" s="26"/>
      <c r="NZ51" s="26"/>
      <c r="OA51" s="26"/>
      <c r="OB51" s="26"/>
      <c r="OC51" s="26"/>
      <c r="OD51" s="26"/>
      <c r="OE51" s="26"/>
      <c r="OF51" s="26"/>
      <c r="OG51" s="26"/>
      <c r="OH51" s="26"/>
      <c r="OI51" s="26"/>
      <c r="OJ51" s="26"/>
      <c r="OK51" s="26"/>
      <c r="OL51" s="26"/>
      <c r="OM51" s="26"/>
      <c r="ON51" s="26"/>
      <c r="OO51" s="26"/>
      <c r="OP51" s="26"/>
      <c r="OQ51" s="26"/>
      <c r="OR51" s="26"/>
      <c r="OS51" s="26"/>
      <c r="OT51" s="26"/>
      <c r="OU51" s="26"/>
      <c r="OV51" s="26"/>
      <c r="OW51" s="26"/>
      <c r="OX51" s="26"/>
      <c r="OY51" s="26"/>
      <c r="OZ51" s="26"/>
      <c r="PA51" s="26"/>
      <c r="PB51" s="26"/>
      <c r="PC51" s="26"/>
      <c r="PD51" s="26"/>
      <c r="PE51" s="26"/>
      <c r="PF51" s="26"/>
      <c r="PG51" s="26"/>
      <c r="PH51" s="26"/>
      <c r="PI51" s="26"/>
      <c r="PJ51" s="26"/>
      <c r="PK51" s="26"/>
      <c r="PL51" s="26"/>
      <c r="PM51" s="26"/>
      <c r="PN51" s="26"/>
      <c r="PO51" s="26"/>
      <c r="PP51" s="26"/>
      <c r="PQ51" s="26"/>
      <c r="PR51" s="26"/>
      <c r="PS51" s="26"/>
      <c r="PT51" s="26"/>
      <c r="PU51" s="26"/>
      <c r="PV51" s="26"/>
      <c r="PW51" s="26"/>
      <c r="PX51" s="26"/>
      <c r="PY51" s="26"/>
      <c r="PZ51" s="26"/>
      <c r="QA51" s="26"/>
      <c r="QB51" s="26"/>
      <c r="QC51" s="26"/>
      <c r="QD51" s="26"/>
      <c r="QE51" s="26"/>
      <c r="QF51" s="26"/>
      <c r="QG51" s="26"/>
      <c r="QH51" s="26"/>
      <c r="QI51" s="26"/>
      <c r="QJ51" s="26"/>
      <c r="QK51" s="26"/>
      <c r="QL51" s="26"/>
      <c r="QM51" s="26"/>
      <c r="QN51" s="26"/>
      <c r="QO51" s="26"/>
      <c r="QP51" s="26"/>
      <c r="QQ51" s="26"/>
      <c r="QR51" s="26"/>
      <c r="QS51" s="26"/>
      <c r="QT51" s="26"/>
      <c r="QU51" s="26"/>
      <c r="QV51" s="26"/>
      <c r="QW51" s="26"/>
      <c r="QX51" s="26"/>
      <c r="QY51" s="26"/>
      <c r="QZ51" s="26"/>
      <c r="RA51" s="26"/>
      <c r="RB51" s="26"/>
      <c r="RC51" s="26"/>
      <c r="RD51" s="26"/>
      <c r="RE51" s="26"/>
      <c r="RF51" s="26"/>
      <c r="RG51" s="26"/>
      <c r="RH51" s="26"/>
      <c r="RI51" s="26"/>
      <c r="RJ51" s="26"/>
      <c r="RK51" s="26"/>
      <c r="RL51" s="26"/>
      <c r="RM51" s="26"/>
      <c r="RN51" s="26"/>
      <c r="RO51" s="26"/>
      <c r="RP51" s="26"/>
      <c r="RQ51" s="26"/>
      <c r="RR51" s="26"/>
      <c r="RS51" s="26"/>
      <c r="RT51" s="26"/>
      <c r="RU51" s="26"/>
      <c r="RV51" s="26"/>
      <c r="RW51" s="26"/>
      <c r="RX51" s="26"/>
      <c r="RY51" s="26"/>
      <c r="RZ51" s="26"/>
      <c r="SA51" s="26"/>
      <c r="SB51" s="26"/>
      <c r="SC51" s="26"/>
      <c r="SD51" s="26"/>
      <c r="SE51" s="26"/>
      <c r="SF51" s="26"/>
      <c r="SG51" s="26"/>
      <c r="SH51" s="26"/>
      <c r="SI51" s="26"/>
      <c r="SJ51" s="26"/>
      <c r="SK51" s="26"/>
      <c r="SL51" s="26"/>
      <c r="SM51" s="26"/>
      <c r="SN51" s="26"/>
      <c r="SO51" s="26"/>
      <c r="SP51" s="26"/>
      <c r="SQ51" s="26"/>
      <c r="SR51" s="26"/>
      <c r="SS51" s="26"/>
      <c r="ST51" s="26"/>
      <c r="SU51" s="26"/>
      <c r="SV51" s="26"/>
      <c r="SW51" s="26"/>
      <c r="SX51" s="26"/>
      <c r="SY51" s="26"/>
      <c r="SZ51" s="26"/>
      <c r="TA51" s="26"/>
      <c r="TB51" s="26"/>
      <c r="TC51" s="26"/>
      <c r="TD51" s="26"/>
      <c r="TE51" s="26"/>
      <c r="TF51" s="26"/>
      <c r="TG51" s="26"/>
      <c r="TH51" s="26"/>
      <c r="TI51" s="26"/>
      <c r="TJ51" s="26"/>
      <c r="TK51" s="26"/>
      <c r="TL51" s="26"/>
      <c r="TM51" s="26"/>
      <c r="TN51" s="26"/>
      <c r="TO51" s="26"/>
      <c r="TP51" s="26"/>
      <c r="TQ51" s="26"/>
      <c r="TR51" s="26"/>
      <c r="TS51" s="26"/>
      <c r="TT51" s="26"/>
      <c r="TU51" s="26"/>
      <c r="TV51" s="26"/>
      <c r="TW51" s="26"/>
      <c r="TX51" s="26"/>
      <c r="TY51" s="26"/>
      <c r="TZ51" s="26"/>
      <c r="UA51" s="26"/>
      <c r="UB51" s="26"/>
      <c r="UC51" s="26"/>
      <c r="UD51" s="26"/>
      <c r="UE51" s="26"/>
      <c r="UF51" s="26"/>
      <c r="UG51" s="26"/>
      <c r="UH51" s="26"/>
      <c r="UI51" s="26"/>
      <c r="UJ51" s="26"/>
      <c r="UK51" s="26"/>
      <c r="UL51" s="26"/>
      <c r="UM51" s="26"/>
      <c r="UN51" s="26"/>
      <c r="UO51" s="26"/>
      <c r="UP51" s="26"/>
      <c r="UQ51" s="26"/>
      <c r="UR51" s="26"/>
      <c r="US51" s="26"/>
      <c r="UT51" s="26"/>
      <c r="UU51" s="26"/>
      <c r="UV51" s="26"/>
      <c r="UW51" s="26"/>
      <c r="UX51" s="26"/>
      <c r="UY51" s="26"/>
      <c r="UZ51" s="26"/>
      <c r="VA51" s="26"/>
      <c r="VB51" s="26"/>
      <c r="VC51" s="26"/>
      <c r="VD51" s="26"/>
      <c r="VE51" s="26"/>
      <c r="VF51" s="26"/>
      <c r="VG51" s="26"/>
      <c r="VH51" s="26"/>
      <c r="VI51" s="26"/>
      <c r="VJ51" s="26"/>
      <c r="VK51" s="26"/>
      <c r="VL51" s="26"/>
      <c r="VM51" s="26"/>
      <c r="VN51" s="26"/>
      <c r="VO51" s="26"/>
      <c r="VP51" s="26"/>
      <c r="VQ51" s="26"/>
      <c r="VR51" s="26"/>
      <c r="VS51" s="26"/>
      <c r="VT51" s="26"/>
      <c r="VU51" s="26"/>
      <c r="VV51" s="26"/>
      <c r="VW51" s="26"/>
      <c r="VX51" s="26"/>
      <c r="VY51" s="26"/>
      <c r="VZ51" s="26"/>
      <c r="WA51" s="26"/>
      <c r="WB51" s="26"/>
      <c r="WC51" s="26"/>
      <c r="WD51" s="26"/>
      <c r="WE51" s="26"/>
      <c r="WF51" s="26"/>
      <c r="WG51" s="26"/>
      <c r="WH51" s="26"/>
      <c r="WI51" s="26"/>
      <c r="WJ51" s="26"/>
      <c r="WK51" s="26"/>
      <c r="WL51" s="26"/>
      <c r="WM51" s="26"/>
      <c r="WN51" s="26"/>
      <c r="WO51" s="26"/>
      <c r="WP51" s="26"/>
      <c r="WQ51" s="26"/>
      <c r="WR51" s="26"/>
      <c r="WS51" s="26"/>
      <c r="WT51" s="26"/>
      <c r="WU51" s="26"/>
      <c r="WV51" s="26"/>
      <c r="WW51" s="26"/>
      <c r="WX51" s="26"/>
      <c r="WY51" s="26"/>
      <c r="WZ51" s="26"/>
      <c r="XA51" s="26"/>
      <c r="XB51" s="26"/>
      <c r="XC51" s="26"/>
      <c r="XD51" s="26"/>
      <c r="XE51" s="26"/>
      <c r="XF51" s="26"/>
      <c r="XG51" s="26"/>
      <c r="XH51" s="26"/>
      <c r="XI51" s="26"/>
      <c r="XJ51" s="26"/>
      <c r="XK51" s="26"/>
      <c r="XL51" s="26"/>
      <c r="XM51" s="26"/>
      <c r="XN51" s="26"/>
      <c r="XO51" s="26"/>
      <c r="XP51" s="26"/>
      <c r="XQ51" s="26"/>
      <c r="XR51" s="26"/>
      <c r="XS51" s="26"/>
      <c r="XT51" s="26"/>
      <c r="XU51" s="26"/>
      <c r="XV51" s="26"/>
      <c r="XW51" s="26"/>
      <c r="XX51" s="26"/>
      <c r="XY51" s="26"/>
      <c r="XZ51" s="26"/>
      <c r="YA51" s="26"/>
      <c r="YB51" s="26"/>
      <c r="YC51" s="26"/>
      <c r="YD51" s="26"/>
      <c r="YE51" s="26"/>
      <c r="YF51" s="26"/>
      <c r="YG51" s="26"/>
      <c r="YH51" s="26"/>
      <c r="YI51" s="26"/>
      <c r="YJ51" s="26"/>
      <c r="YK51" s="26"/>
      <c r="YL51" s="26"/>
      <c r="YM51" s="26"/>
      <c r="YN51" s="26"/>
      <c r="YO51" s="26"/>
      <c r="YP51" s="26"/>
      <c r="YQ51" s="26"/>
      <c r="YR51" s="26"/>
      <c r="YS51" s="26"/>
      <c r="YT51" s="26"/>
      <c r="YU51" s="26"/>
      <c r="YV51" s="26"/>
      <c r="YW51" s="26"/>
      <c r="YX51" s="26"/>
      <c r="YY51" s="26"/>
      <c r="YZ51" s="26"/>
      <c r="ZA51" s="26"/>
      <c r="ZB51" s="26"/>
      <c r="ZC51" s="26"/>
      <c r="ZD51" s="26"/>
      <c r="ZE51" s="26"/>
      <c r="ZF51" s="26"/>
      <c r="ZG51" s="26"/>
      <c r="ZH51" s="26"/>
      <c r="ZI51" s="26"/>
      <c r="ZJ51" s="26"/>
      <c r="ZK51" s="26"/>
      <c r="ZL51" s="26"/>
      <c r="ZM51" s="26"/>
      <c r="ZN51" s="26"/>
      <c r="ZO51" s="26"/>
      <c r="ZP51" s="26"/>
      <c r="ZQ51" s="26"/>
      <c r="ZR51" s="26"/>
      <c r="ZS51" s="26"/>
      <c r="ZT51" s="26"/>
      <c r="ZU51" s="26"/>
      <c r="ZV51" s="26"/>
      <c r="ZW51" s="26"/>
      <c r="ZX51" s="26"/>
      <c r="ZY51" s="26"/>
      <c r="ZZ51" s="26"/>
      <c r="AAA51" s="26"/>
      <c r="AAB51" s="26"/>
      <c r="AAC51" s="26"/>
      <c r="AAD51" s="26"/>
      <c r="AAE51" s="26"/>
      <c r="AAF51" s="26"/>
      <c r="AAG51" s="26"/>
      <c r="AAH51" s="26"/>
      <c r="AAI51" s="26"/>
      <c r="AAJ51" s="26"/>
      <c r="AAK51" s="26"/>
      <c r="AAL51" s="26"/>
      <c r="AAM51" s="26"/>
      <c r="AAN51" s="26"/>
      <c r="AAO51" s="26"/>
      <c r="AAP51" s="26"/>
      <c r="AAQ51" s="26"/>
      <c r="AAR51" s="26"/>
      <c r="AAS51" s="26"/>
      <c r="AAT51" s="26"/>
      <c r="AAU51" s="26"/>
      <c r="AAV51" s="26"/>
      <c r="AAW51" s="26"/>
      <c r="AAX51" s="26"/>
      <c r="AAY51" s="26"/>
      <c r="AAZ51" s="26"/>
      <c r="ABA51" s="26"/>
      <c r="ABB51" s="26"/>
      <c r="ABC51" s="26"/>
      <c r="ABD51" s="26"/>
      <c r="ABE51" s="26"/>
      <c r="ABF51" s="26"/>
      <c r="ABG51" s="26"/>
      <c r="ABH51" s="26"/>
      <c r="ABI51" s="26"/>
      <c r="ABJ51" s="26"/>
      <c r="ABK51" s="26"/>
      <c r="ABL51" s="26"/>
      <c r="ABM51" s="26"/>
      <c r="ABN51" s="26"/>
      <c r="ABO51" s="26"/>
      <c r="ABP51" s="26"/>
      <c r="ABQ51" s="26"/>
      <c r="ABR51" s="26"/>
      <c r="ABS51" s="26"/>
      <c r="ABT51" s="26"/>
      <c r="ABU51" s="26"/>
      <c r="ABV51" s="26"/>
      <c r="ABW51" s="26"/>
      <c r="ABX51" s="26"/>
      <c r="ABY51" s="26"/>
      <c r="ABZ51" s="26"/>
      <c r="ACA51" s="26"/>
      <c r="ACB51" s="26"/>
      <c r="ACC51" s="26"/>
      <c r="ACD51" s="26"/>
      <c r="ACE51" s="26"/>
      <c r="ACF51" s="26"/>
      <c r="ACG51" s="26"/>
      <c r="ACH51" s="26"/>
      <c r="ACI51" s="26"/>
      <c r="ACJ51" s="26"/>
      <c r="ACK51" s="26"/>
      <c r="ACL51" s="26"/>
      <c r="ACM51" s="26"/>
      <c r="ACN51" s="26"/>
      <c r="ACO51" s="26"/>
      <c r="ACP51" s="26"/>
      <c r="ACQ51" s="26"/>
      <c r="ACR51" s="26"/>
      <c r="ACS51" s="26"/>
      <c r="ACT51" s="26"/>
      <c r="ACU51" s="26"/>
      <c r="ACV51" s="26"/>
      <c r="ACW51" s="26"/>
      <c r="ACX51" s="26"/>
      <c r="ACY51" s="26"/>
      <c r="ACZ51" s="26"/>
      <c r="ADA51" s="26"/>
      <c r="ADB51" s="26"/>
      <c r="ADC51" s="26"/>
      <c r="ADD51" s="26"/>
      <c r="ADE51" s="26"/>
      <c r="ADF51" s="26"/>
      <c r="ADG51" s="26"/>
      <c r="ADH51" s="26"/>
      <c r="ADI51" s="26"/>
      <c r="ADJ51" s="26"/>
      <c r="ADK51" s="26"/>
      <c r="ADL51" s="26"/>
      <c r="ADM51" s="26"/>
      <c r="ADN51" s="26"/>
      <c r="ADO51" s="26"/>
      <c r="ADP51" s="26"/>
      <c r="ADQ51" s="26"/>
      <c r="ADR51" s="26"/>
      <c r="ADS51" s="26"/>
      <c r="ADT51" s="26"/>
      <c r="ADU51" s="26"/>
      <c r="ADV51" s="26"/>
      <c r="ADW51" s="26"/>
      <c r="ADX51" s="26"/>
      <c r="ADY51" s="26"/>
      <c r="ADZ51" s="26"/>
      <c r="AEA51" s="26"/>
      <c r="AEB51" s="26"/>
      <c r="AEC51" s="26"/>
      <c r="AED51" s="26"/>
      <c r="AEE51" s="26"/>
      <c r="AEF51" s="26"/>
      <c r="AEG51" s="26"/>
      <c r="AEH51" s="26"/>
      <c r="AEI51" s="26"/>
      <c r="AEJ51" s="26"/>
      <c r="AEK51" s="26"/>
      <c r="AEL51" s="26"/>
      <c r="AEM51" s="26"/>
      <c r="AEN51" s="26"/>
      <c r="AEO51" s="26"/>
      <c r="AEP51" s="26"/>
      <c r="AEQ51" s="26"/>
      <c r="AER51" s="26"/>
      <c r="AES51" s="26"/>
      <c r="AET51" s="26"/>
      <c r="AEU51" s="26"/>
      <c r="AEV51" s="26"/>
      <c r="AEW51" s="26"/>
      <c r="AEX51" s="26"/>
      <c r="AEY51" s="26"/>
      <c r="AEZ51" s="26"/>
      <c r="AFA51" s="26"/>
      <c r="AFB51" s="26"/>
      <c r="AFC51" s="26"/>
      <c r="AFD51" s="26"/>
      <c r="AFE51" s="26"/>
      <c r="AFF51" s="26"/>
      <c r="AFG51" s="26"/>
      <c r="AFH51" s="26"/>
      <c r="AFI51" s="26"/>
      <c r="AFJ51" s="26"/>
      <c r="AFK51" s="26"/>
      <c r="AFL51" s="26"/>
      <c r="AFM51" s="26"/>
      <c r="AFN51" s="26"/>
      <c r="AFO51" s="26"/>
      <c r="AFP51" s="26"/>
      <c r="AFQ51" s="26"/>
      <c r="AFR51" s="26"/>
      <c r="AFS51" s="26"/>
      <c r="AFT51" s="26"/>
      <c r="AFU51" s="26"/>
      <c r="AFV51" s="26"/>
      <c r="AFW51" s="26"/>
      <c r="AFX51" s="26"/>
      <c r="AFY51" s="26"/>
      <c r="AFZ51" s="26"/>
      <c r="AGA51" s="26"/>
      <c r="AGB51" s="26"/>
      <c r="AGC51" s="26"/>
      <c r="AGD51" s="26"/>
      <c r="AGE51" s="26"/>
      <c r="AGF51" s="26"/>
      <c r="AGG51" s="26"/>
      <c r="AGH51" s="26"/>
      <c r="AGI51" s="26"/>
      <c r="AGJ51" s="26"/>
      <c r="AGK51" s="26"/>
      <c r="AGL51" s="26"/>
      <c r="AGM51" s="26"/>
      <c r="AGN51" s="26"/>
      <c r="AGO51" s="26"/>
      <c r="AGP51" s="26"/>
      <c r="AGQ51" s="26"/>
      <c r="AGR51" s="26"/>
      <c r="AGS51" s="26"/>
      <c r="AGT51" s="26"/>
      <c r="AGU51" s="26"/>
      <c r="AGV51" s="26"/>
      <c r="AGW51" s="26"/>
      <c r="AGX51" s="26"/>
      <c r="AGY51" s="26"/>
      <c r="AGZ51" s="26"/>
      <c r="AHA51" s="26"/>
      <c r="AHB51" s="26"/>
      <c r="AHC51" s="26"/>
      <c r="AHD51" s="26"/>
      <c r="AHE51" s="26"/>
      <c r="AHF51" s="26"/>
      <c r="AHG51" s="26"/>
      <c r="AHH51" s="26"/>
      <c r="AHI51" s="26"/>
      <c r="AHJ51" s="26"/>
      <c r="AHK51" s="26"/>
      <c r="AHL51" s="26"/>
      <c r="AHM51" s="26"/>
      <c r="AHN51" s="26"/>
      <c r="AHO51" s="26"/>
      <c r="AHP51" s="26"/>
      <c r="AHQ51" s="26"/>
      <c r="AHR51" s="26"/>
      <c r="AHS51" s="26"/>
      <c r="AHT51" s="26"/>
      <c r="AHU51" s="26"/>
      <c r="AHV51" s="26"/>
      <c r="AHW51" s="26"/>
      <c r="AHX51" s="26"/>
      <c r="AHY51" s="26"/>
      <c r="AHZ51" s="26"/>
      <c r="AIA51" s="26"/>
      <c r="AIB51" s="26"/>
      <c r="AIC51" s="26"/>
      <c r="AID51" s="26"/>
      <c r="AIE51" s="26"/>
      <c r="AIF51" s="26"/>
      <c r="AIG51" s="26"/>
      <c r="AIH51" s="26"/>
      <c r="AII51" s="26"/>
      <c r="AIJ51" s="26"/>
      <c r="AIK51" s="26"/>
      <c r="AIL51" s="26"/>
      <c r="AIM51" s="26"/>
      <c r="AIN51" s="26"/>
      <c r="AIO51" s="26"/>
      <c r="AIP51" s="26"/>
      <c r="AIQ51" s="26"/>
      <c r="AIR51" s="26"/>
      <c r="AIS51" s="26"/>
      <c r="AIT51" s="26"/>
      <c r="AIU51" s="26"/>
      <c r="AIV51" s="26"/>
      <c r="AIW51" s="26"/>
      <c r="AIX51" s="26"/>
      <c r="AIY51" s="26"/>
      <c r="AIZ51" s="26"/>
      <c r="AJA51" s="26"/>
      <c r="AJB51" s="26"/>
      <c r="AJC51" s="26"/>
      <c r="AJD51" s="26"/>
      <c r="AJE51" s="26"/>
      <c r="AJF51" s="26"/>
      <c r="AJG51" s="26"/>
      <c r="AJH51" s="26"/>
      <c r="AJI51" s="26"/>
      <c r="AJJ51" s="26"/>
      <c r="AJK51" s="26"/>
      <c r="AJL51" s="26"/>
      <c r="AJM51" s="26"/>
      <c r="AJN51" s="26"/>
      <c r="AJO51" s="26"/>
      <c r="AJP51" s="26"/>
      <c r="AJQ51" s="26"/>
      <c r="AJR51" s="26"/>
      <c r="AJS51" s="26"/>
      <c r="AJT51" s="26"/>
      <c r="AJU51" s="26"/>
      <c r="AJV51" s="26"/>
      <c r="AJW51" s="26"/>
      <c r="AJX51" s="26"/>
      <c r="AJY51" s="26"/>
      <c r="AJZ51" s="26"/>
      <c r="AKA51" s="26"/>
      <c r="AKB51" s="26"/>
      <c r="AKC51" s="26"/>
      <c r="AKD51" s="26"/>
      <c r="AKE51" s="26"/>
      <c r="AKF51" s="26"/>
      <c r="AKG51" s="26"/>
      <c r="AKH51" s="26"/>
      <c r="AKI51" s="26"/>
      <c r="AKJ51" s="26"/>
      <c r="AKK51" s="26"/>
      <c r="AKL51" s="26"/>
      <c r="AKM51" s="26"/>
      <c r="AKN51" s="26"/>
      <c r="AKO51" s="26"/>
      <c r="AKP51" s="26"/>
      <c r="AKQ51" s="26"/>
      <c r="AKR51" s="26"/>
      <c r="AKS51" s="26"/>
      <c r="AKT51" s="26"/>
      <c r="AKU51" s="26"/>
      <c r="AKV51" s="26"/>
      <c r="AKW51" s="26"/>
      <c r="AKX51" s="26"/>
      <c r="AKY51" s="26"/>
      <c r="AKZ51" s="26"/>
      <c r="ALA51" s="26"/>
      <c r="ALB51" s="26"/>
      <c r="ALC51" s="26"/>
      <c r="ALD51" s="26"/>
      <c r="ALE51" s="26"/>
      <c r="ALF51" s="26"/>
      <c r="ALG51" s="26"/>
      <c r="ALH51" s="26"/>
      <c r="ALI51" s="26"/>
      <c r="ALJ51" s="26"/>
      <c r="ALK51" s="26"/>
      <c r="ALL51" s="26"/>
      <c r="ALM51" s="26"/>
      <c r="ALN51" s="26"/>
      <c r="ALO51" s="26"/>
      <c r="ALP51" s="26"/>
      <c r="ALQ51" s="26"/>
      <c r="ALR51" s="26"/>
      <c r="ALS51" s="26"/>
      <c r="ALT51" s="26"/>
      <c r="ALU51" s="26"/>
      <c r="ALV51" s="26"/>
      <c r="ALW51" s="26"/>
      <c r="ALX51" s="26"/>
      <c r="ALY51" s="26"/>
      <c r="ALZ51" s="26"/>
      <c r="AMA51" s="26"/>
      <c r="AMB51" s="26"/>
      <c r="AMC51" s="26"/>
      <c r="AMD51" s="26"/>
      <c r="AME51" s="26"/>
      <c r="AMF51" s="26"/>
      <c r="AMG51" s="26"/>
      <c r="AMH51" s="26"/>
      <c r="AMI51" s="26"/>
      <c r="AMJ51" s="26"/>
      <c r="AMK51" s="26"/>
    </row>
    <row r="52" spans="1:1025" s="26" customFormat="1" ht="24.75" customHeight="1" x14ac:dyDescent="0.3">
      <c r="A52" s="747" t="s">
        <v>213</v>
      </c>
      <c r="B52" s="747"/>
      <c r="C52" s="747"/>
      <c r="D52" s="747"/>
      <c r="E52" s="747"/>
      <c r="F52" s="747"/>
      <c r="G52" s="747"/>
      <c r="H52" s="38"/>
      <c r="I52" s="118"/>
      <c r="J52" s="118"/>
      <c r="K52" s="118"/>
      <c r="L52" s="118"/>
      <c r="M52" s="118"/>
      <c r="N52" s="118"/>
      <c r="O52" s="118"/>
      <c r="P52" s="118"/>
      <c r="Q52" s="118"/>
      <c r="R52" s="118"/>
      <c r="S52" s="118"/>
      <c r="T52" s="118"/>
      <c r="U52" s="118"/>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62"/>
      <c r="ON52" s="62"/>
      <c r="OO52" s="62"/>
      <c r="OP52" s="62"/>
      <c r="OQ52" s="62"/>
      <c r="OR52" s="62"/>
      <c r="OS52" s="62"/>
      <c r="OT52" s="62"/>
      <c r="OU52" s="62"/>
      <c r="OV52" s="62"/>
      <c r="OW52" s="62"/>
      <c r="OX52" s="62"/>
      <c r="OY52" s="62"/>
      <c r="OZ52" s="62"/>
      <c r="PA52" s="62"/>
      <c r="PB52" s="62"/>
      <c r="PC52" s="62"/>
      <c r="PD52" s="62"/>
      <c r="PE52" s="62"/>
      <c r="PF52" s="62"/>
      <c r="PG52" s="62"/>
      <c r="PH52" s="62"/>
      <c r="PI52" s="62"/>
      <c r="PJ52" s="62"/>
      <c r="PK52" s="62"/>
      <c r="PL52" s="62"/>
      <c r="PM52" s="62"/>
      <c r="PN52" s="62"/>
      <c r="PO52" s="62"/>
      <c r="PP52" s="62"/>
      <c r="PQ52" s="62"/>
      <c r="PR52" s="62"/>
      <c r="PS52" s="62"/>
      <c r="PT52" s="62"/>
      <c r="PU52" s="62"/>
      <c r="PV52" s="62"/>
      <c r="PW52" s="62"/>
      <c r="PX52" s="62"/>
      <c r="PY52" s="62"/>
      <c r="PZ52" s="62"/>
      <c r="QA52" s="62"/>
      <c r="QB52" s="62"/>
      <c r="QC52" s="62"/>
      <c r="QD52" s="62"/>
      <c r="QE52" s="62"/>
      <c r="QF52" s="62"/>
      <c r="QG52" s="62"/>
      <c r="QH52" s="62"/>
      <c r="QI52" s="62"/>
      <c r="QJ52" s="62"/>
      <c r="QK52" s="62"/>
      <c r="QL52" s="62"/>
      <c r="QM52" s="62"/>
      <c r="QN52" s="62"/>
      <c r="QO52" s="62"/>
      <c r="QP52" s="62"/>
      <c r="QQ52" s="62"/>
      <c r="QR52" s="62"/>
      <c r="QS52" s="62"/>
      <c r="QT52" s="62"/>
      <c r="QU52" s="62"/>
      <c r="QV52" s="62"/>
      <c r="QW52" s="62"/>
      <c r="QX52" s="62"/>
      <c r="QY52" s="62"/>
      <c r="QZ52" s="62"/>
      <c r="RA52" s="62"/>
      <c r="RB52" s="62"/>
      <c r="RC52" s="62"/>
      <c r="RD52" s="62"/>
      <c r="RE52" s="62"/>
      <c r="RF52" s="62"/>
      <c r="RG52" s="62"/>
      <c r="RH52" s="62"/>
      <c r="RI52" s="62"/>
      <c r="RJ52" s="62"/>
      <c r="RK52" s="62"/>
      <c r="RL52" s="62"/>
      <c r="RM52" s="62"/>
      <c r="RN52" s="62"/>
      <c r="RO52" s="62"/>
      <c r="RP52" s="62"/>
      <c r="RQ52" s="62"/>
      <c r="RR52" s="62"/>
      <c r="RS52" s="62"/>
      <c r="RT52" s="62"/>
      <c r="RU52" s="62"/>
      <c r="RV52" s="62"/>
      <c r="RW52" s="62"/>
      <c r="RX52" s="62"/>
      <c r="RY52" s="62"/>
      <c r="RZ52" s="62"/>
      <c r="SA52" s="62"/>
      <c r="SB52" s="62"/>
      <c r="SC52" s="62"/>
      <c r="SD52" s="62"/>
      <c r="SE52" s="62"/>
      <c r="SF52" s="62"/>
      <c r="SG52" s="62"/>
      <c r="SH52" s="62"/>
      <c r="SI52" s="62"/>
      <c r="SJ52" s="62"/>
      <c r="SK52" s="62"/>
      <c r="SL52" s="62"/>
      <c r="SM52" s="62"/>
      <c r="SN52" s="62"/>
      <c r="SO52" s="62"/>
      <c r="SP52" s="62"/>
      <c r="SQ52" s="62"/>
      <c r="SR52" s="62"/>
      <c r="SS52" s="62"/>
      <c r="ST52" s="62"/>
      <c r="SU52" s="62"/>
      <c r="SV52" s="62"/>
      <c r="SW52" s="62"/>
      <c r="SX52" s="62"/>
      <c r="SY52" s="62"/>
      <c r="SZ52" s="62"/>
      <c r="TA52" s="62"/>
      <c r="TB52" s="62"/>
      <c r="TC52" s="62"/>
      <c r="TD52" s="62"/>
      <c r="TE52" s="62"/>
      <c r="TF52" s="62"/>
      <c r="TG52" s="62"/>
      <c r="TH52" s="62"/>
      <c r="TI52" s="62"/>
      <c r="TJ52" s="62"/>
      <c r="TK52" s="62"/>
      <c r="TL52" s="62"/>
      <c r="TM52" s="62"/>
      <c r="TN52" s="62"/>
      <c r="TO52" s="62"/>
      <c r="TP52" s="62"/>
      <c r="TQ52" s="62"/>
      <c r="TR52" s="62"/>
      <c r="TS52" s="62"/>
      <c r="TT52" s="62"/>
      <c r="TU52" s="62"/>
      <c r="TV52" s="62"/>
      <c r="TW52" s="62"/>
      <c r="TX52" s="62"/>
      <c r="TY52" s="62"/>
      <c r="TZ52" s="62"/>
      <c r="UA52" s="62"/>
      <c r="UB52" s="62"/>
      <c r="UC52" s="62"/>
      <c r="UD52" s="62"/>
      <c r="UE52" s="62"/>
      <c r="UF52" s="62"/>
      <c r="UG52" s="62"/>
      <c r="UH52" s="62"/>
      <c r="UI52" s="62"/>
      <c r="UJ52" s="62"/>
      <c r="UK52" s="62"/>
      <c r="UL52" s="62"/>
      <c r="UM52" s="62"/>
      <c r="UN52" s="62"/>
      <c r="UO52" s="62"/>
      <c r="UP52" s="62"/>
      <c r="UQ52" s="62"/>
      <c r="UR52" s="62"/>
      <c r="US52" s="62"/>
      <c r="UT52" s="62"/>
      <c r="UU52" s="62"/>
      <c r="UV52" s="62"/>
      <c r="UW52" s="62"/>
      <c r="UX52" s="62"/>
      <c r="UY52" s="62"/>
      <c r="UZ52" s="62"/>
      <c r="VA52" s="62"/>
      <c r="VB52" s="62"/>
      <c r="VC52" s="62"/>
      <c r="VD52" s="62"/>
      <c r="VE52" s="62"/>
      <c r="VF52" s="62"/>
      <c r="VG52" s="62"/>
      <c r="VH52" s="62"/>
      <c r="VI52" s="62"/>
      <c r="VJ52" s="62"/>
      <c r="VK52" s="62"/>
      <c r="VL52" s="62"/>
      <c r="VM52" s="62"/>
      <c r="VN52" s="62"/>
      <c r="VO52" s="62"/>
      <c r="VP52" s="62"/>
      <c r="VQ52" s="62"/>
      <c r="VR52" s="62"/>
      <c r="VS52" s="62"/>
      <c r="VT52" s="62"/>
      <c r="VU52" s="62"/>
      <c r="VV52" s="62"/>
      <c r="VW52" s="62"/>
      <c r="VX52" s="62"/>
      <c r="VY52" s="62"/>
      <c r="VZ52" s="62"/>
      <c r="WA52" s="62"/>
      <c r="WB52" s="62"/>
      <c r="WC52" s="62"/>
      <c r="WD52" s="62"/>
      <c r="WE52" s="62"/>
      <c r="WF52" s="62"/>
      <c r="WG52" s="62"/>
      <c r="WH52" s="62"/>
      <c r="WI52" s="62"/>
      <c r="WJ52" s="62"/>
      <c r="WK52" s="62"/>
      <c r="WL52" s="62"/>
      <c r="WM52" s="62"/>
      <c r="WN52" s="62"/>
      <c r="WO52" s="62"/>
      <c r="WP52" s="62"/>
      <c r="WQ52" s="62"/>
      <c r="WR52" s="62"/>
      <c r="WS52" s="62"/>
      <c r="WT52" s="62"/>
      <c r="WU52" s="62"/>
      <c r="WV52" s="62"/>
      <c r="WW52" s="62"/>
      <c r="WX52" s="62"/>
      <c r="WY52" s="62"/>
      <c r="WZ52" s="62"/>
      <c r="XA52" s="62"/>
      <c r="XB52" s="62"/>
      <c r="XC52" s="62"/>
      <c r="XD52" s="62"/>
      <c r="XE52" s="62"/>
      <c r="XF52" s="62"/>
      <c r="XG52" s="62"/>
      <c r="XH52" s="62"/>
      <c r="XI52" s="62"/>
      <c r="XJ52" s="62"/>
      <c r="XK52" s="62"/>
      <c r="XL52" s="62"/>
      <c r="XM52" s="62"/>
      <c r="XN52" s="62"/>
      <c r="XO52" s="62"/>
      <c r="XP52" s="62"/>
      <c r="XQ52" s="62"/>
      <c r="XR52" s="62"/>
      <c r="XS52" s="62"/>
      <c r="XT52" s="62"/>
      <c r="XU52" s="62"/>
      <c r="XV52" s="62"/>
      <c r="XW52" s="62"/>
      <c r="XX52" s="62"/>
      <c r="XY52" s="62"/>
      <c r="XZ52" s="62"/>
      <c r="YA52" s="62"/>
      <c r="YB52" s="62"/>
      <c r="YC52" s="62"/>
      <c r="YD52" s="62"/>
      <c r="YE52" s="62"/>
      <c r="YF52" s="62"/>
      <c r="YG52" s="62"/>
      <c r="YH52" s="62"/>
      <c r="YI52" s="62"/>
      <c r="YJ52" s="62"/>
      <c r="YK52" s="62"/>
      <c r="YL52" s="62"/>
      <c r="YM52" s="62"/>
      <c r="YN52" s="62"/>
      <c r="YO52" s="62"/>
      <c r="YP52" s="62"/>
      <c r="YQ52" s="62"/>
      <c r="YR52" s="62"/>
      <c r="YS52" s="62"/>
      <c r="YT52" s="62"/>
      <c r="YU52" s="62"/>
      <c r="YV52" s="62"/>
      <c r="YW52" s="62"/>
      <c r="YX52" s="62"/>
      <c r="YY52" s="62"/>
      <c r="YZ52" s="62"/>
      <c r="ZA52" s="62"/>
      <c r="ZB52" s="62"/>
      <c r="ZC52" s="62"/>
      <c r="ZD52" s="62"/>
      <c r="ZE52" s="62"/>
      <c r="ZF52" s="62"/>
      <c r="ZG52" s="62"/>
      <c r="ZH52" s="62"/>
      <c r="ZI52" s="62"/>
      <c r="ZJ52" s="62"/>
      <c r="ZK52" s="62"/>
      <c r="ZL52" s="62"/>
      <c r="ZM52" s="62"/>
      <c r="ZN52" s="62"/>
      <c r="ZO52" s="62"/>
      <c r="ZP52" s="62"/>
      <c r="ZQ52" s="62"/>
      <c r="ZR52" s="62"/>
      <c r="ZS52" s="62"/>
      <c r="ZT52" s="62"/>
      <c r="ZU52" s="62"/>
      <c r="ZV52" s="62"/>
      <c r="ZW52" s="62"/>
      <c r="ZX52" s="62"/>
      <c r="ZY52" s="62"/>
      <c r="ZZ52" s="62"/>
      <c r="AAA52" s="62"/>
      <c r="AAB52" s="62"/>
      <c r="AAC52" s="62"/>
      <c r="AAD52" s="62"/>
      <c r="AAE52" s="62"/>
      <c r="AAF52" s="62"/>
      <c r="AAG52" s="62"/>
      <c r="AAH52" s="62"/>
      <c r="AAI52" s="62"/>
      <c r="AAJ52" s="62"/>
      <c r="AAK52" s="62"/>
      <c r="AAL52" s="62"/>
      <c r="AAM52" s="62"/>
      <c r="AAN52" s="62"/>
      <c r="AAO52" s="62"/>
      <c r="AAP52" s="62"/>
      <c r="AAQ52" s="62"/>
      <c r="AAR52" s="62"/>
      <c r="AAS52" s="62"/>
      <c r="AAT52" s="62"/>
      <c r="AAU52" s="62"/>
      <c r="AAV52" s="62"/>
      <c r="AAW52" s="62"/>
      <c r="AAX52" s="62"/>
      <c r="AAY52" s="62"/>
      <c r="AAZ52" s="62"/>
      <c r="ABA52" s="62"/>
      <c r="ABB52" s="62"/>
      <c r="ABC52" s="62"/>
      <c r="ABD52" s="62"/>
      <c r="ABE52" s="62"/>
      <c r="ABF52" s="62"/>
      <c r="ABG52" s="62"/>
      <c r="ABH52" s="62"/>
      <c r="ABI52" s="62"/>
      <c r="ABJ52" s="62"/>
      <c r="ABK52" s="62"/>
      <c r="ABL52" s="62"/>
      <c r="ABM52" s="62"/>
      <c r="ABN52" s="62"/>
      <c r="ABO52" s="62"/>
      <c r="ABP52" s="62"/>
      <c r="ABQ52" s="62"/>
      <c r="ABR52" s="62"/>
      <c r="ABS52" s="62"/>
      <c r="ABT52" s="62"/>
      <c r="ABU52" s="62"/>
      <c r="ABV52" s="62"/>
      <c r="ABW52" s="62"/>
      <c r="ABX52" s="62"/>
      <c r="ABY52" s="62"/>
      <c r="ABZ52" s="62"/>
      <c r="ACA52" s="62"/>
      <c r="ACB52" s="62"/>
      <c r="ACC52" s="62"/>
      <c r="ACD52" s="62"/>
      <c r="ACE52" s="62"/>
      <c r="ACF52" s="62"/>
      <c r="ACG52" s="62"/>
      <c r="ACH52" s="62"/>
      <c r="ACI52" s="62"/>
      <c r="ACJ52" s="62"/>
      <c r="ACK52" s="62"/>
      <c r="ACL52" s="62"/>
      <c r="ACM52" s="62"/>
      <c r="ACN52" s="62"/>
      <c r="ACO52" s="62"/>
      <c r="ACP52" s="62"/>
      <c r="ACQ52" s="62"/>
      <c r="ACR52" s="62"/>
      <c r="ACS52" s="62"/>
      <c r="ACT52" s="62"/>
      <c r="ACU52" s="62"/>
      <c r="ACV52" s="62"/>
      <c r="ACW52" s="62"/>
      <c r="ACX52" s="62"/>
      <c r="ACY52" s="62"/>
      <c r="ACZ52" s="62"/>
      <c r="ADA52" s="62"/>
      <c r="ADB52" s="62"/>
      <c r="ADC52" s="62"/>
      <c r="ADD52" s="62"/>
      <c r="ADE52" s="62"/>
      <c r="ADF52" s="62"/>
      <c r="ADG52" s="62"/>
      <c r="ADH52" s="62"/>
      <c r="ADI52" s="62"/>
      <c r="ADJ52" s="62"/>
      <c r="ADK52" s="62"/>
      <c r="ADL52" s="62"/>
      <c r="ADM52" s="62"/>
      <c r="ADN52" s="62"/>
      <c r="ADO52" s="62"/>
      <c r="ADP52" s="62"/>
      <c r="ADQ52" s="62"/>
      <c r="ADR52" s="62"/>
      <c r="ADS52" s="62"/>
      <c r="ADT52" s="62"/>
      <c r="ADU52" s="62"/>
      <c r="ADV52" s="62"/>
      <c r="ADW52" s="62"/>
      <c r="ADX52" s="62"/>
      <c r="ADY52" s="62"/>
      <c r="ADZ52" s="62"/>
      <c r="AEA52" s="62"/>
      <c r="AEB52" s="62"/>
      <c r="AEC52" s="62"/>
      <c r="AED52" s="62"/>
      <c r="AEE52" s="62"/>
      <c r="AEF52" s="62"/>
      <c r="AEG52" s="62"/>
      <c r="AEH52" s="62"/>
      <c r="AEI52" s="62"/>
      <c r="AEJ52" s="62"/>
      <c r="AEK52" s="62"/>
      <c r="AEL52" s="62"/>
      <c r="AEM52" s="62"/>
      <c r="AEN52" s="62"/>
      <c r="AEO52" s="62"/>
      <c r="AEP52" s="62"/>
      <c r="AEQ52" s="62"/>
      <c r="AER52" s="62"/>
      <c r="AES52" s="62"/>
      <c r="AET52" s="62"/>
      <c r="AEU52" s="62"/>
      <c r="AEV52" s="62"/>
      <c r="AEW52" s="62"/>
      <c r="AEX52" s="62"/>
      <c r="AEY52" s="62"/>
      <c r="AEZ52" s="62"/>
      <c r="AFA52" s="62"/>
      <c r="AFB52" s="62"/>
      <c r="AFC52" s="62"/>
      <c r="AFD52" s="62"/>
      <c r="AFE52" s="62"/>
      <c r="AFF52" s="62"/>
      <c r="AFG52" s="62"/>
      <c r="AFH52" s="62"/>
      <c r="AFI52" s="62"/>
      <c r="AFJ52" s="62"/>
      <c r="AFK52" s="62"/>
      <c r="AFL52" s="62"/>
      <c r="AFM52" s="62"/>
      <c r="AFN52" s="62"/>
      <c r="AFO52" s="62"/>
      <c r="AFP52" s="62"/>
      <c r="AFQ52" s="62"/>
      <c r="AFR52" s="62"/>
      <c r="AFS52" s="62"/>
      <c r="AFT52" s="62"/>
      <c r="AFU52" s="62"/>
      <c r="AFV52" s="62"/>
      <c r="AFW52" s="62"/>
      <c r="AFX52" s="62"/>
      <c r="AFY52" s="62"/>
      <c r="AFZ52" s="62"/>
      <c r="AGA52" s="62"/>
      <c r="AGB52" s="62"/>
      <c r="AGC52" s="62"/>
      <c r="AGD52" s="62"/>
      <c r="AGE52" s="62"/>
      <c r="AGF52" s="62"/>
      <c r="AGG52" s="62"/>
      <c r="AGH52" s="62"/>
      <c r="AGI52" s="62"/>
      <c r="AGJ52" s="62"/>
      <c r="AGK52" s="62"/>
      <c r="AGL52" s="62"/>
      <c r="AGM52" s="62"/>
      <c r="AGN52" s="62"/>
      <c r="AGO52" s="62"/>
      <c r="AGP52" s="62"/>
      <c r="AGQ52" s="62"/>
      <c r="AGR52" s="62"/>
      <c r="AGS52" s="62"/>
      <c r="AGT52" s="62"/>
      <c r="AGU52" s="62"/>
      <c r="AGV52" s="62"/>
      <c r="AGW52" s="62"/>
      <c r="AGX52" s="62"/>
      <c r="AGY52" s="62"/>
      <c r="AGZ52" s="62"/>
      <c r="AHA52" s="62"/>
      <c r="AHB52" s="62"/>
      <c r="AHC52" s="62"/>
      <c r="AHD52" s="62"/>
      <c r="AHE52" s="62"/>
      <c r="AHF52" s="62"/>
      <c r="AHG52" s="62"/>
      <c r="AHH52" s="62"/>
      <c r="AHI52" s="62"/>
      <c r="AHJ52" s="62"/>
      <c r="AHK52" s="62"/>
      <c r="AHL52" s="62"/>
      <c r="AHM52" s="62"/>
      <c r="AHN52" s="62"/>
      <c r="AHO52" s="62"/>
      <c r="AHP52" s="62"/>
      <c r="AHQ52" s="62"/>
      <c r="AHR52" s="62"/>
      <c r="AHS52" s="62"/>
      <c r="AHT52" s="62"/>
      <c r="AHU52" s="62"/>
      <c r="AHV52" s="62"/>
      <c r="AHW52" s="62"/>
      <c r="AHX52" s="62"/>
      <c r="AHY52" s="62"/>
      <c r="AHZ52" s="62"/>
      <c r="AIA52" s="62"/>
      <c r="AIB52" s="62"/>
      <c r="AIC52" s="62"/>
      <c r="AID52" s="62"/>
      <c r="AIE52" s="62"/>
      <c r="AIF52" s="62"/>
      <c r="AIG52" s="62"/>
      <c r="AIH52" s="62"/>
      <c r="AII52" s="62"/>
      <c r="AIJ52" s="62"/>
      <c r="AIK52" s="62"/>
      <c r="AIL52" s="62"/>
      <c r="AIM52" s="62"/>
      <c r="AIN52" s="62"/>
      <c r="AIO52" s="62"/>
      <c r="AIP52" s="62"/>
      <c r="AIQ52" s="62"/>
      <c r="AIR52" s="62"/>
      <c r="AIS52" s="62"/>
      <c r="AIT52" s="62"/>
      <c r="AIU52" s="62"/>
      <c r="AIV52" s="62"/>
      <c r="AIW52" s="62"/>
      <c r="AIX52" s="62"/>
      <c r="AIY52" s="62"/>
      <c r="AIZ52" s="62"/>
      <c r="AJA52" s="62"/>
      <c r="AJB52" s="62"/>
      <c r="AJC52" s="62"/>
      <c r="AJD52" s="62"/>
      <c r="AJE52" s="62"/>
      <c r="AJF52" s="62"/>
      <c r="AJG52" s="62"/>
      <c r="AJH52" s="62"/>
      <c r="AJI52" s="62"/>
      <c r="AJJ52" s="62"/>
      <c r="AJK52" s="62"/>
      <c r="AJL52" s="62"/>
      <c r="AJM52" s="62"/>
      <c r="AJN52" s="62"/>
      <c r="AJO52" s="62"/>
      <c r="AJP52" s="62"/>
      <c r="AJQ52" s="62"/>
      <c r="AJR52" s="62"/>
      <c r="AJS52" s="62"/>
      <c r="AJT52" s="62"/>
      <c r="AJU52" s="62"/>
      <c r="AJV52" s="62"/>
      <c r="AJW52" s="62"/>
      <c r="AJX52" s="62"/>
      <c r="AJY52" s="62"/>
      <c r="AJZ52" s="62"/>
      <c r="AKA52" s="62"/>
      <c r="AKB52" s="62"/>
      <c r="AKC52" s="62"/>
      <c r="AKD52" s="62"/>
      <c r="AKE52" s="62"/>
      <c r="AKF52" s="62"/>
      <c r="AKG52" s="62"/>
      <c r="AKH52" s="62"/>
      <c r="AKI52" s="62"/>
      <c r="AKJ52" s="62"/>
      <c r="AKK52" s="62"/>
      <c r="AKL52" s="62"/>
      <c r="AKM52" s="62"/>
      <c r="AKN52" s="62"/>
      <c r="AKO52" s="62"/>
      <c r="AKP52" s="62"/>
      <c r="AKQ52" s="62"/>
      <c r="AKR52" s="62"/>
      <c r="AKS52" s="62"/>
      <c r="AKT52" s="62"/>
      <c r="AKU52" s="62"/>
      <c r="AKV52" s="62"/>
      <c r="AKW52" s="62"/>
      <c r="AKX52" s="62"/>
      <c r="AKY52" s="62"/>
      <c r="AKZ52" s="62"/>
      <c r="ALA52" s="62"/>
      <c r="ALB52" s="62"/>
      <c r="ALC52" s="62"/>
      <c r="ALD52" s="62"/>
      <c r="ALE52" s="62"/>
      <c r="ALF52" s="62"/>
      <c r="ALG52" s="62"/>
      <c r="ALH52" s="62"/>
      <c r="ALI52" s="62"/>
      <c r="ALJ52" s="62"/>
      <c r="ALK52" s="62"/>
      <c r="ALL52" s="62"/>
      <c r="ALM52" s="62"/>
      <c r="ALN52" s="62"/>
      <c r="ALO52" s="62"/>
      <c r="ALP52" s="62"/>
      <c r="ALQ52" s="62"/>
      <c r="ALR52" s="62"/>
      <c r="ALS52" s="62"/>
      <c r="ALT52" s="62"/>
      <c r="ALU52" s="62"/>
      <c r="ALV52" s="62"/>
      <c r="ALW52" s="62"/>
      <c r="ALX52" s="62"/>
      <c r="ALY52" s="62"/>
      <c r="ALZ52" s="62"/>
      <c r="AMA52" s="62"/>
      <c r="AMB52" s="62"/>
      <c r="AMC52" s="62"/>
      <c r="AMD52" s="62"/>
      <c r="AME52" s="62"/>
      <c r="AMF52" s="62"/>
      <c r="AMG52" s="62"/>
      <c r="AMH52" s="62"/>
      <c r="AMI52" s="62"/>
      <c r="AMJ52" s="62"/>
      <c r="AMK52" s="62"/>
    </row>
    <row r="53" spans="1:1025" s="26" customFormat="1" ht="24.75" customHeight="1" x14ac:dyDescent="0.3">
      <c r="A53" s="743" t="s">
        <v>214</v>
      </c>
      <c r="B53" s="747" t="str">
        <f>IF(F56="LUCRO REAL","INFORMAR ALÍQUOTAS MÉDIAS DE RECOLHIMENTO DOS ÚLTIMOS 12 (DOZE) MESES.",IF(F56="LUCRO PRESUMIDO","ALÍQUOTAS FIXAS - PIS: 0,65%; COFINS: 3,00%.",IF(F56="SIMPLES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53" s="747"/>
      <c r="D53" s="747"/>
      <c r="E53" s="747"/>
      <c r="F53" s="747"/>
      <c r="G53" s="747"/>
      <c r="H53" s="38"/>
      <c r="I53" s="118"/>
      <c r="J53" s="118"/>
      <c r="K53" s="118"/>
      <c r="L53" s="118"/>
      <c r="M53" s="118"/>
      <c r="N53" s="118"/>
      <c r="O53" s="118"/>
      <c r="P53" s="118"/>
      <c r="Q53" s="118"/>
      <c r="R53" s="118"/>
      <c r="S53" s="118"/>
      <c r="T53" s="118"/>
      <c r="U53" s="118"/>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62"/>
      <c r="ON53" s="62"/>
      <c r="OO53" s="62"/>
      <c r="OP53" s="62"/>
      <c r="OQ53" s="62"/>
      <c r="OR53" s="62"/>
      <c r="OS53" s="62"/>
      <c r="OT53" s="62"/>
      <c r="OU53" s="62"/>
      <c r="OV53" s="62"/>
      <c r="OW53" s="62"/>
      <c r="OX53" s="62"/>
      <c r="OY53" s="62"/>
      <c r="OZ53" s="62"/>
      <c r="PA53" s="62"/>
      <c r="PB53" s="62"/>
      <c r="PC53" s="62"/>
      <c r="PD53" s="62"/>
      <c r="PE53" s="62"/>
      <c r="PF53" s="62"/>
      <c r="PG53" s="62"/>
      <c r="PH53" s="62"/>
      <c r="PI53" s="62"/>
      <c r="PJ53" s="62"/>
      <c r="PK53" s="62"/>
      <c r="PL53" s="62"/>
      <c r="PM53" s="62"/>
      <c r="PN53" s="62"/>
      <c r="PO53" s="62"/>
      <c r="PP53" s="62"/>
      <c r="PQ53" s="62"/>
      <c r="PR53" s="62"/>
      <c r="PS53" s="62"/>
      <c r="PT53" s="62"/>
      <c r="PU53" s="62"/>
      <c r="PV53" s="62"/>
      <c r="PW53" s="62"/>
      <c r="PX53" s="62"/>
      <c r="PY53" s="62"/>
      <c r="PZ53" s="62"/>
      <c r="QA53" s="62"/>
      <c r="QB53" s="62"/>
      <c r="QC53" s="62"/>
      <c r="QD53" s="62"/>
      <c r="QE53" s="62"/>
      <c r="QF53" s="62"/>
      <c r="QG53" s="62"/>
      <c r="QH53" s="62"/>
      <c r="QI53" s="62"/>
      <c r="QJ53" s="62"/>
      <c r="QK53" s="62"/>
      <c r="QL53" s="62"/>
      <c r="QM53" s="62"/>
      <c r="QN53" s="62"/>
      <c r="QO53" s="62"/>
      <c r="QP53" s="62"/>
      <c r="QQ53" s="62"/>
      <c r="QR53" s="62"/>
      <c r="QS53" s="62"/>
      <c r="QT53" s="62"/>
      <c r="QU53" s="62"/>
      <c r="QV53" s="62"/>
      <c r="QW53" s="62"/>
      <c r="QX53" s="62"/>
      <c r="QY53" s="62"/>
      <c r="QZ53" s="62"/>
      <c r="RA53" s="62"/>
      <c r="RB53" s="62"/>
      <c r="RC53" s="62"/>
      <c r="RD53" s="62"/>
      <c r="RE53" s="62"/>
      <c r="RF53" s="62"/>
      <c r="RG53" s="62"/>
      <c r="RH53" s="62"/>
      <c r="RI53" s="62"/>
      <c r="RJ53" s="62"/>
      <c r="RK53" s="62"/>
      <c r="RL53" s="62"/>
      <c r="RM53" s="62"/>
      <c r="RN53" s="62"/>
      <c r="RO53" s="62"/>
      <c r="RP53" s="62"/>
      <c r="RQ53" s="62"/>
      <c r="RR53" s="62"/>
      <c r="RS53" s="62"/>
      <c r="RT53" s="62"/>
      <c r="RU53" s="62"/>
      <c r="RV53" s="62"/>
      <c r="RW53" s="62"/>
      <c r="RX53" s="62"/>
      <c r="RY53" s="62"/>
      <c r="RZ53" s="62"/>
      <c r="SA53" s="62"/>
      <c r="SB53" s="62"/>
      <c r="SC53" s="62"/>
      <c r="SD53" s="62"/>
      <c r="SE53" s="62"/>
      <c r="SF53" s="62"/>
      <c r="SG53" s="62"/>
      <c r="SH53" s="62"/>
      <c r="SI53" s="62"/>
      <c r="SJ53" s="62"/>
      <c r="SK53" s="62"/>
      <c r="SL53" s="62"/>
      <c r="SM53" s="62"/>
      <c r="SN53" s="62"/>
      <c r="SO53" s="62"/>
      <c r="SP53" s="62"/>
      <c r="SQ53" s="62"/>
      <c r="SR53" s="62"/>
      <c r="SS53" s="62"/>
      <c r="ST53" s="62"/>
      <c r="SU53" s="62"/>
      <c r="SV53" s="62"/>
      <c r="SW53" s="62"/>
      <c r="SX53" s="62"/>
      <c r="SY53" s="62"/>
      <c r="SZ53" s="62"/>
      <c r="TA53" s="62"/>
      <c r="TB53" s="62"/>
      <c r="TC53" s="62"/>
      <c r="TD53" s="62"/>
      <c r="TE53" s="62"/>
      <c r="TF53" s="62"/>
      <c r="TG53" s="62"/>
      <c r="TH53" s="62"/>
      <c r="TI53" s="62"/>
      <c r="TJ53" s="62"/>
      <c r="TK53" s="62"/>
      <c r="TL53" s="62"/>
      <c r="TM53" s="62"/>
      <c r="TN53" s="62"/>
      <c r="TO53" s="62"/>
      <c r="TP53" s="62"/>
      <c r="TQ53" s="62"/>
      <c r="TR53" s="62"/>
      <c r="TS53" s="62"/>
      <c r="TT53" s="62"/>
      <c r="TU53" s="62"/>
      <c r="TV53" s="62"/>
      <c r="TW53" s="62"/>
      <c r="TX53" s="62"/>
      <c r="TY53" s="62"/>
      <c r="TZ53" s="62"/>
      <c r="UA53" s="62"/>
      <c r="UB53" s="62"/>
      <c r="UC53" s="62"/>
      <c r="UD53" s="62"/>
      <c r="UE53" s="62"/>
      <c r="UF53" s="62"/>
      <c r="UG53" s="62"/>
      <c r="UH53" s="62"/>
      <c r="UI53" s="62"/>
      <c r="UJ53" s="62"/>
      <c r="UK53" s="62"/>
      <c r="UL53" s="62"/>
      <c r="UM53" s="62"/>
      <c r="UN53" s="62"/>
      <c r="UO53" s="62"/>
      <c r="UP53" s="62"/>
      <c r="UQ53" s="62"/>
      <c r="UR53" s="62"/>
      <c r="US53" s="62"/>
      <c r="UT53" s="62"/>
      <c r="UU53" s="62"/>
      <c r="UV53" s="62"/>
      <c r="UW53" s="62"/>
      <c r="UX53" s="62"/>
      <c r="UY53" s="62"/>
      <c r="UZ53" s="62"/>
      <c r="VA53" s="62"/>
      <c r="VB53" s="62"/>
      <c r="VC53" s="62"/>
      <c r="VD53" s="62"/>
      <c r="VE53" s="62"/>
      <c r="VF53" s="62"/>
      <c r="VG53" s="62"/>
      <c r="VH53" s="62"/>
      <c r="VI53" s="62"/>
      <c r="VJ53" s="62"/>
      <c r="VK53" s="62"/>
      <c r="VL53" s="62"/>
      <c r="VM53" s="62"/>
      <c r="VN53" s="62"/>
      <c r="VO53" s="62"/>
      <c r="VP53" s="62"/>
      <c r="VQ53" s="62"/>
      <c r="VR53" s="62"/>
      <c r="VS53" s="62"/>
      <c r="VT53" s="62"/>
      <c r="VU53" s="62"/>
      <c r="VV53" s="62"/>
      <c r="VW53" s="62"/>
      <c r="VX53" s="62"/>
      <c r="VY53" s="62"/>
      <c r="VZ53" s="62"/>
      <c r="WA53" s="62"/>
      <c r="WB53" s="62"/>
      <c r="WC53" s="62"/>
      <c r="WD53" s="62"/>
      <c r="WE53" s="62"/>
      <c r="WF53" s="62"/>
      <c r="WG53" s="62"/>
      <c r="WH53" s="62"/>
      <c r="WI53" s="62"/>
      <c r="WJ53" s="62"/>
      <c r="WK53" s="62"/>
      <c r="WL53" s="62"/>
      <c r="WM53" s="62"/>
      <c r="WN53" s="62"/>
      <c r="WO53" s="62"/>
      <c r="WP53" s="62"/>
      <c r="WQ53" s="62"/>
      <c r="WR53" s="62"/>
      <c r="WS53" s="62"/>
      <c r="WT53" s="62"/>
      <c r="WU53" s="62"/>
      <c r="WV53" s="62"/>
      <c r="WW53" s="62"/>
      <c r="WX53" s="62"/>
      <c r="WY53" s="62"/>
      <c r="WZ53" s="62"/>
      <c r="XA53" s="62"/>
      <c r="XB53" s="62"/>
      <c r="XC53" s="62"/>
      <c r="XD53" s="62"/>
      <c r="XE53" s="62"/>
      <c r="XF53" s="62"/>
      <c r="XG53" s="62"/>
      <c r="XH53" s="62"/>
      <c r="XI53" s="62"/>
      <c r="XJ53" s="62"/>
      <c r="XK53" s="62"/>
      <c r="XL53" s="62"/>
      <c r="XM53" s="62"/>
      <c r="XN53" s="62"/>
      <c r="XO53" s="62"/>
      <c r="XP53" s="62"/>
      <c r="XQ53" s="62"/>
      <c r="XR53" s="62"/>
      <c r="XS53" s="62"/>
      <c r="XT53" s="62"/>
      <c r="XU53" s="62"/>
      <c r="XV53" s="62"/>
      <c r="XW53" s="62"/>
      <c r="XX53" s="62"/>
      <c r="XY53" s="62"/>
      <c r="XZ53" s="62"/>
      <c r="YA53" s="62"/>
      <c r="YB53" s="62"/>
      <c r="YC53" s="62"/>
      <c r="YD53" s="62"/>
      <c r="YE53" s="62"/>
      <c r="YF53" s="62"/>
      <c r="YG53" s="62"/>
      <c r="YH53" s="62"/>
      <c r="YI53" s="62"/>
      <c r="YJ53" s="62"/>
      <c r="YK53" s="62"/>
      <c r="YL53" s="62"/>
      <c r="YM53" s="62"/>
      <c r="YN53" s="62"/>
      <c r="YO53" s="62"/>
      <c r="YP53" s="62"/>
      <c r="YQ53" s="62"/>
      <c r="YR53" s="62"/>
      <c r="YS53" s="62"/>
      <c r="YT53" s="62"/>
      <c r="YU53" s="62"/>
      <c r="YV53" s="62"/>
      <c r="YW53" s="62"/>
      <c r="YX53" s="62"/>
      <c r="YY53" s="62"/>
      <c r="YZ53" s="62"/>
      <c r="ZA53" s="62"/>
      <c r="ZB53" s="62"/>
      <c r="ZC53" s="62"/>
      <c r="ZD53" s="62"/>
      <c r="ZE53" s="62"/>
      <c r="ZF53" s="62"/>
      <c r="ZG53" s="62"/>
      <c r="ZH53" s="62"/>
      <c r="ZI53" s="62"/>
      <c r="ZJ53" s="62"/>
      <c r="ZK53" s="62"/>
      <c r="ZL53" s="62"/>
      <c r="ZM53" s="62"/>
      <c r="ZN53" s="62"/>
      <c r="ZO53" s="62"/>
      <c r="ZP53" s="62"/>
      <c r="ZQ53" s="62"/>
      <c r="ZR53" s="62"/>
      <c r="ZS53" s="62"/>
      <c r="ZT53" s="62"/>
      <c r="ZU53" s="62"/>
      <c r="ZV53" s="62"/>
      <c r="ZW53" s="62"/>
      <c r="ZX53" s="62"/>
      <c r="ZY53" s="62"/>
      <c r="ZZ53" s="62"/>
      <c r="AAA53" s="62"/>
      <c r="AAB53" s="62"/>
      <c r="AAC53" s="62"/>
      <c r="AAD53" s="62"/>
      <c r="AAE53" s="62"/>
      <c r="AAF53" s="62"/>
      <c r="AAG53" s="62"/>
      <c r="AAH53" s="62"/>
      <c r="AAI53" s="62"/>
      <c r="AAJ53" s="62"/>
      <c r="AAK53" s="62"/>
      <c r="AAL53" s="62"/>
      <c r="AAM53" s="62"/>
      <c r="AAN53" s="62"/>
      <c r="AAO53" s="62"/>
      <c r="AAP53" s="62"/>
      <c r="AAQ53" s="62"/>
      <c r="AAR53" s="62"/>
      <c r="AAS53" s="62"/>
      <c r="AAT53" s="62"/>
      <c r="AAU53" s="62"/>
      <c r="AAV53" s="62"/>
      <c r="AAW53" s="62"/>
      <c r="AAX53" s="62"/>
      <c r="AAY53" s="62"/>
      <c r="AAZ53" s="62"/>
      <c r="ABA53" s="62"/>
      <c r="ABB53" s="62"/>
      <c r="ABC53" s="62"/>
      <c r="ABD53" s="62"/>
      <c r="ABE53" s="62"/>
      <c r="ABF53" s="62"/>
      <c r="ABG53" s="62"/>
      <c r="ABH53" s="62"/>
      <c r="ABI53" s="62"/>
      <c r="ABJ53" s="62"/>
      <c r="ABK53" s="62"/>
      <c r="ABL53" s="62"/>
      <c r="ABM53" s="62"/>
      <c r="ABN53" s="62"/>
      <c r="ABO53" s="62"/>
      <c r="ABP53" s="62"/>
      <c r="ABQ53" s="62"/>
      <c r="ABR53" s="62"/>
      <c r="ABS53" s="62"/>
      <c r="ABT53" s="62"/>
      <c r="ABU53" s="62"/>
      <c r="ABV53" s="62"/>
      <c r="ABW53" s="62"/>
      <c r="ABX53" s="62"/>
      <c r="ABY53" s="62"/>
      <c r="ABZ53" s="62"/>
      <c r="ACA53" s="62"/>
      <c r="ACB53" s="62"/>
      <c r="ACC53" s="62"/>
      <c r="ACD53" s="62"/>
      <c r="ACE53" s="62"/>
      <c r="ACF53" s="62"/>
      <c r="ACG53" s="62"/>
      <c r="ACH53" s="62"/>
      <c r="ACI53" s="62"/>
      <c r="ACJ53" s="62"/>
      <c r="ACK53" s="62"/>
      <c r="ACL53" s="62"/>
      <c r="ACM53" s="62"/>
      <c r="ACN53" s="62"/>
      <c r="ACO53" s="62"/>
      <c r="ACP53" s="62"/>
      <c r="ACQ53" s="62"/>
      <c r="ACR53" s="62"/>
      <c r="ACS53" s="62"/>
      <c r="ACT53" s="62"/>
      <c r="ACU53" s="62"/>
      <c r="ACV53" s="62"/>
      <c r="ACW53" s="62"/>
      <c r="ACX53" s="62"/>
      <c r="ACY53" s="62"/>
      <c r="ACZ53" s="62"/>
      <c r="ADA53" s="62"/>
      <c r="ADB53" s="62"/>
      <c r="ADC53" s="62"/>
      <c r="ADD53" s="62"/>
      <c r="ADE53" s="62"/>
      <c r="ADF53" s="62"/>
      <c r="ADG53" s="62"/>
      <c r="ADH53" s="62"/>
      <c r="ADI53" s="62"/>
      <c r="ADJ53" s="62"/>
      <c r="ADK53" s="62"/>
      <c r="ADL53" s="62"/>
      <c r="ADM53" s="62"/>
      <c r="ADN53" s="62"/>
      <c r="ADO53" s="62"/>
      <c r="ADP53" s="62"/>
      <c r="ADQ53" s="62"/>
      <c r="ADR53" s="62"/>
      <c r="ADS53" s="62"/>
      <c r="ADT53" s="62"/>
      <c r="ADU53" s="62"/>
      <c r="ADV53" s="62"/>
      <c r="ADW53" s="62"/>
      <c r="ADX53" s="62"/>
      <c r="ADY53" s="62"/>
      <c r="ADZ53" s="62"/>
      <c r="AEA53" s="62"/>
      <c r="AEB53" s="62"/>
      <c r="AEC53" s="62"/>
      <c r="AED53" s="62"/>
      <c r="AEE53" s="62"/>
      <c r="AEF53" s="62"/>
      <c r="AEG53" s="62"/>
      <c r="AEH53" s="62"/>
      <c r="AEI53" s="62"/>
      <c r="AEJ53" s="62"/>
      <c r="AEK53" s="62"/>
      <c r="AEL53" s="62"/>
      <c r="AEM53" s="62"/>
      <c r="AEN53" s="62"/>
      <c r="AEO53" s="62"/>
      <c r="AEP53" s="62"/>
      <c r="AEQ53" s="62"/>
      <c r="AER53" s="62"/>
      <c r="AES53" s="62"/>
      <c r="AET53" s="62"/>
      <c r="AEU53" s="62"/>
      <c r="AEV53" s="62"/>
      <c r="AEW53" s="62"/>
      <c r="AEX53" s="62"/>
      <c r="AEY53" s="62"/>
      <c r="AEZ53" s="62"/>
      <c r="AFA53" s="62"/>
      <c r="AFB53" s="62"/>
      <c r="AFC53" s="62"/>
      <c r="AFD53" s="62"/>
      <c r="AFE53" s="62"/>
      <c r="AFF53" s="62"/>
      <c r="AFG53" s="62"/>
      <c r="AFH53" s="62"/>
      <c r="AFI53" s="62"/>
      <c r="AFJ53" s="62"/>
      <c r="AFK53" s="62"/>
      <c r="AFL53" s="62"/>
      <c r="AFM53" s="62"/>
      <c r="AFN53" s="62"/>
      <c r="AFO53" s="62"/>
      <c r="AFP53" s="62"/>
      <c r="AFQ53" s="62"/>
      <c r="AFR53" s="62"/>
      <c r="AFS53" s="62"/>
      <c r="AFT53" s="62"/>
      <c r="AFU53" s="62"/>
      <c r="AFV53" s="62"/>
      <c r="AFW53" s="62"/>
      <c r="AFX53" s="62"/>
      <c r="AFY53" s="62"/>
      <c r="AFZ53" s="62"/>
      <c r="AGA53" s="62"/>
      <c r="AGB53" s="62"/>
      <c r="AGC53" s="62"/>
      <c r="AGD53" s="62"/>
      <c r="AGE53" s="62"/>
      <c r="AGF53" s="62"/>
      <c r="AGG53" s="62"/>
      <c r="AGH53" s="62"/>
      <c r="AGI53" s="62"/>
      <c r="AGJ53" s="62"/>
      <c r="AGK53" s="62"/>
      <c r="AGL53" s="62"/>
      <c r="AGM53" s="62"/>
      <c r="AGN53" s="62"/>
      <c r="AGO53" s="62"/>
      <c r="AGP53" s="62"/>
      <c r="AGQ53" s="62"/>
      <c r="AGR53" s="62"/>
      <c r="AGS53" s="62"/>
      <c r="AGT53" s="62"/>
      <c r="AGU53" s="62"/>
      <c r="AGV53" s="62"/>
      <c r="AGW53" s="62"/>
      <c r="AGX53" s="62"/>
      <c r="AGY53" s="62"/>
      <c r="AGZ53" s="62"/>
      <c r="AHA53" s="62"/>
      <c r="AHB53" s="62"/>
      <c r="AHC53" s="62"/>
      <c r="AHD53" s="62"/>
      <c r="AHE53" s="62"/>
      <c r="AHF53" s="62"/>
      <c r="AHG53" s="62"/>
      <c r="AHH53" s="62"/>
      <c r="AHI53" s="62"/>
      <c r="AHJ53" s="62"/>
      <c r="AHK53" s="62"/>
      <c r="AHL53" s="62"/>
      <c r="AHM53" s="62"/>
      <c r="AHN53" s="62"/>
      <c r="AHO53" s="62"/>
      <c r="AHP53" s="62"/>
      <c r="AHQ53" s="62"/>
      <c r="AHR53" s="62"/>
      <c r="AHS53" s="62"/>
      <c r="AHT53" s="62"/>
      <c r="AHU53" s="62"/>
      <c r="AHV53" s="62"/>
      <c r="AHW53" s="62"/>
      <c r="AHX53" s="62"/>
      <c r="AHY53" s="62"/>
      <c r="AHZ53" s="62"/>
      <c r="AIA53" s="62"/>
      <c r="AIB53" s="62"/>
      <c r="AIC53" s="62"/>
      <c r="AID53" s="62"/>
      <c r="AIE53" s="62"/>
      <c r="AIF53" s="62"/>
      <c r="AIG53" s="62"/>
      <c r="AIH53" s="62"/>
      <c r="AII53" s="62"/>
      <c r="AIJ53" s="62"/>
      <c r="AIK53" s="62"/>
      <c r="AIL53" s="62"/>
      <c r="AIM53" s="62"/>
      <c r="AIN53" s="62"/>
      <c r="AIO53" s="62"/>
      <c r="AIP53" s="62"/>
      <c r="AIQ53" s="62"/>
      <c r="AIR53" s="62"/>
      <c r="AIS53" s="62"/>
      <c r="AIT53" s="62"/>
      <c r="AIU53" s="62"/>
      <c r="AIV53" s="62"/>
      <c r="AIW53" s="62"/>
      <c r="AIX53" s="62"/>
      <c r="AIY53" s="62"/>
      <c r="AIZ53" s="62"/>
      <c r="AJA53" s="62"/>
      <c r="AJB53" s="62"/>
      <c r="AJC53" s="62"/>
      <c r="AJD53" s="62"/>
      <c r="AJE53" s="62"/>
      <c r="AJF53" s="62"/>
      <c r="AJG53" s="62"/>
      <c r="AJH53" s="62"/>
      <c r="AJI53" s="62"/>
      <c r="AJJ53" s="62"/>
      <c r="AJK53" s="62"/>
      <c r="AJL53" s="62"/>
      <c r="AJM53" s="62"/>
      <c r="AJN53" s="62"/>
      <c r="AJO53" s="62"/>
      <c r="AJP53" s="62"/>
      <c r="AJQ53" s="62"/>
      <c r="AJR53" s="62"/>
      <c r="AJS53" s="62"/>
      <c r="AJT53" s="62"/>
      <c r="AJU53" s="62"/>
      <c r="AJV53" s="62"/>
      <c r="AJW53" s="62"/>
      <c r="AJX53" s="62"/>
      <c r="AJY53" s="62"/>
      <c r="AJZ53" s="62"/>
      <c r="AKA53" s="62"/>
      <c r="AKB53" s="62"/>
      <c r="AKC53" s="62"/>
      <c r="AKD53" s="62"/>
      <c r="AKE53" s="62"/>
      <c r="AKF53" s="62"/>
      <c r="AKG53" s="62"/>
      <c r="AKH53" s="62"/>
      <c r="AKI53" s="62"/>
      <c r="AKJ53" s="62"/>
      <c r="AKK53" s="62"/>
      <c r="AKL53" s="62"/>
      <c r="AKM53" s="62"/>
      <c r="AKN53" s="62"/>
      <c r="AKO53" s="62"/>
      <c r="AKP53" s="62"/>
      <c r="AKQ53" s="62"/>
      <c r="AKR53" s="62"/>
      <c r="AKS53" s="62"/>
      <c r="AKT53" s="62"/>
      <c r="AKU53" s="62"/>
      <c r="AKV53" s="62"/>
      <c r="AKW53" s="62"/>
      <c r="AKX53" s="62"/>
      <c r="AKY53" s="62"/>
      <c r="AKZ53" s="62"/>
      <c r="ALA53" s="62"/>
      <c r="ALB53" s="62"/>
      <c r="ALC53" s="62"/>
      <c r="ALD53" s="62"/>
      <c r="ALE53" s="62"/>
      <c r="ALF53" s="62"/>
      <c r="ALG53" s="62"/>
      <c r="ALH53" s="62"/>
      <c r="ALI53" s="62"/>
      <c r="ALJ53" s="62"/>
      <c r="ALK53" s="62"/>
      <c r="ALL53" s="62"/>
      <c r="ALM53" s="62"/>
      <c r="ALN53" s="62"/>
      <c r="ALO53" s="62"/>
      <c r="ALP53" s="62"/>
      <c r="ALQ53" s="62"/>
      <c r="ALR53" s="62"/>
      <c r="ALS53" s="62"/>
      <c r="ALT53" s="62"/>
      <c r="ALU53" s="62"/>
      <c r="ALV53" s="62"/>
      <c r="ALW53" s="62"/>
      <c r="ALX53" s="62"/>
      <c r="ALY53" s="62"/>
      <c r="ALZ53" s="62"/>
      <c r="AMA53" s="62"/>
      <c r="AMB53" s="62"/>
      <c r="AMC53" s="62"/>
      <c r="AMD53" s="62"/>
      <c r="AME53" s="62"/>
      <c r="AMF53" s="62"/>
      <c r="AMG53" s="62"/>
      <c r="AMH53" s="62"/>
      <c r="AMI53" s="62"/>
      <c r="AMJ53" s="62"/>
      <c r="AMK53" s="62"/>
    </row>
    <row r="54" spans="1:1025" s="26" customFormat="1" ht="24.75" customHeight="1" x14ac:dyDescent="0.3">
      <c r="A54" s="743"/>
      <c r="B54" s="743"/>
      <c r="C54" s="747"/>
      <c r="D54" s="747"/>
      <c r="E54" s="747"/>
      <c r="F54" s="747"/>
      <c r="G54" s="747"/>
      <c r="H54" s="38"/>
      <c r="I54" s="118"/>
      <c r="J54" s="118"/>
      <c r="K54" s="118"/>
      <c r="L54" s="118"/>
      <c r="M54" s="118"/>
      <c r="N54" s="118"/>
      <c r="O54" s="118"/>
      <c r="P54" s="118"/>
      <c r="Q54" s="118"/>
      <c r="R54" s="118"/>
      <c r="S54" s="118"/>
      <c r="T54" s="118"/>
      <c r="U54" s="118"/>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c r="JE54" s="62"/>
      <c r="JF54" s="62"/>
      <c r="JG54" s="62"/>
      <c r="JH54" s="62"/>
      <c r="JI54" s="62"/>
      <c r="JJ54" s="62"/>
      <c r="JK54" s="62"/>
      <c r="JL54" s="62"/>
      <c r="JM54" s="62"/>
      <c r="JN54" s="62"/>
      <c r="JO54" s="62"/>
      <c r="JP54" s="62"/>
      <c r="JQ54" s="62"/>
      <c r="JR54" s="62"/>
      <c r="JS54" s="62"/>
      <c r="JT54" s="62"/>
      <c r="JU54" s="62"/>
      <c r="JV54" s="62"/>
      <c r="JW54" s="62"/>
      <c r="JX54" s="62"/>
      <c r="JY54" s="62"/>
      <c r="JZ54" s="62"/>
      <c r="KA54" s="62"/>
      <c r="KB54" s="62"/>
      <c r="KC54" s="62"/>
      <c r="KD54" s="62"/>
      <c r="KE54" s="62"/>
      <c r="KF54" s="62"/>
      <c r="KG54" s="62"/>
      <c r="KH54" s="62"/>
      <c r="KI54" s="62"/>
      <c r="KJ54" s="62"/>
      <c r="KK54" s="62"/>
      <c r="KL54" s="62"/>
      <c r="KM54" s="62"/>
      <c r="KN54" s="62"/>
      <c r="KO54" s="62"/>
      <c r="KP54" s="62"/>
      <c r="KQ54" s="62"/>
      <c r="KR54" s="62"/>
      <c r="KS54" s="62"/>
      <c r="KT54" s="62"/>
      <c r="KU54" s="62"/>
      <c r="KV54" s="62"/>
      <c r="KW54" s="62"/>
      <c r="KX54" s="62"/>
      <c r="KY54" s="62"/>
      <c r="KZ54" s="62"/>
      <c r="LA54" s="62"/>
      <c r="LB54" s="62"/>
      <c r="LC54" s="62"/>
      <c r="LD54" s="62"/>
      <c r="LE54" s="62"/>
      <c r="LF54" s="62"/>
      <c r="LG54" s="62"/>
      <c r="LH54" s="62"/>
      <c r="LI54" s="62"/>
      <c r="LJ54" s="62"/>
      <c r="LK54" s="62"/>
      <c r="LL54" s="62"/>
      <c r="LM54" s="62"/>
      <c r="LN54" s="62"/>
      <c r="LO54" s="62"/>
      <c r="LP54" s="62"/>
      <c r="LQ54" s="62"/>
      <c r="LR54" s="62"/>
      <c r="LS54" s="62"/>
      <c r="LT54" s="62"/>
      <c r="LU54" s="62"/>
      <c r="LV54" s="62"/>
      <c r="LW54" s="62"/>
      <c r="LX54" s="62"/>
      <c r="LY54" s="62"/>
      <c r="LZ54" s="62"/>
      <c r="MA54" s="62"/>
      <c r="MB54" s="62"/>
      <c r="MC54" s="62"/>
      <c r="MD54" s="62"/>
      <c r="ME54" s="62"/>
      <c r="MF54" s="62"/>
      <c r="MG54" s="62"/>
      <c r="MH54" s="62"/>
      <c r="MI54" s="62"/>
      <c r="MJ54" s="62"/>
      <c r="MK54" s="62"/>
      <c r="ML54" s="62"/>
      <c r="MM54" s="62"/>
      <c r="MN54" s="62"/>
      <c r="MO54" s="62"/>
      <c r="MP54" s="62"/>
      <c r="MQ54" s="62"/>
      <c r="MR54" s="62"/>
      <c r="MS54" s="62"/>
      <c r="MT54" s="62"/>
      <c r="MU54" s="62"/>
      <c r="MV54" s="62"/>
      <c r="MW54" s="62"/>
      <c r="MX54" s="62"/>
      <c r="MY54" s="62"/>
      <c r="MZ54" s="62"/>
      <c r="NA54" s="62"/>
      <c r="NB54" s="62"/>
      <c r="NC54" s="62"/>
      <c r="ND54" s="62"/>
      <c r="NE54" s="62"/>
      <c r="NF54" s="62"/>
      <c r="NG54" s="62"/>
      <c r="NH54" s="62"/>
      <c r="NI54" s="62"/>
      <c r="NJ54" s="62"/>
      <c r="NK54" s="62"/>
      <c r="NL54" s="62"/>
      <c r="NM54" s="62"/>
      <c r="NN54" s="62"/>
      <c r="NO54" s="62"/>
      <c r="NP54" s="62"/>
      <c r="NQ54" s="62"/>
      <c r="NR54" s="62"/>
      <c r="NS54" s="62"/>
      <c r="NT54" s="62"/>
      <c r="NU54" s="62"/>
      <c r="NV54" s="62"/>
      <c r="NW54" s="62"/>
      <c r="NX54" s="62"/>
      <c r="NY54" s="62"/>
      <c r="NZ54" s="62"/>
      <c r="OA54" s="62"/>
      <c r="OB54" s="62"/>
      <c r="OC54" s="62"/>
      <c r="OD54" s="62"/>
      <c r="OE54" s="62"/>
      <c r="OF54" s="62"/>
      <c r="OG54" s="62"/>
      <c r="OH54" s="62"/>
      <c r="OI54" s="62"/>
      <c r="OJ54" s="62"/>
      <c r="OK54" s="62"/>
      <c r="OL54" s="62"/>
      <c r="OM54" s="62"/>
      <c r="ON54" s="62"/>
      <c r="OO54" s="62"/>
      <c r="OP54" s="62"/>
      <c r="OQ54" s="62"/>
      <c r="OR54" s="62"/>
      <c r="OS54" s="62"/>
      <c r="OT54" s="62"/>
      <c r="OU54" s="62"/>
      <c r="OV54" s="62"/>
      <c r="OW54" s="62"/>
      <c r="OX54" s="62"/>
      <c r="OY54" s="62"/>
      <c r="OZ54" s="62"/>
      <c r="PA54" s="62"/>
      <c r="PB54" s="62"/>
      <c r="PC54" s="62"/>
      <c r="PD54" s="62"/>
      <c r="PE54" s="62"/>
      <c r="PF54" s="62"/>
      <c r="PG54" s="62"/>
      <c r="PH54" s="62"/>
      <c r="PI54" s="62"/>
      <c r="PJ54" s="62"/>
      <c r="PK54" s="62"/>
      <c r="PL54" s="62"/>
      <c r="PM54" s="62"/>
      <c r="PN54" s="62"/>
      <c r="PO54" s="62"/>
      <c r="PP54" s="62"/>
      <c r="PQ54" s="62"/>
      <c r="PR54" s="62"/>
      <c r="PS54" s="62"/>
      <c r="PT54" s="62"/>
      <c r="PU54" s="62"/>
      <c r="PV54" s="62"/>
      <c r="PW54" s="62"/>
      <c r="PX54" s="62"/>
      <c r="PY54" s="62"/>
      <c r="PZ54" s="62"/>
      <c r="QA54" s="62"/>
      <c r="QB54" s="62"/>
      <c r="QC54" s="62"/>
      <c r="QD54" s="62"/>
      <c r="QE54" s="62"/>
      <c r="QF54" s="62"/>
      <c r="QG54" s="62"/>
      <c r="QH54" s="62"/>
      <c r="QI54" s="62"/>
      <c r="QJ54" s="62"/>
      <c r="QK54" s="62"/>
      <c r="QL54" s="62"/>
      <c r="QM54" s="62"/>
      <c r="QN54" s="62"/>
      <c r="QO54" s="62"/>
      <c r="QP54" s="62"/>
      <c r="QQ54" s="62"/>
      <c r="QR54" s="62"/>
      <c r="QS54" s="62"/>
      <c r="QT54" s="62"/>
      <c r="QU54" s="62"/>
      <c r="QV54" s="62"/>
      <c r="QW54" s="62"/>
      <c r="QX54" s="62"/>
      <c r="QY54" s="62"/>
      <c r="QZ54" s="62"/>
      <c r="RA54" s="62"/>
      <c r="RB54" s="62"/>
      <c r="RC54" s="62"/>
      <c r="RD54" s="62"/>
      <c r="RE54" s="62"/>
      <c r="RF54" s="62"/>
      <c r="RG54" s="62"/>
      <c r="RH54" s="62"/>
      <c r="RI54" s="62"/>
      <c r="RJ54" s="62"/>
      <c r="RK54" s="62"/>
      <c r="RL54" s="62"/>
      <c r="RM54" s="62"/>
      <c r="RN54" s="62"/>
      <c r="RO54" s="62"/>
      <c r="RP54" s="62"/>
      <c r="RQ54" s="62"/>
      <c r="RR54" s="62"/>
      <c r="RS54" s="62"/>
      <c r="RT54" s="62"/>
      <c r="RU54" s="62"/>
      <c r="RV54" s="62"/>
      <c r="RW54" s="62"/>
      <c r="RX54" s="62"/>
      <c r="RY54" s="62"/>
      <c r="RZ54" s="62"/>
      <c r="SA54" s="62"/>
      <c r="SB54" s="62"/>
      <c r="SC54" s="62"/>
      <c r="SD54" s="62"/>
      <c r="SE54" s="62"/>
      <c r="SF54" s="62"/>
      <c r="SG54" s="62"/>
      <c r="SH54" s="62"/>
      <c r="SI54" s="62"/>
      <c r="SJ54" s="62"/>
      <c r="SK54" s="62"/>
      <c r="SL54" s="62"/>
      <c r="SM54" s="62"/>
      <c r="SN54" s="62"/>
      <c r="SO54" s="62"/>
      <c r="SP54" s="62"/>
      <c r="SQ54" s="62"/>
      <c r="SR54" s="62"/>
      <c r="SS54" s="62"/>
      <c r="ST54" s="62"/>
      <c r="SU54" s="62"/>
      <c r="SV54" s="62"/>
      <c r="SW54" s="62"/>
      <c r="SX54" s="62"/>
      <c r="SY54" s="62"/>
      <c r="SZ54" s="62"/>
      <c r="TA54" s="62"/>
      <c r="TB54" s="62"/>
      <c r="TC54" s="62"/>
      <c r="TD54" s="62"/>
      <c r="TE54" s="62"/>
      <c r="TF54" s="62"/>
      <c r="TG54" s="62"/>
      <c r="TH54" s="62"/>
      <c r="TI54" s="62"/>
      <c r="TJ54" s="62"/>
      <c r="TK54" s="62"/>
      <c r="TL54" s="62"/>
      <c r="TM54" s="62"/>
      <c r="TN54" s="62"/>
      <c r="TO54" s="62"/>
      <c r="TP54" s="62"/>
      <c r="TQ54" s="62"/>
      <c r="TR54" s="62"/>
      <c r="TS54" s="62"/>
      <c r="TT54" s="62"/>
      <c r="TU54" s="62"/>
      <c r="TV54" s="62"/>
      <c r="TW54" s="62"/>
      <c r="TX54" s="62"/>
      <c r="TY54" s="62"/>
      <c r="TZ54" s="62"/>
      <c r="UA54" s="62"/>
      <c r="UB54" s="62"/>
      <c r="UC54" s="62"/>
      <c r="UD54" s="62"/>
      <c r="UE54" s="62"/>
      <c r="UF54" s="62"/>
      <c r="UG54" s="62"/>
      <c r="UH54" s="62"/>
      <c r="UI54" s="62"/>
      <c r="UJ54" s="62"/>
      <c r="UK54" s="62"/>
      <c r="UL54" s="62"/>
      <c r="UM54" s="62"/>
      <c r="UN54" s="62"/>
      <c r="UO54" s="62"/>
      <c r="UP54" s="62"/>
      <c r="UQ54" s="62"/>
      <c r="UR54" s="62"/>
      <c r="US54" s="62"/>
      <c r="UT54" s="62"/>
      <c r="UU54" s="62"/>
      <c r="UV54" s="62"/>
      <c r="UW54" s="62"/>
      <c r="UX54" s="62"/>
      <c r="UY54" s="62"/>
      <c r="UZ54" s="62"/>
      <c r="VA54" s="62"/>
      <c r="VB54" s="62"/>
      <c r="VC54" s="62"/>
      <c r="VD54" s="62"/>
      <c r="VE54" s="62"/>
      <c r="VF54" s="62"/>
      <c r="VG54" s="62"/>
      <c r="VH54" s="62"/>
      <c r="VI54" s="62"/>
      <c r="VJ54" s="62"/>
      <c r="VK54" s="62"/>
      <c r="VL54" s="62"/>
      <c r="VM54" s="62"/>
      <c r="VN54" s="62"/>
      <c r="VO54" s="62"/>
      <c r="VP54" s="62"/>
      <c r="VQ54" s="62"/>
      <c r="VR54" s="62"/>
      <c r="VS54" s="62"/>
      <c r="VT54" s="62"/>
      <c r="VU54" s="62"/>
      <c r="VV54" s="62"/>
      <c r="VW54" s="62"/>
      <c r="VX54" s="62"/>
      <c r="VY54" s="62"/>
      <c r="VZ54" s="62"/>
      <c r="WA54" s="62"/>
      <c r="WB54" s="62"/>
      <c r="WC54" s="62"/>
      <c r="WD54" s="62"/>
      <c r="WE54" s="62"/>
      <c r="WF54" s="62"/>
      <c r="WG54" s="62"/>
      <c r="WH54" s="62"/>
      <c r="WI54" s="62"/>
      <c r="WJ54" s="62"/>
      <c r="WK54" s="62"/>
      <c r="WL54" s="62"/>
      <c r="WM54" s="62"/>
      <c r="WN54" s="62"/>
      <c r="WO54" s="62"/>
      <c r="WP54" s="62"/>
      <c r="WQ54" s="62"/>
      <c r="WR54" s="62"/>
      <c r="WS54" s="62"/>
      <c r="WT54" s="62"/>
      <c r="WU54" s="62"/>
      <c r="WV54" s="62"/>
      <c r="WW54" s="62"/>
      <c r="WX54" s="62"/>
      <c r="WY54" s="62"/>
      <c r="WZ54" s="62"/>
      <c r="XA54" s="62"/>
      <c r="XB54" s="62"/>
      <c r="XC54" s="62"/>
      <c r="XD54" s="62"/>
      <c r="XE54" s="62"/>
      <c r="XF54" s="62"/>
      <c r="XG54" s="62"/>
      <c r="XH54" s="62"/>
      <c r="XI54" s="62"/>
      <c r="XJ54" s="62"/>
      <c r="XK54" s="62"/>
      <c r="XL54" s="62"/>
      <c r="XM54" s="62"/>
      <c r="XN54" s="62"/>
      <c r="XO54" s="62"/>
      <c r="XP54" s="62"/>
      <c r="XQ54" s="62"/>
      <c r="XR54" s="62"/>
      <c r="XS54" s="62"/>
      <c r="XT54" s="62"/>
      <c r="XU54" s="62"/>
      <c r="XV54" s="62"/>
      <c r="XW54" s="62"/>
      <c r="XX54" s="62"/>
      <c r="XY54" s="62"/>
      <c r="XZ54" s="62"/>
      <c r="YA54" s="62"/>
      <c r="YB54" s="62"/>
      <c r="YC54" s="62"/>
      <c r="YD54" s="62"/>
      <c r="YE54" s="62"/>
      <c r="YF54" s="62"/>
      <c r="YG54" s="62"/>
      <c r="YH54" s="62"/>
      <c r="YI54" s="62"/>
      <c r="YJ54" s="62"/>
      <c r="YK54" s="62"/>
      <c r="YL54" s="62"/>
      <c r="YM54" s="62"/>
      <c r="YN54" s="62"/>
      <c r="YO54" s="62"/>
      <c r="YP54" s="62"/>
      <c r="YQ54" s="62"/>
      <c r="YR54" s="62"/>
      <c r="YS54" s="62"/>
      <c r="YT54" s="62"/>
      <c r="YU54" s="62"/>
      <c r="YV54" s="62"/>
      <c r="YW54" s="62"/>
      <c r="YX54" s="62"/>
      <c r="YY54" s="62"/>
      <c r="YZ54" s="62"/>
      <c r="ZA54" s="62"/>
      <c r="ZB54" s="62"/>
      <c r="ZC54" s="62"/>
      <c r="ZD54" s="62"/>
      <c r="ZE54" s="62"/>
      <c r="ZF54" s="62"/>
      <c r="ZG54" s="62"/>
      <c r="ZH54" s="62"/>
      <c r="ZI54" s="62"/>
      <c r="ZJ54" s="62"/>
      <c r="ZK54" s="62"/>
      <c r="ZL54" s="62"/>
      <c r="ZM54" s="62"/>
      <c r="ZN54" s="62"/>
      <c r="ZO54" s="62"/>
      <c r="ZP54" s="62"/>
      <c r="ZQ54" s="62"/>
      <c r="ZR54" s="62"/>
      <c r="ZS54" s="62"/>
      <c r="ZT54" s="62"/>
      <c r="ZU54" s="62"/>
      <c r="ZV54" s="62"/>
      <c r="ZW54" s="62"/>
      <c r="ZX54" s="62"/>
      <c r="ZY54" s="62"/>
      <c r="ZZ54" s="62"/>
      <c r="AAA54" s="62"/>
      <c r="AAB54" s="62"/>
      <c r="AAC54" s="62"/>
      <c r="AAD54" s="62"/>
      <c r="AAE54" s="62"/>
      <c r="AAF54" s="62"/>
      <c r="AAG54" s="62"/>
      <c r="AAH54" s="62"/>
      <c r="AAI54" s="62"/>
      <c r="AAJ54" s="62"/>
      <c r="AAK54" s="62"/>
      <c r="AAL54" s="62"/>
      <c r="AAM54" s="62"/>
      <c r="AAN54" s="62"/>
      <c r="AAO54" s="62"/>
      <c r="AAP54" s="62"/>
      <c r="AAQ54" s="62"/>
      <c r="AAR54" s="62"/>
      <c r="AAS54" s="62"/>
      <c r="AAT54" s="62"/>
      <c r="AAU54" s="62"/>
      <c r="AAV54" s="62"/>
      <c r="AAW54" s="62"/>
      <c r="AAX54" s="62"/>
      <c r="AAY54" s="62"/>
      <c r="AAZ54" s="62"/>
      <c r="ABA54" s="62"/>
      <c r="ABB54" s="62"/>
      <c r="ABC54" s="62"/>
      <c r="ABD54" s="62"/>
      <c r="ABE54" s="62"/>
      <c r="ABF54" s="62"/>
      <c r="ABG54" s="62"/>
      <c r="ABH54" s="62"/>
      <c r="ABI54" s="62"/>
      <c r="ABJ54" s="62"/>
      <c r="ABK54" s="62"/>
      <c r="ABL54" s="62"/>
      <c r="ABM54" s="62"/>
      <c r="ABN54" s="62"/>
      <c r="ABO54" s="62"/>
      <c r="ABP54" s="62"/>
      <c r="ABQ54" s="62"/>
      <c r="ABR54" s="62"/>
      <c r="ABS54" s="62"/>
      <c r="ABT54" s="62"/>
      <c r="ABU54" s="62"/>
      <c r="ABV54" s="62"/>
      <c r="ABW54" s="62"/>
      <c r="ABX54" s="62"/>
      <c r="ABY54" s="62"/>
      <c r="ABZ54" s="62"/>
      <c r="ACA54" s="62"/>
      <c r="ACB54" s="62"/>
      <c r="ACC54" s="62"/>
      <c r="ACD54" s="62"/>
      <c r="ACE54" s="62"/>
      <c r="ACF54" s="62"/>
      <c r="ACG54" s="62"/>
      <c r="ACH54" s="62"/>
      <c r="ACI54" s="62"/>
      <c r="ACJ54" s="62"/>
      <c r="ACK54" s="62"/>
      <c r="ACL54" s="62"/>
      <c r="ACM54" s="62"/>
      <c r="ACN54" s="62"/>
      <c r="ACO54" s="62"/>
      <c r="ACP54" s="62"/>
      <c r="ACQ54" s="62"/>
      <c r="ACR54" s="62"/>
      <c r="ACS54" s="62"/>
      <c r="ACT54" s="62"/>
      <c r="ACU54" s="62"/>
      <c r="ACV54" s="62"/>
      <c r="ACW54" s="62"/>
      <c r="ACX54" s="62"/>
      <c r="ACY54" s="62"/>
      <c r="ACZ54" s="62"/>
      <c r="ADA54" s="62"/>
      <c r="ADB54" s="62"/>
      <c r="ADC54" s="62"/>
      <c r="ADD54" s="62"/>
      <c r="ADE54" s="62"/>
      <c r="ADF54" s="62"/>
      <c r="ADG54" s="62"/>
      <c r="ADH54" s="62"/>
      <c r="ADI54" s="62"/>
      <c r="ADJ54" s="62"/>
      <c r="ADK54" s="62"/>
      <c r="ADL54" s="62"/>
      <c r="ADM54" s="62"/>
      <c r="ADN54" s="62"/>
      <c r="ADO54" s="62"/>
      <c r="ADP54" s="62"/>
      <c r="ADQ54" s="62"/>
      <c r="ADR54" s="62"/>
      <c r="ADS54" s="62"/>
      <c r="ADT54" s="62"/>
      <c r="ADU54" s="62"/>
      <c r="ADV54" s="62"/>
      <c r="ADW54" s="62"/>
      <c r="ADX54" s="62"/>
      <c r="ADY54" s="62"/>
      <c r="ADZ54" s="62"/>
      <c r="AEA54" s="62"/>
      <c r="AEB54" s="62"/>
      <c r="AEC54" s="62"/>
      <c r="AED54" s="62"/>
      <c r="AEE54" s="62"/>
      <c r="AEF54" s="62"/>
      <c r="AEG54" s="62"/>
      <c r="AEH54" s="62"/>
      <c r="AEI54" s="62"/>
      <c r="AEJ54" s="62"/>
      <c r="AEK54" s="62"/>
      <c r="AEL54" s="62"/>
      <c r="AEM54" s="62"/>
      <c r="AEN54" s="62"/>
      <c r="AEO54" s="62"/>
      <c r="AEP54" s="62"/>
      <c r="AEQ54" s="62"/>
      <c r="AER54" s="62"/>
      <c r="AES54" s="62"/>
      <c r="AET54" s="62"/>
      <c r="AEU54" s="62"/>
      <c r="AEV54" s="62"/>
      <c r="AEW54" s="62"/>
      <c r="AEX54" s="62"/>
      <c r="AEY54" s="62"/>
      <c r="AEZ54" s="62"/>
      <c r="AFA54" s="62"/>
      <c r="AFB54" s="62"/>
      <c r="AFC54" s="62"/>
      <c r="AFD54" s="62"/>
      <c r="AFE54" s="62"/>
      <c r="AFF54" s="62"/>
      <c r="AFG54" s="62"/>
      <c r="AFH54" s="62"/>
      <c r="AFI54" s="62"/>
      <c r="AFJ54" s="62"/>
      <c r="AFK54" s="62"/>
      <c r="AFL54" s="62"/>
      <c r="AFM54" s="62"/>
      <c r="AFN54" s="62"/>
      <c r="AFO54" s="62"/>
      <c r="AFP54" s="62"/>
      <c r="AFQ54" s="62"/>
      <c r="AFR54" s="62"/>
      <c r="AFS54" s="62"/>
      <c r="AFT54" s="62"/>
      <c r="AFU54" s="62"/>
      <c r="AFV54" s="62"/>
      <c r="AFW54" s="62"/>
      <c r="AFX54" s="62"/>
      <c r="AFY54" s="62"/>
      <c r="AFZ54" s="62"/>
      <c r="AGA54" s="62"/>
      <c r="AGB54" s="62"/>
      <c r="AGC54" s="62"/>
      <c r="AGD54" s="62"/>
      <c r="AGE54" s="62"/>
      <c r="AGF54" s="62"/>
      <c r="AGG54" s="62"/>
      <c r="AGH54" s="62"/>
      <c r="AGI54" s="62"/>
      <c r="AGJ54" s="62"/>
      <c r="AGK54" s="62"/>
      <c r="AGL54" s="62"/>
      <c r="AGM54" s="62"/>
      <c r="AGN54" s="62"/>
      <c r="AGO54" s="62"/>
      <c r="AGP54" s="62"/>
      <c r="AGQ54" s="62"/>
      <c r="AGR54" s="62"/>
      <c r="AGS54" s="62"/>
      <c r="AGT54" s="62"/>
      <c r="AGU54" s="62"/>
      <c r="AGV54" s="62"/>
      <c r="AGW54" s="62"/>
      <c r="AGX54" s="62"/>
      <c r="AGY54" s="62"/>
      <c r="AGZ54" s="62"/>
      <c r="AHA54" s="62"/>
      <c r="AHB54" s="62"/>
      <c r="AHC54" s="62"/>
      <c r="AHD54" s="62"/>
      <c r="AHE54" s="62"/>
      <c r="AHF54" s="62"/>
      <c r="AHG54" s="62"/>
      <c r="AHH54" s="62"/>
      <c r="AHI54" s="62"/>
      <c r="AHJ54" s="62"/>
      <c r="AHK54" s="62"/>
      <c r="AHL54" s="62"/>
      <c r="AHM54" s="62"/>
      <c r="AHN54" s="62"/>
      <c r="AHO54" s="62"/>
      <c r="AHP54" s="62"/>
      <c r="AHQ54" s="62"/>
      <c r="AHR54" s="62"/>
      <c r="AHS54" s="62"/>
      <c r="AHT54" s="62"/>
      <c r="AHU54" s="62"/>
      <c r="AHV54" s="62"/>
      <c r="AHW54" s="62"/>
      <c r="AHX54" s="62"/>
      <c r="AHY54" s="62"/>
      <c r="AHZ54" s="62"/>
      <c r="AIA54" s="62"/>
      <c r="AIB54" s="62"/>
      <c r="AIC54" s="62"/>
      <c r="AID54" s="62"/>
      <c r="AIE54" s="62"/>
      <c r="AIF54" s="62"/>
      <c r="AIG54" s="62"/>
      <c r="AIH54" s="62"/>
      <c r="AII54" s="62"/>
      <c r="AIJ54" s="62"/>
      <c r="AIK54" s="62"/>
      <c r="AIL54" s="62"/>
      <c r="AIM54" s="62"/>
      <c r="AIN54" s="62"/>
      <c r="AIO54" s="62"/>
      <c r="AIP54" s="62"/>
      <c r="AIQ54" s="62"/>
      <c r="AIR54" s="62"/>
      <c r="AIS54" s="62"/>
      <c r="AIT54" s="62"/>
      <c r="AIU54" s="62"/>
      <c r="AIV54" s="62"/>
      <c r="AIW54" s="62"/>
      <c r="AIX54" s="62"/>
      <c r="AIY54" s="62"/>
      <c r="AIZ54" s="62"/>
      <c r="AJA54" s="62"/>
      <c r="AJB54" s="62"/>
      <c r="AJC54" s="62"/>
      <c r="AJD54" s="62"/>
      <c r="AJE54" s="62"/>
      <c r="AJF54" s="62"/>
      <c r="AJG54" s="62"/>
      <c r="AJH54" s="62"/>
      <c r="AJI54" s="62"/>
      <c r="AJJ54" s="62"/>
      <c r="AJK54" s="62"/>
      <c r="AJL54" s="62"/>
      <c r="AJM54" s="62"/>
      <c r="AJN54" s="62"/>
      <c r="AJO54" s="62"/>
      <c r="AJP54" s="62"/>
      <c r="AJQ54" s="62"/>
      <c r="AJR54" s="62"/>
      <c r="AJS54" s="62"/>
      <c r="AJT54" s="62"/>
      <c r="AJU54" s="62"/>
      <c r="AJV54" s="62"/>
      <c r="AJW54" s="62"/>
      <c r="AJX54" s="62"/>
      <c r="AJY54" s="62"/>
      <c r="AJZ54" s="62"/>
      <c r="AKA54" s="62"/>
      <c r="AKB54" s="62"/>
      <c r="AKC54" s="62"/>
      <c r="AKD54" s="62"/>
      <c r="AKE54" s="62"/>
      <c r="AKF54" s="62"/>
      <c r="AKG54" s="62"/>
      <c r="AKH54" s="62"/>
      <c r="AKI54" s="62"/>
      <c r="AKJ54" s="62"/>
      <c r="AKK54" s="62"/>
      <c r="AKL54" s="62"/>
      <c r="AKM54" s="62"/>
      <c r="AKN54" s="62"/>
      <c r="AKO54" s="62"/>
      <c r="AKP54" s="62"/>
      <c r="AKQ54" s="62"/>
      <c r="AKR54" s="62"/>
      <c r="AKS54" s="62"/>
      <c r="AKT54" s="62"/>
      <c r="AKU54" s="62"/>
      <c r="AKV54" s="62"/>
      <c r="AKW54" s="62"/>
      <c r="AKX54" s="62"/>
      <c r="AKY54" s="62"/>
      <c r="AKZ54" s="62"/>
      <c r="ALA54" s="62"/>
      <c r="ALB54" s="62"/>
      <c r="ALC54" s="62"/>
      <c r="ALD54" s="62"/>
      <c r="ALE54" s="62"/>
      <c r="ALF54" s="62"/>
      <c r="ALG54" s="62"/>
      <c r="ALH54" s="62"/>
      <c r="ALI54" s="62"/>
      <c r="ALJ54" s="62"/>
      <c r="ALK54" s="62"/>
      <c r="ALL54" s="62"/>
      <c r="ALM54" s="62"/>
      <c r="ALN54" s="62"/>
      <c r="ALO54" s="62"/>
      <c r="ALP54" s="62"/>
      <c r="ALQ54" s="62"/>
      <c r="ALR54" s="62"/>
      <c r="ALS54" s="62"/>
      <c r="ALT54" s="62"/>
      <c r="ALU54" s="62"/>
      <c r="ALV54" s="62"/>
      <c r="ALW54" s="62"/>
      <c r="ALX54" s="62"/>
      <c r="ALY54" s="62"/>
      <c r="ALZ54" s="62"/>
      <c r="AMA54" s="62"/>
      <c r="AMB54" s="62"/>
      <c r="AMC54" s="62"/>
      <c r="AMD54" s="62"/>
      <c r="AME54" s="62"/>
      <c r="AMF54" s="62"/>
      <c r="AMG54" s="62"/>
      <c r="AMH54" s="62"/>
      <c r="AMI54" s="62"/>
      <c r="AMJ54" s="62"/>
      <c r="AMK54" s="62"/>
    </row>
    <row r="55" spans="1:1025" s="26" customFormat="1" ht="24.75" customHeight="1" x14ac:dyDescent="0.3">
      <c r="A55" s="743"/>
      <c r="B55" s="743"/>
      <c r="C55" s="747"/>
      <c r="D55" s="747"/>
      <c r="E55" s="747"/>
      <c r="F55" s="747"/>
      <c r="G55" s="747"/>
      <c r="H55" s="38"/>
      <c r="I55" s="118"/>
      <c r="J55" s="118"/>
      <c r="K55" s="118"/>
      <c r="L55" s="118"/>
      <c r="M55" s="118"/>
      <c r="N55" s="118"/>
      <c r="O55" s="118"/>
      <c r="P55" s="118"/>
      <c r="Q55" s="118"/>
      <c r="R55" s="118"/>
      <c r="S55" s="118"/>
      <c r="T55" s="118"/>
      <c r="U55" s="118"/>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62"/>
      <c r="ON55" s="62"/>
      <c r="OO55" s="62"/>
      <c r="OP55" s="62"/>
      <c r="OQ55" s="62"/>
      <c r="OR55" s="62"/>
      <c r="OS55" s="62"/>
      <c r="OT55" s="62"/>
      <c r="OU55" s="62"/>
      <c r="OV55" s="62"/>
      <c r="OW55" s="62"/>
      <c r="OX55" s="62"/>
      <c r="OY55" s="62"/>
      <c r="OZ55" s="62"/>
      <c r="PA55" s="62"/>
      <c r="PB55" s="62"/>
      <c r="PC55" s="62"/>
      <c r="PD55" s="62"/>
      <c r="PE55" s="62"/>
      <c r="PF55" s="62"/>
      <c r="PG55" s="62"/>
      <c r="PH55" s="62"/>
      <c r="PI55" s="62"/>
      <c r="PJ55" s="62"/>
      <c r="PK55" s="62"/>
      <c r="PL55" s="62"/>
      <c r="PM55" s="62"/>
      <c r="PN55" s="62"/>
      <c r="PO55" s="62"/>
      <c r="PP55" s="62"/>
      <c r="PQ55" s="62"/>
      <c r="PR55" s="62"/>
      <c r="PS55" s="62"/>
      <c r="PT55" s="62"/>
      <c r="PU55" s="62"/>
      <c r="PV55" s="62"/>
      <c r="PW55" s="62"/>
      <c r="PX55" s="62"/>
      <c r="PY55" s="62"/>
      <c r="PZ55" s="62"/>
      <c r="QA55" s="62"/>
      <c r="QB55" s="62"/>
      <c r="QC55" s="62"/>
      <c r="QD55" s="62"/>
      <c r="QE55" s="62"/>
      <c r="QF55" s="62"/>
      <c r="QG55" s="62"/>
      <c r="QH55" s="62"/>
      <c r="QI55" s="62"/>
      <c r="QJ55" s="62"/>
      <c r="QK55" s="62"/>
      <c r="QL55" s="62"/>
      <c r="QM55" s="62"/>
      <c r="QN55" s="62"/>
      <c r="QO55" s="62"/>
      <c r="QP55" s="62"/>
      <c r="QQ55" s="62"/>
      <c r="QR55" s="62"/>
      <c r="QS55" s="62"/>
      <c r="QT55" s="62"/>
      <c r="QU55" s="62"/>
      <c r="QV55" s="62"/>
      <c r="QW55" s="62"/>
      <c r="QX55" s="62"/>
      <c r="QY55" s="62"/>
      <c r="QZ55" s="62"/>
      <c r="RA55" s="62"/>
      <c r="RB55" s="62"/>
      <c r="RC55" s="62"/>
      <c r="RD55" s="62"/>
      <c r="RE55" s="62"/>
      <c r="RF55" s="62"/>
      <c r="RG55" s="62"/>
      <c r="RH55" s="62"/>
      <c r="RI55" s="62"/>
      <c r="RJ55" s="62"/>
      <c r="RK55" s="62"/>
      <c r="RL55" s="62"/>
      <c r="RM55" s="62"/>
      <c r="RN55" s="62"/>
      <c r="RO55" s="62"/>
      <c r="RP55" s="62"/>
      <c r="RQ55" s="62"/>
      <c r="RR55" s="62"/>
      <c r="RS55" s="62"/>
      <c r="RT55" s="62"/>
      <c r="RU55" s="62"/>
      <c r="RV55" s="62"/>
      <c r="RW55" s="62"/>
      <c r="RX55" s="62"/>
      <c r="RY55" s="62"/>
      <c r="RZ55" s="62"/>
      <c r="SA55" s="62"/>
      <c r="SB55" s="62"/>
      <c r="SC55" s="62"/>
      <c r="SD55" s="62"/>
      <c r="SE55" s="62"/>
      <c r="SF55" s="62"/>
      <c r="SG55" s="62"/>
      <c r="SH55" s="62"/>
      <c r="SI55" s="62"/>
      <c r="SJ55" s="62"/>
      <c r="SK55" s="62"/>
      <c r="SL55" s="62"/>
      <c r="SM55" s="62"/>
      <c r="SN55" s="62"/>
      <c r="SO55" s="62"/>
      <c r="SP55" s="62"/>
      <c r="SQ55" s="62"/>
      <c r="SR55" s="62"/>
      <c r="SS55" s="62"/>
      <c r="ST55" s="62"/>
      <c r="SU55" s="62"/>
      <c r="SV55" s="62"/>
      <c r="SW55" s="62"/>
      <c r="SX55" s="62"/>
      <c r="SY55" s="62"/>
      <c r="SZ55" s="62"/>
      <c r="TA55" s="62"/>
      <c r="TB55" s="62"/>
      <c r="TC55" s="62"/>
      <c r="TD55" s="62"/>
      <c r="TE55" s="62"/>
      <c r="TF55" s="62"/>
      <c r="TG55" s="62"/>
      <c r="TH55" s="62"/>
      <c r="TI55" s="62"/>
      <c r="TJ55" s="62"/>
      <c r="TK55" s="62"/>
      <c r="TL55" s="62"/>
      <c r="TM55" s="62"/>
      <c r="TN55" s="62"/>
      <c r="TO55" s="62"/>
      <c r="TP55" s="62"/>
      <c r="TQ55" s="62"/>
      <c r="TR55" s="62"/>
      <c r="TS55" s="62"/>
      <c r="TT55" s="62"/>
      <c r="TU55" s="62"/>
      <c r="TV55" s="62"/>
      <c r="TW55" s="62"/>
      <c r="TX55" s="62"/>
      <c r="TY55" s="62"/>
      <c r="TZ55" s="62"/>
      <c r="UA55" s="62"/>
      <c r="UB55" s="62"/>
      <c r="UC55" s="62"/>
      <c r="UD55" s="62"/>
      <c r="UE55" s="62"/>
      <c r="UF55" s="62"/>
      <c r="UG55" s="62"/>
      <c r="UH55" s="62"/>
      <c r="UI55" s="62"/>
      <c r="UJ55" s="62"/>
      <c r="UK55" s="62"/>
      <c r="UL55" s="62"/>
      <c r="UM55" s="62"/>
      <c r="UN55" s="62"/>
      <c r="UO55" s="62"/>
      <c r="UP55" s="62"/>
      <c r="UQ55" s="62"/>
      <c r="UR55" s="62"/>
      <c r="US55" s="62"/>
      <c r="UT55" s="62"/>
      <c r="UU55" s="62"/>
      <c r="UV55" s="62"/>
      <c r="UW55" s="62"/>
      <c r="UX55" s="62"/>
      <c r="UY55" s="62"/>
      <c r="UZ55" s="62"/>
      <c r="VA55" s="62"/>
      <c r="VB55" s="62"/>
      <c r="VC55" s="62"/>
      <c r="VD55" s="62"/>
      <c r="VE55" s="62"/>
      <c r="VF55" s="62"/>
      <c r="VG55" s="62"/>
      <c r="VH55" s="62"/>
      <c r="VI55" s="62"/>
      <c r="VJ55" s="62"/>
      <c r="VK55" s="62"/>
      <c r="VL55" s="62"/>
      <c r="VM55" s="62"/>
      <c r="VN55" s="62"/>
      <c r="VO55" s="62"/>
      <c r="VP55" s="62"/>
      <c r="VQ55" s="62"/>
      <c r="VR55" s="62"/>
      <c r="VS55" s="62"/>
      <c r="VT55" s="62"/>
      <c r="VU55" s="62"/>
      <c r="VV55" s="62"/>
      <c r="VW55" s="62"/>
      <c r="VX55" s="62"/>
      <c r="VY55" s="62"/>
      <c r="VZ55" s="62"/>
      <c r="WA55" s="62"/>
      <c r="WB55" s="62"/>
      <c r="WC55" s="62"/>
      <c r="WD55" s="62"/>
      <c r="WE55" s="62"/>
      <c r="WF55" s="62"/>
      <c r="WG55" s="62"/>
      <c r="WH55" s="62"/>
      <c r="WI55" s="62"/>
      <c r="WJ55" s="62"/>
      <c r="WK55" s="62"/>
      <c r="WL55" s="62"/>
      <c r="WM55" s="62"/>
      <c r="WN55" s="62"/>
      <c r="WO55" s="62"/>
      <c r="WP55" s="62"/>
      <c r="WQ55" s="62"/>
      <c r="WR55" s="62"/>
      <c r="WS55" s="62"/>
      <c r="WT55" s="62"/>
      <c r="WU55" s="62"/>
      <c r="WV55" s="62"/>
      <c r="WW55" s="62"/>
      <c r="WX55" s="62"/>
      <c r="WY55" s="62"/>
      <c r="WZ55" s="62"/>
      <c r="XA55" s="62"/>
      <c r="XB55" s="62"/>
      <c r="XC55" s="62"/>
      <c r="XD55" s="62"/>
      <c r="XE55" s="62"/>
      <c r="XF55" s="62"/>
      <c r="XG55" s="62"/>
      <c r="XH55" s="62"/>
      <c r="XI55" s="62"/>
      <c r="XJ55" s="62"/>
      <c r="XK55" s="62"/>
      <c r="XL55" s="62"/>
      <c r="XM55" s="62"/>
      <c r="XN55" s="62"/>
      <c r="XO55" s="62"/>
      <c r="XP55" s="62"/>
      <c r="XQ55" s="62"/>
      <c r="XR55" s="62"/>
      <c r="XS55" s="62"/>
      <c r="XT55" s="62"/>
      <c r="XU55" s="62"/>
      <c r="XV55" s="62"/>
      <c r="XW55" s="62"/>
      <c r="XX55" s="62"/>
      <c r="XY55" s="62"/>
      <c r="XZ55" s="62"/>
      <c r="YA55" s="62"/>
      <c r="YB55" s="62"/>
      <c r="YC55" s="62"/>
      <c r="YD55" s="62"/>
      <c r="YE55" s="62"/>
      <c r="YF55" s="62"/>
      <c r="YG55" s="62"/>
      <c r="YH55" s="62"/>
      <c r="YI55" s="62"/>
      <c r="YJ55" s="62"/>
      <c r="YK55" s="62"/>
      <c r="YL55" s="62"/>
      <c r="YM55" s="62"/>
      <c r="YN55" s="62"/>
      <c r="YO55" s="62"/>
      <c r="YP55" s="62"/>
      <c r="YQ55" s="62"/>
      <c r="YR55" s="62"/>
      <c r="YS55" s="62"/>
      <c r="YT55" s="62"/>
      <c r="YU55" s="62"/>
      <c r="YV55" s="62"/>
      <c r="YW55" s="62"/>
      <c r="YX55" s="62"/>
      <c r="YY55" s="62"/>
      <c r="YZ55" s="62"/>
      <c r="ZA55" s="62"/>
      <c r="ZB55" s="62"/>
      <c r="ZC55" s="62"/>
      <c r="ZD55" s="62"/>
      <c r="ZE55" s="62"/>
      <c r="ZF55" s="62"/>
      <c r="ZG55" s="62"/>
      <c r="ZH55" s="62"/>
      <c r="ZI55" s="62"/>
      <c r="ZJ55" s="62"/>
      <c r="ZK55" s="62"/>
      <c r="ZL55" s="62"/>
      <c r="ZM55" s="62"/>
      <c r="ZN55" s="62"/>
      <c r="ZO55" s="62"/>
      <c r="ZP55" s="62"/>
      <c r="ZQ55" s="62"/>
      <c r="ZR55" s="62"/>
      <c r="ZS55" s="62"/>
      <c r="ZT55" s="62"/>
      <c r="ZU55" s="62"/>
      <c r="ZV55" s="62"/>
      <c r="ZW55" s="62"/>
      <c r="ZX55" s="62"/>
      <c r="ZY55" s="62"/>
      <c r="ZZ55" s="62"/>
      <c r="AAA55" s="62"/>
      <c r="AAB55" s="62"/>
      <c r="AAC55" s="62"/>
      <c r="AAD55" s="62"/>
      <c r="AAE55" s="62"/>
      <c r="AAF55" s="62"/>
      <c r="AAG55" s="62"/>
      <c r="AAH55" s="62"/>
      <c r="AAI55" s="62"/>
      <c r="AAJ55" s="62"/>
      <c r="AAK55" s="62"/>
      <c r="AAL55" s="62"/>
      <c r="AAM55" s="62"/>
      <c r="AAN55" s="62"/>
      <c r="AAO55" s="62"/>
      <c r="AAP55" s="62"/>
      <c r="AAQ55" s="62"/>
      <c r="AAR55" s="62"/>
      <c r="AAS55" s="62"/>
      <c r="AAT55" s="62"/>
      <c r="AAU55" s="62"/>
      <c r="AAV55" s="62"/>
      <c r="AAW55" s="62"/>
      <c r="AAX55" s="62"/>
      <c r="AAY55" s="62"/>
      <c r="AAZ55" s="62"/>
      <c r="ABA55" s="62"/>
      <c r="ABB55" s="62"/>
      <c r="ABC55" s="62"/>
      <c r="ABD55" s="62"/>
      <c r="ABE55" s="62"/>
      <c r="ABF55" s="62"/>
      <c r="ABG55" s="62"/>
      <c r="ABH55" s="62"/>
      <c r="ABI55" s="62"/>
      <c r="ABJ55" s="62"/>
      <c r="ABK55" s="62"/>
      <c r="ABL55" s="62"/>
      <c r="ABM55" s="62"/>
      <c r="ABN55" s="62"/>
      <c r="ABO55" s="62"/>
      <c r="ABP55" s="62"/>
      <c r="ABQ55" s="62"/>
      <c r="ABR55" s="62"/>
      <c r="ABS55" s="62"/>
      <c r="ABT55" s="62"/>
      <c r="ABU55" s="62"/>
      <c r="ABV55" s="62"/>
      <c r="ABW55" s="62"/>
      <c r="ABX55" s="62"/>
      <c r="ABY55" s="62"/>
      <c r="ABZ55" s="62"/>
      <c r="ACA55" s="62"/>
      <c r="ACB55" s="62"/>
      <c r="ACC55" s="62"/>
      <c r="ACD55" s="62"/>
      <c r="ACE55" s="62"/>
      <c r="ACF55" s="62"/>
      <c r="ACG55" s="62"/>
      <c r="ACH55" s="62"/>
      <c r="ACI55" s="62"/>
      <c r="ACJ55" s="62"/>
      <c r="ACK55" s="62"/>
      <c r="ACL55" s="62"/>
      <c r="ACM55" s="62"/>
      <c r="ACN55" s="62"/>
      <c r="ACO55" s="62"/>
      <c r="ACP55" s="62"/>
      <c r="ACQ55" s="62"/>
      <c r="ACR55" s="62"/>
      <c r="ACS55" s="62"/>
      <c r="ACT55" s="62"/>
      <c r="ACU55" s="62"/>
      <c r="ACV55" s="62"/>
      <c r="ACW55" s="62"/>
      <c r="ACX55" s="62"/>
      <c r="ACY55" s="62"/>
      <c r="ACZ55" s="62"/>
      <c r="ADA55" s="62"/>
      <c r="ADB55" s="62"/>
      <c r="ADC55" s="62"/>
      <c r="ADD55" s="62"/>
      <c r="ADE55" s="62"/>
      <c r="ADF55" s="62"/>
      <c r="ADG55" s="62"/>
      <c r="ADH55" s="62"/>
      <c r="ADI55" s="62"/>
      <c r="ADJ55" s="62"/>
      <c r="ADK55" s="62"/>
      <c r="ADL55" s="62"/>
      <c r="ADM55" s="62"/>
      <c r="ADN55" s="62"/>
      <c r="ADO55" s="62"/>
      <c r="ADP55" s="62"/>
      <c r="ADQ55" s="62"/>
      <c r="ADR55" s="62"/>
      <c r="ADS55" s="62"/>
      <c r="ADT55" s="62"/>
      <c r="ADU55" s="62"/>
      <c r="ADV55" s="62"/>
      <c r="ADW55" s="62"/>
      <c r="ADX55" s="62"/>
      <c r="ADY55" s="62"/>
      <c r="ADZ55" s="62"/>
      <c r="AEA55" s="62"/>
      <c r="AEB55" s="62"/>
      <c r="AEC55" s="62"/>
      <c r="AED55" s="62"/>
      <c r="AEE55" s="62"/>
      <c r="AEF55" s="62"/>
      <c r="AEG55" s="62"/>
      <c r="AEH55" s="62"/>
      <c r="AEI55" s="62"/>
      <c r="AEJ55" s="62"/>
      <c r="AEK55" s="62"/>
      <c r="AEL55" s="62"/>
      <c r="AEM55" s="62"/>
      <c r="AEN55" s="62"/>
      <c r="AEO55" s="62"/>
      <c r="AEP55" s="62"/>
      <c r="AEQ55" s="62"/>
      <c r="AER55" s="62"/>
      <c r="AES55" s="62"/>
      <c r="AET55" s="62"/>
      <c r="AEU55" s="62"/>
      <c r="AEV55" s="62"/>
      <c r="AEW55" s="62"/>
      <c r="AEX55" s="62"/>
      <c r="AEY55" s="62"/>
      <c r="AEZ55" s="62"/>
      <c r="AFA55" s="62"/>
      <c r="AFB55" s="62"/>
      <c r="AFC55" s="62"/>
      <c r="AFD55" s="62"/>
      <c r="AFE55" s="62"/>
      <c r="AFF55" s="62"/>
      <c r="AFG55" s="62"/>
      <c r="AFH55" s="62"/>
      <c r="AFI55" s="62"/>
      <c r="AFJ55" s="62"/>
      <c r="AFK55" s="62"/>
      <c r="AFL55" s="62"/>
      <c r="AFM55" s="62"/>
      <c r="AFN55" s="62"/>
      <c r="AFO55" s="62"/>
      <c r="AFP55" s="62"/>
      <c r="AFQ55" s="62"/>
      <c r="AFR55" s="62"/>
      <c r="AFS55" s="62"/>
      <c r="AFT55" s="62"/>
      <c r="AFU55" s="62"/>
      <c r="AFV55" s="62"/>
      <c r="AFW55" s="62"/>
      <c r="AFX55" s="62"/>
      <c r="AFY55" s="62"/>
      <c r="AFZ55" s="62"/>
      <c r="AGA55" s="62"/>
      <c r="AGB55" s="62"/>
      <c r="AGC55" s="62"/>
      <c r="AGD55" s="62"/>
      <c r="AGE55" s="62"/>
      <c r="AGF55" s="62"/>
      <c r="AGG55" s="62"/>
      <c r="AGH55" s="62"/>
      <c r="AGI55" s="62"/>
      <c r="AGJ55" s="62"/>
      <c r="AGK55" s="62"/>
      <c r="AGL55" s="62"/>
      <c r="AGM55" s="62"/>
      <c r="AGN55" s="62"/>
      <c r="AGO55" s="62"/>
      <c r="AGP55" s="62"/>
      <c r="AGQ55" s="62"/>
      <c r="AGR55" s="62"/>
      <c r="AGS55" s="62"/>
      <c r="AGT55" s="62"/>
      <c r="AGU55" s="62"/>
      <c r="AGV55" s="62"/>
      <c r="AGW55" s="62"/>
      <c r="AGX55" s="62"/>
      <c r="AGY55" s="62"/>
      <c r="AGZ55" s="62"/>
      <c r="AHA55" s="62"/>
      <c r="AHB55" s="62"/>
      <c r="AHC55" s="62"/>
      <c r="AHD55" s="62"/>
      <c r="AHE55" s="62"/>
      <c r="AHF55" s="62"/>
      <c r="AHG55" s="62"/>
      <c r="AHH55" s="62"/>
      <c r="AHI55" s="62"/>
      <c r="AHJ55" s="62"/>
      <c r="AHK55" s="62"/>
      <c r="AHL55" s="62"/>
      <c r="AHM55" s="62"/>
      <c r="AHN55" s="62"/>
      <c r="AHO55" s="62"/>
      <c r="AHP55" s="62"/>
      <c r="AHQ55" s="62"/>
      <c r="AHR55" s="62"/>
      <c r="AHS55" s="62"/>
      <c r="AHT55" s="62"/>
      <c r="AHU55" s="62"/>
      <c r="AHV55" s="62"/>
      <c r="AHW55" s="62"/>
      <c r="AHX55" s="62"/>
      <c r="AHY55" s="62"/>
      <c r="AHZ55" s="62"/>
      <c r="AIA55" s="62"/>
      <c r="AIB55" s="62"/>
      <c r="AIC55" s="62"/>
      <c r="AID55" s="62"/>
      <c r="AIE55" s="62"/>
      <c r="AIF55" s="62"/>
      <c r="AIG55" s="62"/>
      <c r="AIH55" s="62"/>
      <c r="AII55" s="62"/>
      <c r="AIJ55" s="62"/>
      <c r="AIK55" s="62"/>
      <c r="AIL55" s="62"/>
      <c r="AIM55" s="62"/>
      <c r="AIN55" s="62"/>
      <c r="AIO55" s="62"/>
      <c r="AIP55" s="62"/>
      <c r="AIQ55" s="62"/>
      <c r="AIR55" s="62"/>
      <c r="AIS55" s="62"/>
      <c r="AIT55" s="62"/>
      <c r="AIU55" s="62"/>
      <c r="AIV55" s="62"/>
      <c r="AIW55" s="62"/>
      <c r="AIX55" s="62"/>
      <c r="AIY55" s="62"/>
      <c r="AIZ55" s="62"/>
      <c r="AJA55" s="62"/>
      <c r="AJB55" s="62"/>
      <c r="AJC55" s="62"/>
      <c r="AJD55" s="62"/>
      <c r="AJE55" s="62"/>
      <c r="AJF55" s="62"/>
      <c r="AJG55" s="62"/>
      <c r="AJH55" s="62"/>
      <c r="AJI55" s="62"/>
      <c r="AJJ55" s="62"/>
      <c r="AJK55" s="62"/>
      <c r="AJL55" s="62"/>
      <c r="AJM55" s="62"/>
      <c r="AJN55" s="62"/>
      <c r="AJO55" s="62"/>
      <c r="AJP55" s="62"/>
      <c r="AJQ55" s="62"/>
      <c r="AJR55" s="62"/>
      <c r="AJS55" s="62"/>
      <c r="AJT55" s="62"/>
      <c r="AJU55" s="62"/>
      <c r="AJV55" s="62"/>
      <c r="AJW55" s="62"/>
      <c r="AJX55" s="62"/>
      <c r="AJY55" s="62"/>
      <c r="AJZ55" s="62"/>
      <c r="AKA55" s="62"/>
      <c r="AKB55" s="62"/>
      <c r="AKC55" s="62"/>
      <c r="AKD55" s="62"/>
      <c r="AKE55" s="62"/>
      <c r="AKF55" s="62"/>
      <c r="AKG55" s="62"/>
      <c r="AKH55" s="62"/>
      <c r="AKI55" s="62"/>
      <c r="AKJ55" s="62"/>
      <c r="AKK55" s="62"/>
      <c r="AKL55" s="62"/>
      <c r="AKM55" s="62"/>
      <c r="AKN55" s="62"/>
      <c r="AKO55" s="62"/>
      <c r="AKP55" s="62"/>
      <c r="AKQ55" s="62"/>
      <c r="AKR55" s="62"/>
      <c r="AKS55" s="62"/>
      <c r="AKT55" s="62"/>
      <c r="AKU55" s="62"/>
      <c r="AKV55" s="62"/>
      <c r="AKW55" s="62"/>
      <c r="AKX55" s="62"/>
      <c r="AKY55" s="62"/>
      <c r="AKZ55" s="62"/>
      <c r="ALA55" s="62"/>
      <c r="ALB55" s="62"/>
      <c r="ALC55" s="62"/>
      <c r="ALD55" s="62"/>
      <c r="ALE55" s="62"/>
      <c r="ALF55" s="62"/>
      <c r="ALG55" s="62"/>
      <c r="ALH55" s="62"/>
      <c r="ALI55" s="62"/>
      <c r="ALJ55" s="62"/>
      <c r="ALK55" s="62"/>
      <c r="ALL55" s="62"/>
      <c r="ALM55" s="62"/>
      <c r="ALN55" s="62"/>
      <c r="ALO55" s="62"/>
      <c r="ALP55" s="62"/>
      <c r="ALQ55" s="62"/>
      <c r="ALR55" s="62"/>
      <c r="ALS55" s="62"/>
      <c r="ALT55" s="62"/>
      <c r="ALU55" s="62"/>
      <c r="ALV55" s="62"/>
      <c r="ALW55" s="62"/>
      <c r="ALX55" s="62"/>
      <c r="ALY55" s="62"/>
      <c r="ALZ55" s="62"/>
      <c r="AMA55" s="62"/>
      <c r="AMB55" s="62"/>
      <c r="AMC55" s="62"/>
      <c r="AMD55" s="62"/>
      <c r="AME55" s="62"/>
      <c r="AMF55" s="62"/>
      <c r="AMG55" s="62"/>
      <c r="AMH55" s="62"/>
      <c r="AMI55" s="62"/>
      <c r="AMJ55" s="62"/>
      <c r="AMK55" s="62"/>
    </row>
    <row r="56" spans="1:1025" s="26" customFormat="1" ht="24" customHeight="1" x14ac:dyDescent="0.3">
      <c r="A56" s="42">
        <v>1</v>
      </c>
      <c r="B56" s="746" t="s">
        <v>215</v>
      </c>
      <c r="C56" s="746"/>
      <c r="D56" s="746"/>
      <c r="E56" s="746"/>
      <c r="F56" s="748" t="s">
        <v>216</v>
      </c>
      <c r="G56" s="748"/>
      <c r="H56" s="38" t="s">
        <v>217</v>
      </c>
      <c r="U56" s="159"/>
    </row>
    <row r="57" spans="1:1025" s="26" customFormat="1" ht="24" customHeight="1" x14ac:dyDescent="0.3">
      <c r="A57" s="42">
        <v>2</v>
      </c>
      <c r="B57" s="746" t="s">
        <v>218</v>
      </c>
      <c r="C57" s="746"/>
      <c r="D57" s="746"/>
      <c r="E57" s="746"/>
      <c r="F57" s="746"/>
      <c r="G57" s="148">
        <v>7.5999999999999998E-2</v>
      </c>
      <c r="H57" s="38" t="s">
        <v>219</v>
      </c>
    </row>
    <row r="58" spans="1:1025" ht="24" customHeight="1" x14ac:dyDescent="0.3">
      <c r="A58" s="42">
        <v>3</v>
      </c>
      <c r="B58" s="746" t="s">
        <v>220</v>
      </c>
      <c r="C58" s="746"/>
      <c r="D58" s="746"/>
      <c r="E58" s="746"/>
      <c r="F58" s="746"/>
      <c r="G58" s="148">
        <v>1.6500000000000001E-2</v>
      </c>
      <c r="H58" s="38" t="s">
        <v>219</v>
      </c>
      <c r="J58" s="26"/>
      <c r="K58" s="26"/>
    </row>
    <row r="59" spans="1:1025" s="26" customFormat="1" ht="24" customHeight="1" x14ac:dyDescent="0.3">
      <c r="A59" s="42">
        <v>4</v>
      </c>
      <c r="B59" s="746" t="s">
        <v>718</v>
      </c>
      <c r="C59" s="746"/>
      <c r="D59" s="746"/>
      <c r="E59" s="746"/>
      <c r="F59" s="746"/>
      <c r="G59" s="148">
        <v>0.03</v>
      </c>
      <c r="H59" s="38" t="s">
        <v>221</v>
      </c>
    </row>
    <row r="60" spans="1:1025" ht="24" customHeight="1" x14ac:dyDescent="0.3">
      <c r="A60" s="42">
        <v>6</v>
      </c>
      <c r="B60" s="746" t="s">
        <v>719</v>
      </c>
      <c r="C60" s="746"/>
      <c r="D60" s="746"/>
      <c r="E60" s="746"/>
      <c r="F60" s="746"/>
      <c r="G60" s="148">
        <v>0.02</v>
      </c>
      <c r="H60" s="38" t="s">
        <v>222</v>
      </c>
      <c r="J60" s="26"/>
      <c r="K60" s="26"/>
    </row>
    <row r="61" spans="1:1025" ht="21.75" customHeight="1" x14ac:dyDescent="0.3">
      <c r="A61" s="42">
        <v>7</v>
      </c>
      <c r="B61" s="631" t="s">
        <v>223</v>
      </c>
      <c r="C61" s="631"/>
      <c r="D61" s="42" t="s">
        <v>720</v>
      </c>
      <c r="E61" s="633">
        <f>G57+G58+G59</f>
        <v>0.1225</v>
      </c>
      <c r="F61" s="42" t="s">
        <v>721</v>
      </c>
      <c r="G61" s="632">
        <f>G57+G58+G60</f>
        <v>0.1125</v>
      </c>
      <c r="H61" s="38"/>
      <c r="J61" s="26"/>
      <c r="K61" s="26"/>
    </row>
    <row r="62" spans="1:1025" ht="12.75" customHeight="1" x14ac:dyDescent="0.3"/>
    <row r="63" spans="1:1025" x14ac:dyDescent="0.3">
      <c r="J63" s="26"/>
      <c r="K63" s="26"/>
    </row>
    <row r="64" spans="1:1025" hidden="1" x14ac:dyDescent="0.3"/>
    <row r="65" spans="1:21" ht="66.75" hidden="1" customHeight="1" x14ac:dyDescent="0.3">
      <c r="A65" s="743" t="s">
        <v>224</v>
      </c>
      <c r="B65" s="743"/>
      <c r="C65" s="743"/>
      <c r="D65" s="743"/>
      <c r="E65" s="743"/>
      <c r="F65" s="743"/>
      <c r="G65" s="743"/>
      <c r="H65" s="743"/>
      <c r="I65" s="145" t="s">
        <v>225</v>
      </c>
      <c r="J65" s="123" t="s">
        <v>226</v>
      </c>
      <c r="K65" s="145" t="s">
        <v>225</v>
      </c>
      <c r="L65" s="145" t="s">
        <v>227</v>
      </c>
      <c r="M65" s="160" t="s">
        <v>228</v>
      </c>
      <c r="N65" s="123" t="s">
        <v>229</v>
      </c>
      <c r="O65" s="123" t="s">
        <v>230</v>
      </c>
      <c r="P65" s="161"/>
      <c r="Q65" s="161"/>
      <c r="R65" s="162"/>
      <c r="S65" s="162"/>
      <c r="T65" s="162"/>
      <c r="U65" s="162"/>
    </row>
    <row r="66" spans="1:21" ht="15" hidden="1" customHeight="1" x14ac:dyDescent="0.3">
      <c r="A66" s="745" t="s">
        <v>231</v>
      </c>
      <c r="B66" s="745"/>
      <c r="C66" s="42" t="s">
        <v>232</v>
      </c>
      <c r="D66" s="163">
        <f>IPCA!G23</f>
        <v>0</v>
      </c>
      <c r="E66" s="746" t="s">
        <v>233</v>
      </c>
      <c r="F66" s="746"/>
      <c r="G66" s="746"/>
      <c r="H66" s="746"/>
      <c r="I66" s="164" t="s">
        <v>234</v>
      </c>
      <c r="J66" s="164" t="s">
        <v>234</v>
      </c>
      <c r="K66" s="164" t="s">
        <v>234</v>
      </c>
      <c r="L66" s="164" t="s">
        <v>234</v>
      </c>
      <c r="M66" s="165">
        <f>ROUND((100%+D66),2)</f>
        <v>1</v>
      </c>
      <c r="N66" s="166"/>
      <c r="O66" s="167"/>
      <c r="P66" s="168"/>
      <c r="Q66" s="168"/>
      <c r="R66" s="169"/>
      <c r="S66" s="169"/>
      <c r="T66" s="169"/>
      <c r="U66" s="168"/>
    </row>
    <row r="67" spans="1:21" ht="15" hidden="1" customHeight="1" x14ac:dyDescent="0.3">
      <c r="A67" s="745" t="s">
        <v>235</v>
      </c>
      <c r="B67" s="745"/>
      <c r="C67" s="42" t="s">
        <v>232</v>
      </c>
      <c r="D67" s="163">
        <f>IPCA!N23</f>
        <v>0</v>
      </c>
      <c r="E67" s="746" t="s">
        <v>233</v>
      </c>
      <c r="F67" s="746"/>
      <c r="G67" s="746"/>
      <c r="H67" s="746"/>
      <c r="I67" s="164" t="s">
        <v>234</v>
      </c>
      <c r="J67" s="164" t="s">
        <v>234</v>
      </c>
      <c r="K67" s="164" t="s">
        <v>234</v>
      </c>
      <c r="L67" s="164" t="s">
        <v>234</v>
      </c>
      <c r="M67" s="165">
        <f>ROUND((100%+D67),2)</f>
        <v>1</v>
      </c>
      <c r="N67" s="166"/>
      <c r="O67" s="167"/>
      <c r="P67" s="168"/>
      <c r="Q67" s="168"/>
      <c r="R67" s="169"/>
      <c r="S67" s="169"/>
      <c r="T67" s="169"/>
      <c r="U67" s="168"/>
    </row>
    <row r="68" spans="1:21" ht="15" hidden="1" customHeight="1" x14ac:dyDescent="0.3">
      <c r="A68" s="745" t="s">
        <v>236</v>
      </c>
      <c r="B68" s="745"/>
      <c r="C68" s="42" t="s">
        <v>232</v>
      </c>
      <c r="D68" s="163">
        <f>IPCA!U23</f>
        <v>0</v>
      </c>
      <c r="E68" s="746" t="s">
        <v>233</v>
      </c>
      <c r="F68" s="746"/>
      <c r="G68" s="746"/>
      <c r="H68" s="746"/>
      <c r="I68" s="164" t="s">
        <v>234</v>
      </c>
      <c r="J68" s="164" t="s">
        <v>234</v>
      </c>
      <c r="K68" s="164" t="s">
        <v>234</v>
      </c>
      <c r="L68" s="164" t="s">
        <v>234</v>
      </c>
      <c r="M68" s="165">
        <f>ROUND((100%+D68),2)</f>
        <v>1</v>
      </c>
      <c r="N68" s="166"/>
      <c r="O68" s="167"/>
      <c r="P68" s="168"/>
      <c r="Q68" s="168"/>
      <c r="R68" s="169"/>
      <c r="S68" s="169"/>
      <c r="T68" s="169"/>
      <c r="U68" s="168"/>
    </row>
    <row r="69" spans="1:21" ht="15" hidden="1" customHeight="1" x14ac:dyDescent="0.3">
      <c r="A69" s="745" t="s">
        <v>237</v>
      </c>
      <c r="B69" s="745"/>
      <c r="C69" s="42" t="s">
        <v>232</v>
      </c>
      <c r="D69" s="163">
        <f>IPCA!AB23</f>
        <v>0</v>
      </c>
      <c r="E69" s="746" t="s">
        <v>233</v>
      </c>
      <c r="F69" s="746"/>
      <c r="G69" s="746"/>
      <c r="H69" s="746"/>
      <c r="I69" s="164" t="s">
        <v>234</v>
      </c>
      <c r="J69" s="164" t="s">
        <v>234</v>
      </c>
      <c r="K69" s="164" t="s">
        <v>234</v>
      </c>
      <c r="L69" s="164" t="s">
        <v>234</v>
      </c>
      <c r="M69" s="165">
        <f>ROUND((100%+D69),2)</f>
        <v>1</v>
      </c>
      <c r="N69" s="166"/>
      <c r="O69" s="167"/>
      <c r="P69" s="168"/>
      <c r="Q69" s="168"/>
      <c r="R69" s="169"/>
      <c r="S69" s="169"/>
      <c r="T69" s="169"/>
      <c r="U69" s="168"/>
    </row>
    <row r="70" spans="1:21" ht="15" hidden="1" customHeight="1" x14ac:dyDescent="0.3">
      <c r="A70" s="745" t="s">
        <v>238</v>
      </c>
      <c r="B70" s="745"/>
      <c r="C70" s="42" t="s">
        <v>232</v>
      </c>
      <c r="D70" s="163">
        <f>IPCA!AI23</f>
        <v>0</v>
      </c>
      <c r="E70" s="746" t="s">
        <v>233</v>
      </c>
      <c r="F70" s="746"/>
      <c r="G70" s="746"/>
      <c r="H70" s="746"/>
      <c r="I70" s="164" t="s">
        <v>234</v>
      </c>
      <c r="J70" s="164" t="s">
        <v>234</v>
      </c>
      <c r="K70" s="164" t="s">
        <v>234</v>
      </c>
      <c r="L70" s="164" t="s">
        <v>234</v>
      </c>
      <c r="M70" s="165">
        <f>ROUND((100%+D70),2)</f>
        <v>1</v>
      </c>
      <c r="N70" s="166"/>
      <c r="O70" s="167"/>
      <c r="P70" s="168"/>
      <c r="Q70" s="168"/>
      <c r="R70" s="169"/>
      <c r="S70" s="169"/>
      <c r="T70" s="169"/>
      <c r="U70" s="168"/>
    </row>
    <row r="71" spans="1:21" hidden="1" x14ac:dyDescent="0.3">
      <c r="B71" s="170"/>
      <c r="C71" s="170"/>
      <c r="D71" s="170"/>
      <c r="E71" s="170"/>
    </row>
    <row r="72" spans="1:21" ht="30" hidden="1" customHeight="1" x14ac:dyDescent="0.3">
      <c r="A72" s="743" t="s">
        <v>239</v>
      </c>
      <c r="B72" s="743"/>
      <c r="C72" s="743"/>
      <c r="D72" s="171" t="s">
        <v>240</v>
      </c>
      <c r="E72" s="170"/>
    </row>
    <row r="73" spans="1:21" ht="15.75" hidden="1" customHeight="1" x14ac:dyDescent="0.3">
      <c r="A73" s="743"/>
      <c r="B73" s="743"/>
      <c r="C73" s="743"/>
      <c r="D73" s="164" t="s">
        <v>241</v>
      </c>
      <c r="E73" s="170"/>
    </row>
    <row r="74" spans="1:21" ht="30" hidden="1" customHeight="1" x14ac:dyDescent="0.3">
      <c r="A74" s="743" t="s">
        <v>242</v>
      </c>
      <c r="B74" s="743"/>
      <c r="C74" s="743"/>
      <c r="D74" s="171" t="s">
        <v>240</v>
      </c>
      <c r="E74" s="170"/>
    </row>
    <row r="75" spans="1:21" ht="15.75" hidden="1" customHeight="1" x14ac:dyDescent="0.3">
      <c r="A75" s="743"/>
      <c r="B75" s="743"/>
      <c r="C75" s="743"/>
      <c r="D75" s="164" t="s">
        <v>241</v>
      </c>
      <c r="E75" s="170"/>
    </row>
    <row r="76" spans="1:21" ht="30" hidden="1" customHeight="1" x14ac:dyDescent="0.3">
      <c r="A76" s="743" t="s">
        <v>243</v>
      </c>
      <c r="B76" s="743"/>
      <c r="C76" s="743"/>
      <c r="D76" s="171" t="s">
        <v>240</v>
      </c>
      <c r="E76" s="170"/>
    </row>
    <row r="77" spans="1:21" ht="15.75" hidden="1" customHeight="1" x14ac:dyDescent="0.3">
      <c r="A77" s="743"/>
      <c r="B77" s="743"/>
      <c r="C77" s="743"/>
      <c r="D77" s="164" t="s">
        <v>241</v>
      </c>
      <c r="E77" s="170"/>
    </row>
    <row r="78" spans="1:21" ht="42.75" hidden="1" customHeight="1" x14ac:dyDescent="0.3">
      <c r="A78" s="743" t="s">
        <v>244</v>
      </c>
      <c r="B78" s="743"/>
      <c r="C78" s="743"/>
      <c r="D78" s="171" t="s">
        <v>240</v>
      </c>
      <c r="E78" s="172" t="s">
        <v>245</v>
      </c>
      <c r="F78" s="171" t="s">
        <v>246</v>
      </c>
      <c r="G78" s="171" t="s">
        <v>247</v>
      </c>
      <c r="H78" s="171" t="s">
        <v>248</v>
      </c>
      <c r="I78" s="171" t="s">
        <v>249</v>
      </c>
      <c r="J78" s="171" t="s">
        <v>250</v>
      </c>
      <c r="K78" s="170" t="s">
        <v>251</v>
      </c>
    </row>
    <row r="79" spans="1:21" ht="15.75" hidden="1" customHeight="1" x14ac:dyDescent="0.3">
      <c r="A79" s="743"/>
      <c r="B79" s="743"/>
      <c r="C79" s="743"/>
      <c r="D79" s="164" t="s">
        <v>241</v>
      </c>
      <c r="E79" s="173">
        <f>G36</f>
        <v>5.27</v>
      </c>
      <c r="F79" s="174">
        <f>ROUND(IF(Dados!$M$66="SIM",E79*Dados!$N$66,E79),2)</f>
        <v>5.27</v>
      </c>
      <c r="G79" s="174">
        <f>ROUND(IF(Dados!$M$67="SIM",F79*Dados!$N$67,F79),2)</f>
        <v>5.27</v>
      </c>
      <c r="H79" s="174">
        <f>ROUND(IF(Dados!$M$68="SIM",G79*Dados!$N$68,G79),2)</f>
        <v>5.27</v>
      </c>
      <c r="I79" s="174">
        <f>ROUND(IF(Dados!$M$69="SIM",H79*Dados!$N$69,H79),2)</f>
        <v>5.27</v>
      </c>
      <c r="J79" s="174">
        <f>ROUND(IF(Dados!$M$70="SIM",I79*Dados!$N$70,I79),2)</f>
        <v>5.27</v>
      </c>
      <c r="K79" s="175">
        <f>IF(D79="INICIAL",E79,IF(D79="1º IPCA",F79,IF(D79="2º IPCA",G79,IF(D79="3º IPCA",H79,IF(D79="4º IPCA",I79,IF(D79="5º IPCA",J79,))))))</f>
        <v>5.27</v>
      </c>
    </row>
    <row r="80" spans="1:21" hidden="1" x14ac:dyDescent="0.3">
      <c r="E80" s="170"/>
    </row>
    <row r="81" spans="1:8" ht="15.75" hidden="1" customHeight="1" x14ac:dyDescent="0.3">
      <c r="A81" s="744" t="s">
        <v>252</v>
      </c>
      <c r="B81" s="744"/>
      <c r="C81" s="744"/>
      <c r="D81" s="744"/>
      <c r="E81" s="744"/>
      <c r="F81" s="744"/>
      <c r="G81" s="744"/>
      <c r="H81" s="744"/>
    </row>
    <row r="82" spans="1:8" hidden="1" x14ac:dyDescent="0.3">
      <c r="A82" s="740" t="s">
        <v>253</v>
      </c>
      <c r="B82" s="740"/>
      <c r="C82" s="740"/>
      <c r="D82" s="740"/>
      <c r="E82" s="740"/>
      <c r="F82" s="741" t="s">
        <v>254</v>
      </c>
      <c r="G82" s="741"/>
      <c r="H82" s="176"/>
    </row>
    <row r="83" spans="1:8" ht="43.5" hidden="1" customHeight="1" x14ac:dyDescent="0.3">
      <c r="A83" s="738" t="s">
        <v>255</v>
      </c>
      <c r="B83" s="738"/>
      <c r="C83" s="738"/>
      <c r="D83" s="738"/>
      <c r="E83" s="738"/>
      <c r="F83" s="738"/>
      <c r="G83" s="738"/>
      <c r="H83" s="738"/>
    </row>
    <row r="84" spans="1:8" hidden="1" x14ac:dyDescent="0.3">
      <c r="A84" s="740" t="s">
        <v>256</v>
      </c>
      <c r="B84" s="740"/>
      <c r="C84" s="740"/>
      <c r="D84" s="740"/>
      <c r="E84" s="740"/>
      <c r="F84" s="741" t="s">
        <v>254</v>
      </c>
      <c r="G84" s="741"/>
      <c r="H84" s="176"/>
    </row>
    <row r="85" spans="1:8" ht="43.5" hidden="1" customHeight="1" x14ac:dyDescent="0.3">
      <c r="A85" s="739" t="s">
        <v>257</v>
      </c>
      <c r="B85" s="739"/>
      <c r="C85" s="739"/>
      <c r="D85" s="739"/>
      <c r="E85" s="739"/>
      <c r="F85" s="739"/>
      <c r="G85" s="739"/>
      <c r="H85" s="739"/>
    </row>
    <row r="86" spans="1:8" hidden="1" x14ac:dyDescent="0.3">
      <c r="A86" s="740" t="s">
        <v>258</v>
      </c>
      <c r="B86" s="740"/>
      <c r="C86" s="740"/>
      <c r="D86" s="740"/>
      <c r="E86" s="740"/>
      <c r="F86" s="741" t="s">
        <v>254</v>
      </c>
      <c r="G86" s="741"/>
      <c r="H86" s="176"/>
    </row>
    <row r="87" spans="1:8" ht="43.5" hidden="1" customHeight="1" x14ac:dyDescent="0.3">
      <c r="A87" s="738" t="s">
        <v>259</v>
      </c>
      <c r="B87" s="738"/>
      <c r="C87" s="738"/>
      <c r="D87" s="738"/>
      <c r="E87" s="738"/>
      <c r="F87" s="738"/>
      <c r="G87" s="738"/>
      <c r="H87" s="738"/>
    </row>
    <row r="88" spans="1:8" hidden="1" x14ac:dyDescent="0.3">
      <c r="A88" s="742" t="s">
        <v>260</v>
      </c>
      <c r="B88" s="742"/>
      <c r="C88" s="742"/>
      <c r="D88" s="742"/>
      <c r="E88" s="742"/>
      <c r="F88" s="741" t="s">
        <v>254</v>
      </c>
      <c r="G88" s="741"/>
      <c r="H88" s="177"/>
    </row>
    <row r="89" spans="1:8" ht="43.5" hidden="1" customHeight="1" x14ac:dyDescent="0.3">
      <c r="A89" s="738" t="s">
        <v>261</v>
      </c>
      <c r="B89" s="738"/>
      <c r="C89" s="738"/>
      <c r="D89" s="738"/>
      <c r="E89" s="738"/>
      <c r="F89" s="738"/>
      <c r="G89" s="738"/>
      <c r="H89" s="738"/>
    </row>
    <row r="90" spans="1:8" hidden="1" x14ac:dyDescent="0.3">
      <c r="A90" s="178"/>
      <c r="H90" s="179"/>
    </row>
  </sheetData>
  <sheetProtection algorithmName="SHA-512" hashValue="Ai/mjzsfOMdlnLWN48+wCn9ZTnh34bJcNh4YypEdPXyN1XwaLSISON2R8jXl3ZZ8uinHOiXo1hbcj6c7KLElBw==" saltValue="SbtBm59T6zT5M6Ns2hq03Q==" spinCount="100000" sheet="1" objects="1" scenarios="1"/>
  <mergeCells count="92">
    <mergeCell ref="H43:N43"/>
    <mergeCell ref="K5:K6"/>
    <mergeCell ref="L5:L6"/>
    <mergeCell ref="M5:M6"/>
    <mergeCell ref="V5:V6"/>
    <mergeCell ref="U5:U6"/>
    <mergeCell ref="F5:F6"/>
    <mergeCell ref="G5:G6"/>
    <mergeCell ref="H5:H6"/>
    <mergeCell ref="I5:I6"/>
    <mergeCell ref="J5:J6"/>
    <mergeCell ref="A5:A6"/>
    <mergeCell ref="B5:B6"/>
    <mergeCell ref="C5:C6"/>
    <mergeCell ref="D5:D6"/>
    <mergeCell ref="E5:E6"/>
    <mergeCell ref="A7:A9"/>
    <mergeCell ref="A18:G18"/>
    <mergeCell ref="B19:D19"/>
    <mergeCell ref="E19:G19"/>
    <mergeCell ref="B20:D20"/>
    <mergeCell ref="E20:G20"/>
    <mergeCell ref="A10:A15"/>
    <mergeCell ref="B21:D21"/>
    <mergeCell ref="E21:G21"/>
    <mergeCell ref="B22:D22"/>
    <mergeCell ref="E22:G22"/>
    <mergeCell ref="B23:D23"/>
    <mergeCell ref="E23:G23"/>
    <mergeCell ref="A25:G25"/>
    <mergeCell ref="B26:F26"/>
    <mergeCell ref="B28:F28"/>
    <mergeCell ref="B29:F29"/>
    <mergeCell ref="B30:F30"/>
    <mergeCell ref="A32:G32"/>
    <mergeCell ref="B33:F33"/>
    <mergeCell ref="A35:G35"/>
    <mergeCell ref="B36:F36"/>
    <mergeCell ref="B37:F37"/>
    <mergeCell ref="A38:A41"/>
    <mergeCell ref="B38:C41"/>
    <mergeCell ref="D38:F38"/>
    <mergeCell ref="D39:F39"/>
    <mergeCell ref="D40:F40"/>
    <mergeCell ref="D41:F41"/>
    <mergeCell ref="A42:A44"/>
    <mergeCell ref="B42:C44"/>
    <mergeCell ref="D42:F42"/>
    <mergeCell ref="D43:F43"/>
    <mergeCell ref="D44:F44"/>
    <mergeCell ref="B45:F45"/>
    <mergeCell ref="B46:F46"/>
    <mergeCell ref="A48:G48"/>
    <mergeCell ref="B49:F49"/>
    <mergeCell ref="B50:F50"/>
    <mergeCell ref="B57:F57"/>
    <mergeCell ref="B58:F58"/>
    <mergeCell ref="B59:F59"/>
    <mergeCell ref="B60:F60"/>
    <mergeCell ref="A52:G52"/>
    <mergeCell ref="A53:A55"/>
    <mergeCell ref="B53:G55"/>
    <mergeCell ref="B56:E56"/>
    <mergeCell ref="F56:G56"/>
    <mergeCell ref="A65:H65"/>
    <mergeCell ref="A66:B66"/>
    <mergeCell ref="E66:H66"/>
    <mergeCell ref="A67:B67"/>
    <mergeCell ref="E67:H67"/>
    <mergeCell ref="A68:B68"/>
    <mergeCell ref="E68:H68"/>
    <mergeCell ref="A69:B69"/>
    <mergeCell ref="E69:H69"/>
    <mergeCell ref="A70:B70"/>
    <mergeCell ref="E70:H70"/>
    <mergeCell ref="A72:C73"/>
    <mergeCell ref="A74:C75"/>
    <mergeCell ref="A76:C77"/>
    <mergeCell ref="A78:C79"/>
    <mergeCell ref="A81:H81"/>
    <mergeCell ref="A82:E82"/>
    <mergeCell ref="F82:G82"/>
    <mergeCell ref="A83:H83"/>
    <mergeCell ref="A84:E84"/>
    <mergeCell ref="F84:G84"/>
    <mergeCell ref="A89:H89"/>
    <mergeCell ref="A85:H85"/>
    <mergeCell ref="A86:E86"/>
    <mergeCell ref="F86:G86"/>
    <mergeCell ref="A87:H87"/>
    <mergeCell ref="A88:E88"/>
    <mergeCell ref="F88:G88"/>
  </mergeCells>
  <dataValidations count="3">
    <dataValidation type="list" allowBlank="1" showInputMessage="1" showErrorMessage="1" sqref="F56" xr:uid="{00000000-0002-0000-0200-000000000000}">
      <formula1>"LUCRO REAL,LUCRO PRESUMIDO,SIMPLES NACIONAL,OUTRO"</formula1>
      <formula2>0</formula2>
    </dataValidation>
    <dataValidation type="list" allowBlank="1" showInputMessage="1" showErrorMessage="1" sqref="I66:L70" xr:uid="{00000000-0002-0000-0200-000001000000}">
      <formula1>"NÃO,SIM"</formula1>
      <formula2>0</formula2>
    </dataValidation>
    <dataValidation type="list" allowBlank="1" showInputMessage="1" showErrorMessage="1" sqref="D73 D75 D77 D79" xr:uid="{00000000-0002-0000-0200-000002000000}">
      <formula1>"INICIAL,1º IPCA,2º IPCA,3º IPCA,4º IPCA,5º IPCA"</formula1>
      <formula2>0</formula2>
    </dataValidation>
  </dataValidations>
  <pageMargins left="0.51180555555555596" right="0.51180555555555596" top="0.78749999999999998" bottom="0.78749999999999998" header="0.511811023622047" footer="0.511811023622047"/>
  <pageSetup paperSize="9" scale="3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FFFF99"/>
    <pageSetUpPr fitToPage="1"/>
  </sheetPr>
  <dimension ref="A1:H61"/>
  <sheetViews>
    <sheetView showGridLines="0" topLeftCell="A8" zoomScaleNormal="100" workbookViewId="0"/>
  </sheetViews>
  <sheetFormatPr defaultColWidth="9" defaultRowHeight="14.4" x14ac:dyDescent="0.3"/>
  <cols>
    <col min="2" max="2" width="59.5546875" customWidth="1"/>
    <col min="3" max="3" width="15.664062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s>
  <sheetData>
    <row r="1" spans="1:4" x14ac:dyDescent="0.3">
      <c r="A1" s="180"/>
      <c r="B1" s="181" t="str">
        <f>INSTRUÇÕES!B1</f>
        <v>Tribunal Regional Federal da 6ª Região</v>
      </c>
      <c r="C1" s="182"/>
    </row>
    <row r="2" spans="1:4" x14ac:dyDescent="0.3">
      <c r="A2" s="183"/>
      <c r="B2" s="114" t="str">
        <f>INSTRUÇÕES!B2</f>
        <v>Seção Judiciária de Minas Gerais</v>
      </c>
      <c r="C2" s="184"/>
    </row>
    <row r="3" spans="1:4" x14ac:dyDescent="0.3">
      <c r="A3" s="185"/>
      <c r="B3" s="114" t="str">
        <f>INSTRUÇÕES!B3</f>
        <v>Subseção Judiciária de Uberlândia</v>
      </c>
      <c r="C3" s="184"/>
    </row>
    <row r="4" spans="1:4" ht="21.75" customHeight="1" x14ac:dyDescent="0.3">
      <c r="A4" s="775" t="s">
        <v>262</v>
      </c>
      <c r="B4" s="775"/>
      <c r="C4" s="775"/>
    </row>
    <row r="5" spans="1:4" ht="21.75" customHeight="1" x14ac:dyDescent="0.3">
      <c r="A5" s="775" t="s">
        <v>263</v>
      </c>
      <c r="B5" s="775"/>
      <c r="C5" s="775"/>
    </row>
    <row r="6" spans="1:4" ht="26.25" customHeight="1" x14ac:dyDescent="0.3">
      <c r="A6" s="776" t="s">
        <v>264</v>
      </c>
      <c r="B6" s="776"/>
      <c r="C6" s="776"/>
    </row>
    <row r="7" spans="1:4" x14ac:dyDescent="0.3">
      <c r="A7" s="777" t="s">
        <v>265</v>
      </c>
      <c r="B7" s="777"/>
      <c r="C7" s="777"/>
    </row>
    <row r="8" spans="1:4" ht="15.75" customHeight="1" x14ac:dyDescent="0.3">
      <c r="A8" s="186" t="s">
        <v>103</v>
      </c>
      <c r="B8" s="187" t="s">
        <v>266</v>
      </c>
      <c r="C8" s="188" t="s">
        <v>267</v>
      </c>
    </row>
    <row r="9" spans="1:4" ht="15.75" customHeight="1" x14ac:dyDescent="0.3">
      <c r="A9" s="189" t="s">
        <v>268</v>
      </c>
      <c r="B9" s="770" t="s">
        <v>269</v>
      </c>
      <c r="C9" s="770"/>
    </row>
    <row r="10" spans="1:4" ht="15.75" customHeight="1" x14ac:dyDescent="0.3">
      <c r="A10" s="190">
        <v>1</v>
      </c>
      <c r="B10" s="191" t="s">
        <v>270</v>
      </c>
      <c r="C10" s="192">
        <v>0.2</v>
      </c>
    </row>
    <row r="11" spans="1:4" ht="15.75" customHeight="1" x14ac:dyDescent="0.3">
      <c r="A11" s="190">
        <v>2</v>
      </c>
      <c r="B11" s="191" t="s">
        <v>271</v>
      </c>
      <c r="C11" s="192">
        <v>1.4999999999999999E-2</v>
      </c>
    </row>
    <row r="12" spans="1:4" ht="15.75" customHeight="1" x14ac:dyDescent="0.3">
      <c r="A12" s="190">
        <v>3</v>
      </c>
      <c r="B12" s="191" t="s">
        <v>272</v>
      </c>
      <c r="C12" s="192">
        <v>0.01</v>
      </c>
    </row>
    <row r="13" spans="1:4" ht="15.75" customHeight="1" x14ac:dyDescent="0.3">
      <c r="A13" s="190">
        <v>4</v>
      </c>
      <c r="B13" s="191" t="s">
        <v>273</v>
      </c>
      <c r="C13" s="192">
        <v>2E-3</v>
      </c>
    </row>
    <row r="14" spans="1:4" ht="15.75" customHeight="1" x14ac:dyDescent="0.3">
      <c r="A14" s="190">
        <v>5</v>
      </c>
      <c r="B14" s="191" t="s">
        <v>274</v>
      </c>
      <c r="C14" s="192">
        <v>2.5000000000000001E-2</v>
      </c>
    </row>
    <row r="15" spans="1:4" ht="15.75" customHeight="1" x14ac:dyDescent="0.3">
      <c r="A15" s="190">
        <v>6</v>
      </c>
      <c r="B15" s="191" t="s">
        <v>275</v>
      </c>
      <c r="C15" s="192">
        <v>0.08</v>
      </c>
    </row>
    <row r="16" spans="1:4" ht="15.75" customHeight="1" x14ac:dyDescent="0.3">
      <c r="A16" s="190">
        <v>7</v>
      </c>
      <c r="B16" s="191" t="s">
        <v>276</v>
      </c>
      <c r="C16" s="193">
        <f>Dados!G28</f>
        <v>0.06</v>
      </c>
      <c r="D16" s="194" t="s">
        <v>277</v>
      </c>
    </row>
    <row r="17" spans="1:3" ht="15.75" customHeight="1" x14ac:dyDescent="0.3">
      <c r="A17" s="190">
        <v>8</v>
      </c>
      <c r="B17" s="191" t="s">
        <v>278</v>
      </c>
      <c r="C17" s="192">
        <v>6.0000000000000001E-3</v>
      </c>
    </row>
    <row r="18" spans="1:3" ht="15.75" customHeight="1" x14ac:dyDescent="0.3">
      <c r="A18" s="773" t="s">
        <v>279</v>
      </c>
      <c r="B18" s="773"/>
      <c r="C18" s="195">
        <f>SUM(C10:C17)</f>
        <v>0.39800000000000008</v>
      </c>
    </row>
    <row r="19" spans="1:3" ht="15.75" customHeight="1" x14ac:dyDescent="0.3">
      <c r="A19" s="774" t="s">
        <v>280</v>
      </c>
      <c r="B19" s="774"/>
      <c r="C19" s="774"/>
    </row>
    <row r="20" spans="1:3" ht="15.75" customHeight="1" x14ac:dyDescent="0.3">
      <c r="A20" s="774" t="s">
        <v>281</v>
      </c>
      <c r="B20" s="774"/>
      <c r="C20" s="774"/>
    </row>
    <row r="21" spans="1:3" ht="15.75" customHeight="1" x14ac:dyDescent="0.3">
      <c r="A21" s="190">
        <v>9</v>
      </c>
      <c r="B21" s="196" t="s">
        <v>282</v>
      </c>
      <c r="C21" s="197">
        <f>ROUND((100%/11),4)</f>
        <v>9.0899999999999995E-2</v>
      </c>
    </row>
    <row r="22" spans="1:3" ht="15.75" customHeight="1" x14ac:dyDescent="0.3">
      <c r="A22" s="190">
        <v>10</v>
      </c>
      <c r="B22" s="196" t="s">
        <v>283</v>
      </c>
      <c r="C22" s="197">
        <f>ROUND((C21/3),4)</f>
        <v>3.0300000000000001E-2</v>
      </c>
    </row>
    <row r="23" spans="1:3" ht="15.75" customHeight="1" x14ac:dyDescent="0.3">
      <c r="A23" s="771" t="s">
        <v>284</v>
      </c>
      <c r="B23" s="771"/>
      <c r="C23" s="198">
        <f>SUM(C21:C22)</f>
        <v>0.1212</v>
      </c>
    </row>
    <row r="24" spans="1:3" ht="15.75" customHeight="1" x14ac:dyDescent="0.3">
      <c r="A24" s="772" t="s">
        <v>285</v>
      </c>
      <c r="B24" s="772"/>
      <c r="C24" s="193">
        <f>(C18*C23)</f>
        <v>4.8237600000000012E-2</v>
      </c>
    </row>
    <row r="25" spans="1:3" ht="15.75" customHeight="1" x14ac:dyDescent="0.3">
      <c r="A25" s="771" t="s">
        <v>286</v>
      </c>
      <c r="B25" s="771"/>
      <c r="C25" s="198">
        <f>SUM(C23:C24)</f>
        <v>0.16943760000000002</v>
      </c>
    </row>
    <row r="26" spans="1:3" ht="15.75" customHeight="1" x14ac:dyDescent="0.3">
      <c r="A26" s="189" t="s">
        <v>287</v>
      </c>
      <c r="B26" s="770" t="s">
        <v>288</v>
      </c>
      <c r="C26" s="770"/>
    </row>
    <row r="27" spans="1:3" ht="15.75" customHeight="1" x14ac:dyDescent="0.3">
      <c r="A27" s="190">
        <v>11</v>
      </c>
      <c r="B27" s="191" t="s">
        <v>289</v>
      </c>
      <c r="C27" s="199">
        <f>ROUND((0.0144*0.1*0.4509*6/12),4)</f>
        <v>2.9999999999999997E-4</v>
      </c>
    </row>
    <row r="28" spans="1:3" ht="15.75" customHeight="1" x14ac:dyDescent="0.3">
      <c r="A28" s="772" t="s">
        <v>290</v>
      </c>
      <c r="B28" s="772"/>
      <c r="C28" s="200">
        <f>C18*C27</f>
        <v>1.1940000000000002E-4</v>
      </c>
    </row>
    <row r="29" spans="1:3" ht="15.75" customHeight="1" x14ac:dyDescent="0.3">
      <c r="A29" s="771" t="s">
        <v>291</v>
      </c>
      <c r="B29" s="771"/>
      <c r="C29" s="201">
        <f>SUM(C27:C28)</f>
        <v>4.194E-4</v>
      </c>
    </row>
    <row r="30" spans="1:3" ht="15.75" customHeight="1" x14ac:dyDescent="0.3">
      <c r="A30" s="189" t="s">
        <v>292</v>
      </c>
      <c r="B30" s="770" t="s">
        <v>293</v>
      </c>
      <c r="C30" s="770"/>
    </row>
    <row r="31" spans="1:3" ht="15.75" customHeight="1" x14ac:dyDescent="0.3">
      <c r="A31" s="190">
        <v>12</v>
      </c>
      <c r="B31" s="191" t="s">
        <v>294</v>
      </c>
      <c r="C31" s="192">
        <f>ROUND((100%/12)*5%,4)</f>
        <v>4.1999999999999997E-3</v>
      </c>
    </row>
    <row r="32" spans="1:3" ht="15.75" customHeight="1" x14ac:dyDescent="0.3">
      <c r="A32" s="762" t="s">
        <v>295</v>
      </c>
      <c r="B32" s="762"/>
      <c r="C32" s="193">
        <f>C15*C31</f>
        <v>3.3599999999999998E-4</v>
      </c>
    </row>
    <row r="33" spans="1:8" ht="15.75" customHeight="1" x14ac:dyDescent="0.3">
      <c r="A33" s="190">
        <v>13</v>
      </c>
      <c r="B33" s="191" t="s">
        <v>296</v>
      </c>
      <c r="C33" s="197">
        <f>ROUND((C15*0.4*0.9*(1+1/11+1/11+(1/3*1/11))),5)</f>
        <v>3.4909999999999997E-2</v>
      </c>
    </row>
    <row r="34" spans="1:8" ht="15.75" customHeight="1" x14ac:dyDescent="0.3">
      <c r="A34" s="190">
        <v>14</v>
      </c>
      <c r="B34" s="191" t="s">
        <v>297</v>
      </c>
      <c r="C34" s="192">
        <v>4.0000000000000002E-4</v>
      </c>
    </row>
    <row r="35" spans="1:8" ht="15.75" customHeight="1" x14ac:dyDescent="0.3">
      <c r="A35" s="762" t="s">
        <v>298</v>
      </c>
      <c r="B35" s="762"/>
      <c r="C35" s="193">
        <f>ROUND((C34*C18),4)</f>
        <v>2.0000000000000001E-4</v>
      </c>
    </row>
    <row r="36" spans="1:8" ht="15.75" customHeight="1" x14ac:dyDescent="0.3">
      <c r="A36" s="190">
        <v>15</v>
      </c>
      <c r="B36" s="191" t="s">
        <v>299</v>
      </c>
      <c r="C36" s="193">
        <f>(0.4*C15/100)</f>
        <v>3.2000000000000003E-4</v>
      </c>
    </row>
    <row r="37" spans="1:8" ht="15.75" customHeight="1" x14ac:dyDescent="0.3">
      <c r="A37" s="765" t="s">
        <v>300</v>
      </c>
      <c r="B37" s="765"/>
      <c r="C37" s="198">
        <f>SUM(C31:C36)</f>
        <v>4.0365999999999992E-2</v>
      </c>
    </row>
    <row r="38" spans="1:8" ht="15.75" customHeight="1" x14ac:dyDescent="0.3">
      <c r="A38" s="189" t="s">
        <v>301</v>
      </c>
      <c r="B38" s="770" t="s">
        <v>302</v>
      </c>
      <c r="C38" s="770"/>
    </row>
    <row r="39" spans="1:8" ht="15.75" customHeight="1" x14ac:dyDescent="0.3">
      <c r="A39" s="190">
        <v>16</v>
      </c>
      <c r="B39" s="191" t="s">
        <v>303</v>
      </c>
      <c r="C39" s="197">
        <f>ROUND((100%/11),4)</f>
        <v>9.0899999999999995E-2</v>
      </c>
    </row>
    <row r="40" spans="1:8" ht="15.75" customHeight="1" x14ac:dyDescent="0.3">
      <c r="A40" s="190">
        <v>17</v>
      </c>
      <c r="B40" s="191" t="s">
        <v>304</v>
      </c>
      <c r="C40" s="192">
        <v>1.66E-2</v>
      </c>
    </row>
    <row r="41" spans="1:8" ht="15.75" customHeight="1" x14ac:dyDescent="0.3">
      <c r="A41" s="190">
        <v>18</v>
      </c>
      <c r="B41" s="191" t="s">
        <v>305</v>
      </c>
      <c r="C41" s="192">
        <f>ROUND((5/30/12)*0.022,4)</f>
        <v>2.9999999999999997E-4</v>
      </c>
    </row>
    <row r="42" spans="1:8" ht="15.75" customHeight="1" x14ac:dyDescent="0.3">
      <c r="A42" s="190">
        <v>19</v>
      </c>
      <c r="B42" s="191" t="s">
        <v>306</v>
      </c>
      <c r="C42" s="192">
        <f>ROUND((1/30/12),4)</f>
        <v>2.8E-3</v>
      </c>
    </row>
    <row r="43" spans="1:8" ht="15.75" customHeight="1" x14ac:dyDescent="0.3">
      <c r="A43" s="190">
        <v>20</v>
      </c>
      <c r="B43" s="191" t="s">
        <v>307</v>
      </c>
      <c r="C43" s="192">
        <f>ROUND((15/30/12*0.0078),4)</f>
        <v>2.9999999999999997E-4</v>
      </c>
    </row>
    <row r="44" spans="1:8" ht="15.75" customHeight="1" x14ac:dyDescent="0.3">
      <c r="A44" s="765" t="s">
        <v>284</v>
      </c>
      <c r="B44" s="765"/>
      <c r="C44" s="198">
        <f>SUM(C39:C43)</f>
        <v>0.11089999999999998</v>
      </c>
      <c r="E44" s="767" t="s">
        <v>308</v>
      </c>
      <c r="F44" s="767"/>
      <c r="G44" s="767"/>
      <c r="H44" s="767"/>
    </row>
    <row r="45" spans="1:8" ht="15.75" customHeight="1" x14ac:dyDescent="0.3">
      <c r="A45" s="762" t="s">
        <v>309</v>
      </c>
      <c r="B45" s="762"/>
      <c r="C45" s="193">
        <f>C18*C44</f>
        <v>4.4138200000000002E-2</v>
      </c>
      <c r="E45" s="767"/>
      <c r="F45" s="767"/>
      <c r="G45" s="767"/>
      <c r="H45" s="767"/>
    </row>
    <row r="46" spans="1:8" ht="15" customHeight="1" x14ac:dyDescent="0.3">
      <c r="A46" s="765" t="s">
        <v>310</v>
      </c>
      <c r="B46" s="765"/>
      <c r="C46" s="198">
        <f>SUM(C44:C45)</f>
        <v>0.15503819999999999</v>
      </c>
      <c r="E46" s="768" t="s">
        <v>311</v>
      </c>
      <c r="F46" s="769" t="s">
        <v>312</v>
      </c>
      <c r="G46" s="769"/>
      <c r="H46" s="769"/>
    </row>
    <row r="47" spans="1:8" ht="15.75" customHeight="1" x14ac:dyDescent="0.3">
      <c r="A47" s="202" t="s">
        <v>313</v>
      </c>
      <c r="B47" s="203" t="s">
        <v>314</v>
      </c>
      <c r="C47" s="204" t="s">
        <v>182</v>
      </c>
      <c r="E47" s="768"/>
      <c r="F47" s="769" t="s">
        <v>315</v>
      </c>
      <c r="G47" s="769"/>
      <c r="H47" s="769"/>
    </row>
    <row r="48" spans="1:8" ht="15.75" customHeight="1" x14ac:dyDescent="0.3">
      <c r="A48" s="190">
        <v>21</v>
      </c>
      <c r="B48" s="191" t="s">
        <v>316</v>
      </c>
      <c r="C48" s="192">
        <v>8.0000000000000004E-4</v>
      </c>
      <c r="E48" s="205" t="s">
        <v>317</v>
      </c>
      <c r="F48" s="206" t="s">
        <v>318</v>
      </c>
      <c r="G48" s="206" t="s">
        <v>319</v>
      </c>
      <c r="H48" s="207" t="s">
        <v>320</v>
      </c>
    </row>
    <row r="49" spans="1:8" ht="15.75" customHeight="1" x14ac:dyDescent="0.3">
      <c r="A49" s="765" t="s">
        <v>321</v>
      </c>
      <c r="B49" s="765"/>
      <c r="C49" s="198">
        <f>SUM(C47:C48)</f>
        <v>8.0000000000000004E-4</v>
      </c>
      <c r="E49" s="205" t="s">
        <v>322</v>
      </c>
      <c r="F49" s="208">
        <v>0.34300000000000003</v>
      </c>
      <c r="G49" s="208">
        <v>0.39800000000000002</v>
      </c>
      <c r="H49" s="209">
        <f>$C$18</f>
        <v>0.39800000000000008</v>
      </c>
    </row>
    <row r="50" spans="1:8" ht="15.75" customHeight="1" x14ac:dyDescent="0.3">
      <c r="A50" s="766" t="s">
        <v>323</v>
      </c>
      <c r="B50" s="766"/>
      <c r="C50" s="766"/>
      <c r="E50" s="205" t="s">
        <v>324</v>
      </c>
      <c r="F50" s="208">
        <v>5.0000000000000001E-3</v>
      </c>
      <c r="G50" s="208">
        <v>0.06</v>
      </c>
      <c r="H50" s="209">
        <f>$C$16</f>
        <v>0.06</v>
      </c>
    </row>
    <row r="51" spans="1:8" ht="15.75" customHeight="1" x14ac:dyDescent="0.3">
      <c r="A51" s="762" t="s">
        <v>269</v>
      </c>
      <c r="B51" s="762"/>
      <c r="C51" s="193">
        <f>ROUND(C18,4)</f>
        <v>0.39800000000000002</v>
      </c>
      <c r="E51" s="210" t="s">
        <v>325</v>
      </c>
      <c r="F51" s="211">
        <f>$C$21</f>
        <v>9.0899999999999995E-2</v>
      </c>
      <c r="G51" s="211">
        <f>$F$51</f>
        <v>9.0899999999999995E-2</v>
      </c>
      <c r="H51" s="212">
        <f>$F$51</f>
        <v>9.0899999999999995E-2</v>
      </c>
    </row>
    <row r="52" spans="1:8" ht="15.75" customHeight="1" x14ac:dyDescent="0.3">
      <c r="A52" s="762" t="s">
        <v>326</v>
      </c>
      <c r="B52" s="762"/>
      <c r="C52" s="193">
        <f>ROUND(C25,4)</f>
        <v>0.1694</v>
      </c>
      <c r="E52" s="210" t="s">
        <v>327</v>
      </c>
      <c r="F52" s="211">
        <f>$C$39</f>
        <v>9.0899999999999995E-2</v>
      </c>
      <c r="G52" s="211">
        <f>$F$52</f>
        <v>9.0899999999999995E-2</v>
      </c>
      <c r="H52" s="212">
        <f>$F$52</f>
        <v>9.0899999999999995E-2</v>
      </c>
    </row>
    <row r="53" spans="1:8" ht="15.75" customHeight="1" x14ac:dyDescent="0.3">
      <c r="A53" s="762" t="s">
        <v>288</v>
      </c>
      <c r="B53" s="762"/>
      <c r="C53" s="193">
        <f>ROUND(C29,4)</f>
        <v>4.0000000000000002E-4</v>
      </c>
      <c r="E53" s="210" t="s">
        <v>328</v>
      </c>
      <c r="F53" s="211">
        <f>$C$22</f>
        <v>3.0300000000000001E-2</v>
      </c>
      <c r="G53" s="211">
        <f>$F$53</f>
        <v>3.0300000000000001E-2</v>
      </c>
      <c r="H53" s="212">
        <f>$F$53</f>
        <v>3.0300000000000001E-2</v>
      </c>
    </row>
    <row r="54" spans="1:8" ht="15.75" customHeight="1" x14ac:dyDescent="0.3">
      <c r="A54" s="762" t="s">
        <v>329</v>
      </c>
      <c r="B54" s="762"/>
      <c r="C54" s="193">
        <f>ROUND(C37,4)</f>
        <v>4.0399999999999998E-2</v>
      </c>
      <c r="E54" s="213" t="s">
        <v>284</v>
      </c>
      <c r="F54" s="214">
        <f>SUM(F51:F53)</f>
        <v>0.21209999999999998</v>
      </c>
      <c r="G54" s="214">
        <f>SUM(G51:G53)</f>
        <v>0.21209999999999998</v>
      </c>
      <c r="H54" s="215">
        <f>SUM(H51:H53)</f>
        <v>0.21209999999999998</v>
      </c>
    </row>
    <row r="55" spans="1:8" ht="15.75" customHeight="1" x14ac:dyDescent="0.3">
      <c r="A55" s="762" t="s">
        <v>330</v>
      </c>
      <c r="B55" s="762"/>
      <c r="C55" s="193">
        <f>ROUND(C46,4)</f>
        <v>0.155</v>
      </c>
      <c r="E55" s="210" t="s">
        <v>331</v>
      </c>
      <c r="F55" s="211">
        <f>F54*F49</f>
        <v>7.2750300000000004E-2</v>
      </c>
      <c r="G55" s="211">
        <f>G54*G49</f>
        <v>8.4415799999999999E-2</v>
      </c>
      <c r="H55" s="212">
        <f>ROUND((H54*H49),4)</f>
        <v>8.4400000000000003E-2</v>
      </c>
    </row>
    <row r="56" spans="1:8" ht="15.75" customHeight="1" x14ac:dyDescent="0.3">
      <c r="A56" s="762" t="s">
        <v>316</v>
      </c>
      <c r="B56" s="762"/>
      <c r="C56" s="193">
        <f>ROUND(C49,4)</f>
        <v>8.0000000000000004E-4</v>
      </c>
      <c r="E56" s="210" t="s">
        <v>332</v>
      </c>
      <c r="F56" s="211">
        <v>3.4909999999999997E-2</v>
      </c>
      <c r="G56" s="211">
        <v>3.4909999999999997E-2</v>
      </c>
      <c r="H56" s="212">
        <v>3.4909999999999997E-2</v>
      </c>
    </row>
    <row r="57" spans="1:8" ht="15.75" customHeight="1" x14ac:dyDescent="0.3">
      <c r="A57" s="763" t="s">
        <v>333</v>
      </c>
      <c r="B57" s="763"/>
      <c r="C57" s="195">
        <f>SUM(C51:C56)</f>
        <v>0.76400000000000001</v>
      </c>
      <c r="E57" s="216" t="s">
        <v>334</v>
      </c>
      <c r="F57" s="217">
        <v>0.3197603</v>
      </c>
      <c r="G57" s="217">
        <f>SUM(G54:G56)</f>
        <v>0.33142579999999999</v>
      </c>
      <c r="H57" s="218">
        <f>ROUND((SUM(H54:H56)),4)</f>
        <v>0.33139999999999997</v>
      </c>
    </row>
    <row r="58" spans="1:8" ht="24" x14ac:dyDescent="0.3">
      <c r="A58" s="219" t="s">
        <v>94</v>
      </c>
      <c r="B58" s="220"/>
      <c r="C58" s="221"/>
      <c r="E58" s="210" t="s">
        <v>335</v>
      </c>
      <c r="F58" s="222" t="s">
        <v>182</v>
      </c>
      <c r="G58" s="222" t="s">
        <v>182</v>
      </c>
      <c r="H58" s="223" t="s">
        <v>182</v>
      </c>
    </row>
    <row r="59" spans="1:8" ht="54.75" customHeight="1" x14ac:dyDescent="0.3">
      <c r="A59" s="764" t="s">
        <v>336</v>
      </c>
      <c r="B59" s="764"/>
      <c r="C59" s="764"/>
      <c r="E59" s="224" t="s">
        <v>337</v>
      </c>
      <c r="F59" s="225">
        <v>0.3197603</v>
      </c>
      <c r="G59" s="225">
        <v>0.33142579999999999</v>
      </c>
      <c r="H59" s="226">
        <f>H57</f>
        <v>0.33139999999999997</v>
      </c>
    </row>
    <row r="61" spans="1:8" ht="12.75" customHeight="1" x14ac:dyDescent="0.3"/>
  </sheetData>
  <sheetProtection algorithmName="SHA-512" hashValue="4EtzTqNks+P6UW+shNF0oUheOraZGs9EQjVGah/Pze8kr0UKZIQKmGcYFpx4jb8+nxmGHEcvvqrUJg1MEmf8Nw==" saltValue="7ByTmLMl57F2Xz4N5sLv0w=="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ageMargins left="0.51180555555555596" right="0.51180555555555596" top="0.78749999999999998" bottom="0.78749999999999998" header="0.511811023622047" footer="0.511811023622047"/>
  <pageSetup paperSize="9" scale="7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rgb="FFFFFF99"/>
  </sheetPr>
  <dimension ref="A1:H32"/>
  <sheetViews>
    <sheetView showGridLines="0" zoomScaleNormal="100" workbookViewId="0">
      <selection activeCell="L15" sqref="L15"/>
    </sheetView>
  </sheetViews>
  <sheetFormatPr defaultColWidth="9" defaultRowHeight="14.4" x14ac:dyDescent="0.3"/>
  <cols>
    <col min="1" max="1" width="6.109375" style="79" customWidth="1"/>
    <col min="2" max="2" width="81.33203125" style="79" customWidth="1"/>
    <col min="3" max="3" width="7.88671875" style="79" customWidth="1"/>
    <col min="4" max="7" width="13.6640625" style="79" customWidth="1"/>
    <col min="8" max="8" width="14.6640625" style="655"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s>
  <sheetData>
    <row r="1" spans="1:8" s="79" customFormat="1" ht="17.25" customHeight="1" x14ac:dyDescent="0.3">
      <c r="A1" s="180"/>
      <c r="B1" s="181" t="str">
        <f>INSTRUÇÕES!B1</f>
        <v>Tribunal Regional Federal da 6ª Região</v>
      </c>
      <c r="C1" s="227"/>
      <c r="D1" s="228"/>
      <c r="E1" s="228"/>
      <c r="F1" s="228"/>
      <c r="G1" s="229"/>
      <c r="H1" s="101"/>
    </row>
    <row r="2" spans="1:8" s="96" customFormat="1" ht="16.5" customHeight="1" x14ac:dyDescent="0.3">
      <c r="A2" s="230"/>
      <c r="B2" s="114" t="str">
        <f>INSTRUÇÕES!B2</f>
        <v>Seção Judiciária de Minas Gerais</v>
      </c>
      <c r="C2" s="231"/>
      <c r="D2" s="232"/>
      <c r="E2" s="232"/>
      <c r="F2" s="232"/>
      <c r="G2" s="233"/>
      <c r="H2" s="101"/>
    </row>
    <row r="3" spans="1:8" s="79" customFormat="1" ht="19.5" customHeight="1" x14ac:dyDescent="0.3">
      <c r="A3" s="185"/>
      <c r="B3" s="234" t="str">
        <f>INSTRUÇÕES!B3</f>
        <v>Subseção Judiciária de Uberlândia</v>
      </c>
      <c r="C3" s="235"/>
      <c r="D3" s="236"/>
      <c r="E3" s="236"/>
      <c r="F3" s="236"/>
      <c r="G3" s="237"/>
      <c r="H3" s="101"/>
    </row>
    <row r="4" spans="1:8" s="79" customFormat="1" ht="21.75" customHeight="1" x14ac:dyDescent="0.3">
      <c r="A4" s="781" t="s">
        <v>338</v>
      </c>
      <c r="B4" s="781"/>
      <c r="C4" s="781"/>
      <c r="D4" s="781"/>
      <c r="E4" s="781"/>
      <c r="F4" s="781"/>
      <c r="G4" s="781"/>
      <c r="H4" s="101"/>
    </row>
    <row r="5" spans="1:8" s="79" customFormat="1" ht="26.25" customHeight="1" x14ac:dyDescent="0.3">
      <c r="A5" s="782" t="s">
        <v>339</v>
      </c>
      <c r="B5" s="782"/>
      <c r="C5" s="782"/>
      <c r="D5" s="782"/>
      <c r="E5" s="782"/>
      <c r="F5" s="782"/>
      <c r="G5" s="782"/>
      <c r="H5" s="101"/>
    </row>
    <row r="6" spans="1:8" s="79" customFormat="1" ht="16.2" thickBot="1" x14ac:dyDescent="0.35">
      <c r="A6" s="238"/>
      <c r="B6" s="239"/>
      <c r="C6" s="239"/>
      <c r="D6" s="239" t="s">
        <v>340</v>
      </c>
      <c r="E6" s="239"/>
      <c r="G6" s="240">
        <v>0.1</v>
      </c>
      <c r="H6" s="101"/>
    </row>
    <row r="7" spans="1:8" s="79" customFormat="1" ht="28.2" thickBot="1" x14ac:dyDescent="0.35">
      <c r="A7" s="241" t="s">
        <v>341</v>
      </c>
      <c r="B7" s="242" t="s">
        <v>342</v>
      </c>
      <c r="C7" s="242" t="s">
        <v>343</v>
      </c>
      <c r="D7" s="243" t="s">
        <v>344</v>
      </c>
      <c r="E7" s="243" t="s">
        <v>345</v>
      </c>
      <c r="F7" s="243" t="s">
        <v>346</v>
      </c>
      <c r="G7" s="604" t="s">
        <v>347</v>
      </c>
      <c r="H7" s="778" t="s">
        <v>711</v>
      </c>
    </row>
    <row r="8" spans="1:8" s="79" customFormat="1" ht="27.75" customHeight="1" x14ac:dyDescent="0.3">
      <c r="A8" s="783" t="s">
        <v>676</v>
      </c>
      <c r="B8" s="783"/>
      <c r="C8" s="783"/>
      <c r="D8" s="783"/>
      <c r="E8" s="783"/>
      <c r="F8" s="783"/>
      <c r="G8" s="784"/>
      <c r="H8" s="778"/>
    </row>
    <row r="9" spans="1:8" s="79" customFormat="1" ht="48" x14ac:dyDescent="0.3">
      <c r="A9" s="244">
        <v>1</v>
      </c>
      <c r="B9" s="644" t="s">
        <v>677</v>
      </c>
      <c r="C9" s="645">
        <v>1</v>
      </c>
      <c r="D9" s="245">
        <v>1881.57</v>
      </c>
      <c r="E9" s="246">
        <f t="shared" ref="E9:E16" si="0">ROUND((D9*C9),2)</f>
        <v>1881.57</v>
      </c>
      <c r="F9" s="246">
        <f t="shared" ref="F9:F16" si="1">ROUND(E9*$G$6,2)</f>
        <v>188.16</v>
      </c>
      <c r="G9" s="605">
        <f t="shared" ref="G9:G16" si="2">ROUND(F9/12,2)</f>
        <v>15.68</v>
      </c>
      <c r="H9" s="778"/>
    </row>
    <row r="10" spans="1:8" s="79" customFormat="1" ht="13.8" x14ac:dyDescent="0.3">
      <c r="A10" s="247">
        <v>2</v>
      </c>
      <c r="B10" s="290" t="s">
        <v>678</v>
      </c>
      <c r="C10" s="646">
        <v>1</v>
      </c>
      <c r="D10" s="249">
        <v>735.76</v>
      </c>
      <c r="E10" s="250">
        <f t="shared" si="0"/>
        <v>735.76</v>
      </c>
      <c r="F10" s="250">
        <f t="shared" si="1"/>
        <v>73.58</v>
      </c>
      <c r="G10" s="606">
        <f t="shared" si="2"/>
        <v>6.13</v>
      </c>
      <c r="H10" s="778"/>
    </row>
    <row r="11" spans="1:8" s="79" customFormat="1" ht="13.8" x14ac:dyDescent="0.3">
      <c r="A11" s="247">
        <v>3</v>
      </c>
      <c r="B11" s="290" t="s">
        <v>679</v>
      </c>
      <c r="C11" s="646">
        <v>1</v>
      </c>
      <c r="D11" s="249">
        <v>57.33</v>
      </c>
      <c r="E11" s="250">
        <f t="shared" si="0"/>
        <v>57.33</v>
      </c>
      <c r="F11" s="250">
        <f t="shared" si="1"/>
        <v>5.73</v>
      </c>
      <c r="G11" s="606">
        <f t="shared" si="2"/>
        <v>0.48</v>
      </c>
      <c r="H11" s="778"/>
    </row>
    <row r="12" spans="1:8" s="79" customFormat="1" ht="24" x14ac:dyDescent="0.3">
      <c r="A12" s="247">
        <v>4</v>
      </c>
      <c r="B12" s="290" t="s">
        <v>680</v>
      </c>
      <c r="C12" s="646">
        <v>1</v>
      </c>
      <c r="D12" s="249">
        <v>1771.31</v>
      </c>
      <c r="E12" s="250">
        <f t="shared" si="0"/>
        <v>1771.31</v>
      </c>
      <c r="F12" s="250">
        <f t="shared" si="1"/>
        <v>177.13</v>
      </c>
      <c r="G12" s="606">
        <f t="shared" si="2"/>
        <v>14.76</v>
      </c>
      <c r="H12" s="778"/>
    </row>
    <row r="13" spans="1:8" s="79" customFormat="1" ht="24" x14ac:dyDescent="0.3">
      <c r="A13" s="247">
        <v>5</v>
      </c>
      <c r="B13" s="290" t="s">
        <v>681</v>
      </c>
      <c r="C13" s="646">
        <v>1</v>
      </c>
      <c r="D13" s="249">
        <v>56.69</v>
      </c>
      <c r="E13" s="250">
        <f t="shared" si="0"/>
        <v>56.69</v>
      </c>
      <c r="F13" s="250">
        <f t="shared" si="1"/>
        <v>5.67</v>
      </c>
      <c r="G13" s="606">
        <f t="shared" si="2"/>
        <v>0.47</v>
      </c>
      <c r="H13" s="778"/>
    </row>
    <row r="14" spans="1:8" s="79" customFormat="1" ht="24" x14ac:dyDescent="0.3">
      <c r="A14" s="247">
        <v>6</v>
      </c>
      <c r="B14" s="290" t="s">
        <v>753</v>
      </c>
      <c r="C14" s="646">
        <v>1</v>
      </c>
      <c r="D14" s="249">
        <v>220.68</v>
      </c>
      <c r="E14" s="250">
        <f t="shared" si="0"/>
        <v>220.68</v>
      </c>
      <c r="F14" s="250">
        <f t="shared" si="1"/>
        <v>22.07</v>
      </c>
      <c r="G14" s="606">
        <f t="shared" si="2"/>
        <v>1.84</v>
      </c>
      <c r="H14" s="778"/>
    </row>
    <row r="15" spans="1:8" s="79" customFormat="1" ht="24" x14ac:dyDescent="0.3">
      <c r="A15" s="247">
        <v>7</v>
      </c>
      <c r="B15" s="290" t="s">
        <v>682</v>
      </c>
      <c r="C15" s="646">
        <v>1</v>
      </c>
      <c r="D15" s="249">
        <v>45.85</v>
      </c>
      <c r="E15" s="250">
        <f t="shared" si="0"/>
        <v>45.85</v>
      </c>
      <c r="F15" s="250">
        <f t="shared" si="1"/>
        <v>4.59</v>
      </c>
      <c r="G15" s="606">
        <f t="shared" si="2"/>
        <v>0.38</v>
      </c>
      <c r="H15" s="778"/>
    </row>
    <row r="16" spans="1:8" s="79" customFormat="1" ht="13.8" x14ac:dyDescent="0.3">
      <c r="A16" s="247">
        <v>8</v>
      </c>
      <c r="B16" s="290" t="s">
        <v>683</v>
      </c>
      <c r="C16" s="646">
        <v>1</v>
      </c>
      <c r="D16" s="249">
        <v>30.66</v>
      </c>
      <c r="E16" s="250">
        <f t="shared" si="0"/>
        <v>30.66</v>
      </c>
      <c r="F16" s="250">
        <f t="shared" si="1"/>
        <v>3.07</v>
      </c>
      <c r="G16" s="606">
        <f t="shared" si="2"/>
        <v>0.26</v>
      </c>
      <c r="H16" s="778"/>
    </row>
    <row r="17" spans="1:8" s="79" customFormat="1" ht="15.75" customHeight="1" x14ac:dyDescent="0.3">
      <c r="A17" s="785" t="s">
        <v>684</v>
      </c>
      <c r="B17" s="785"/>
      <c r="C17" s="785"/>
      <c r="D17" s="785"/>
      <c r="E17" s="785"/>
      <c r="F17" s="785"/>
      <c r="G17" s="608">
        <f>SUM(G9:G16)</f>
        <v>40</v>
      </c>
      <c r="H17" s="653">
        <f>Dados!B14</f>
        <v>1</v>
      </c>
    </row>
    <row r="18" spans="1:8" ht="28.5" customHeight="1" x14ac:dyDescent="0.3">
      <c r="A18" s="779" t="s">
        <v>685</v>
      </c>
      <c r="B18" s="779"/>
      <c r="C18" s="779"/>
      <c r="D18" s="779"/>
      <c r="E18" s="779"/>
      <c r="F18" s="779"/>
      <c r="G18" s="779"/>
      <c r="H18" s="779"/>
    </row>
    <row r="19" spans="1:8" ht="39.75" customHeight="1" x14ac:dyDescent="0.3">
      <c r="A19" s="252">
        <v>1</v>
      </c>
      <c r="B19" s="253" t="s">
        <v>348</v>
      </c>
      <c r="C19" s="254">
        <v>2</v>
      </c>
      <c r="D19" s="245">
        <v>2319.5500000000002</v>
      </c>
      <c r="E19" s="246">
        <f t="shared" ref="E19" si="3">ROUND((D19*C19),2)</f>
        <v>4639.1000000000004</v>
      </c>
      <c r="F19" s="246">
        <f t="shared" ref="F19" si="4">ROUND(E19*$G$6,2)</f>
        <v>463.91</v>
      </c>
      <c r="G19" s="605">
        <f t="shared" ref="G19" si="5">ROUND(F19/12,2)</f>
        <v>38.659999999999997</v>
      </c>
      <c r="H19" s="647" t="s">
        <v>711</v>
      </c>
    </row>
    <row r="20" spans="1:8" ht="15.75" customHeight="1" thickBot="1" x14ac:dyDescent="0.35">
      <c r="A20" s="780" t="s">
        <v>686</v>
      </c>
      <c r="B20" s="780"/>
      <c r="C20" s="780"/>
      <c r="D20" s="780"/>
      <c r="E20" s="780"/>
      <c r="F20" s="780"/>
      <c r="G20" s="607">
        <f>SUM(G19:G19)</f>
        <v>38.659999999999997</v>
      </c>
      <c r="H20" s="654">
        <f>Dados!B10+Dados!B12+Dados!B13</f>
        <v>11</v>
      </c>
    </row>
    <row r="22" spans="1:8" ht="27" customHeight="1" x14ac:dyDescent="0.3">
      <c r="A22" s="779" t="s">
        <v>687</v>
      </c>
      <c r="B22" s="779"/>
      <c r="C22" s="779"/>
      <c r="D22" s="779"/>
      <c r="E22" s="779"/>
      <c r="F22" s="779"/>
      <c r="G22" s="779"/>
      <c r="H22" s="779"/>
    </row>
    <row r="23" spans="1:8" ht="27.75" customHeight="1" x14ac:dyDescent="0.3">
      <c r="A23" s="252">
        <v>1</v>
      </c>
      <c r="B23" s="253" t="s">
        <v>688</v>
      </c>
      <c r="C23" s="254">
        <v>2</v>
      </c>
      <c r="D23" s="245">
        <v>598.49</v>
      </c>
      <c r="E23" s="246">
        <f t="shared" ref="E23" si="6">ROUND((D23*C23),2)</f>
        <v>1196.98</v>
      </c>
      <c r="F23" s="246">
        <f t="shared" ref="F23" si="7">ROUND(E23*$G$6,2)</f>
        <v>119.7</v>
      </c>
      <c r="G23" s="605">
        <f t="shared" ref="G23" si="8">ROUND(F23/12,2)</f>
        <v>9.98</v>
      </c>
      <c r="H23" s="647" t="s">
        <v>711</v>
      </c>
    </row>
    <row r="24" spans="1:8" ht="15" thickBot="1" x14ac:dyDescent="0.35">
      <c r="A24" s="780" t="s">
        <v>689</v>
      </c>
      <c r="B24" s="780"/>
      <c r="C24" s="780"/>
      <c r="D24" s="780"/>
      <c r="E24" s="780"/>
      <c r="F24" s="780"/>
      <c r="G24" s="607">
        <f>SUM(G23:G23)</f>
        <v>9.98</v>
      </c>
      <c r="H24" s="654">
        <f>Dados!B10+Dados!B12+Dados!B13+Dados!B14+Dados!B11</f>
        <v>13</v>
      </c>
    </row>
    <row r="26" spans="1:8" ht="27" customHeight="1" x14ac:dyDescent="0.3">
      <c r="A26" s="779" t="s">
        <v>690</v>
      </c>
      <c r="B26" s="779"/>
      <c r="C26" s="779"/>
      <c r="D26" s="779"/>
      <c r="E26" s="779"/>
      <c r="F26" s="779"/>
      <c r="G26" s="779"/>
      <c r="H26" s="779"/>
    </row>
    <row r="27" spans="1:8" ht="36" x14ac:dyDescent="0.3">
      <c r="A27" s="252">
        <v>1</v>
      </c>
      <c r="B27" s="253" t="s">
        <v>691</v>
      </c>
      <c r="C27" s="254">
        <v>1</v>
      </c>
      <c r="D27" s="245">
        <v>377.77</v>
      </c>
      <c r="E27" s="246">
        <f t="shared" ref="E27" si="9">ROUND((D27*C27),2)</f>
        <v>377.77</v>
      </c>
      <c r="F27" s="246">
        <f t="shared" ref="F27" si="10">ROUND(E27*$G$6,2)</f>
        <v>37.78</v>
      </c>
      <c r="G27" s="605">
        <f t="shared" ref="G27" si="11">ROUND(F27/12,2)</f>
        <v>3.15</v>
      </c>
      <c r="H27" s="647" t="s">
        <v>711</v>
      </c>
    </row>
    <row r="28" spans="1:8" ht="15" thickBot="1" x14ac:dyDescent="0.35">
      <c r="A28" s="780" t="s">
        <v>692</v>
      </c>
      <c r="B28" s="780"/>
      <c r="C28" s="780"/>
      <c r="D28" s="780"/>
      <c r="E28" s="780"/>
      <c r="F28" s="780"/>
      <c r="G28" s="607">
        <f>SUM(G27:G27)</f>
        <v>3.15</v>
      </c>
      <c r="H28" s="654">
        <f>Dados!B10+Dados!B12+Dados!B13+Dados!B14</f>
        <v>12</v>
      </c>
    </row>
    <row r="30" spans="1:8" ht="27.75" customHeight="1" x14ac:dyDescent="0.3">
      <c r="A30" s="779" t="s">
        <v>693</v>
      </c>
      <c r="B30" s="779"/>
      <c r="C30" s="779"/>
      <c r="D30" s="779"/>
      <c r="E30" s="779"/>
      <c r="F30" s="779"/>
      <c r="G30" s="779"/>
      <c r="H30" s="779"/>
    </row>
    <row r="31" spans="1:8" ht="29.25" customHeight="1" x14ac:dyDescent="0.3">
      <c r="A31" s="252">
        <v>1</v>
      </c>
      <c r="B31" s="253" t="s">
        <v>695</v>
      </c>
      <c r="C31" s="254">
        <v>1</v>
      </c>
      <c r="D31" s="245">
        <v>834.47</v>
      </c>
      <c r="E31" s="246">
        <f t="shared" ref="E31" si="12">ROUND((D31*C31),2)</f>
        <v>834.47</v>
      </c>
      <c r="F31" s="246">
        <f t="shared" ref="F31" si="13">ROUND(E31*$G$6,2)</f>
        <v>83.45</v>
      </c>
      <c r="G31" s="605">
        <f t="shared" ref="G31" si="14">ROUND(F31/12,2)</f>
        <v>6.95</v>
      </c>
      <c r="H31" s="647" t="s">
        <v>711</v>
      </c>
    </row>
    <row r="32" spans="1:8" ht="15" thickBot="1" x14ac:dyDescent="0.35">
      <c r="A32" s="780" t="s">
        <v>694</v>
      </c>
      <c r="B32" s="780"/>
      <c r="C32" s="780"/>
      <c r="D32" s="780"/>
      <c r="E32" s="780"/>
      <c r="F32" s="780"/>
      <c r="G32" s="607">
        <f>SUM(G31:G31)</f>
        <v>6.95</v>
      </c>
      <c r="H32" s="654">
        <f>Dados!B14+Dados!B11</f>
        <v>2</v>
      </c>
    </row>
  </sheetData>
  <sheetProtection algorithmName="SHA-512" hashValue="rTJ2F5CLHOd1Gqk30Ts5jByECu7Sco2F+f/QhqTp0T7fqQ8LmakxF9wOhBxVCSev6PAPtYv9lPnBkyLW7ItChw==" saltValue="2UWwj8pFRMoK9hTUyG1mUw==" spinCount="100000" sheet="1" objects="1" scenarios="1"/>
  <mergeCells count="13">
    <mergeCell ref="A32:F32"/>
    <mergeCell ref="A4:G4"/>
    <mergeCell ref="A5:G5"/>
    <mergeCell ref="A8:G8"/>
    <mergeCell ref="A17:F17"/>
    <mergeCell ref="H7:H16"/>
    <mergeCell ref="A30:H30"/>
    <mergeCell ref="A26:H26"/>
    <mergeCell ref="A22:H22"/>
    <mergeCell ref="A18:H18"/>
    <mergeCell ref="A20:F20"/>
    <mergeCell ref="A24:F24"/>
    <mergeCell ref="A28:F28"/>
  </mergeCells>
  <pageMargins left="0.51180555555555596" right="0.51180555555555596" top="0.78749999999999998" bottom="0.78749999999999998" header="0.511811023622047" footer="0.511811023622047"/>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C3EB-FC26-4F77-8F65-223B1FC5483D}">
  <sheetPr codeName="Planilha6">
    <tabColor rgb="FFFFFF99"/>
  </sheetPr>
  <dimension ref="A1:J9"/>
  <sheetViews>
    <sheetView workbookViewId="0">
      <selection activeCell="C8" sqref="C8"/>
    </sheetView>
  </sheetViews>
  <sheetFormatPr defaultRowHeight="14.4" x14ac:dyDescent="0.3"/>
  <cols>
    <col min="2" max="2" width="54.33203125" customWidth="1"/>
  </cols>
  <sheetData>
    <row r="1" spans="1:10" x14ac:dyDescent="0.3">
      <c r="B1" s="181" t="str">
        <f>INSTRUÇÕES!B1</f>
        <v>Tribunal Regional Federal da 6ª Região</v>
      </c>
    </row>
    <row r="2" spans="1:10" x14ac:dyDescent="0.3">
      <c r="B2" s="114" t="str">
        <f>INSTRUÇÕES!B2</f>
        <v>Seção Judiciária de Minas Gerais</v>
      </c>
    </row>
    <row r="3" spans="1:10" x14ac:dyDescent="0.3">
      <c r="B3" s="234" t="str">
        <f>INSTRUÇÕES!B3</f>
        <v>Subseção Judiciária de Uberlândia</v>
      </c>
    </row>
    <row r="4" spans="1:10" ht="15.6" x14ac:dyDescent="0.3">
      <c r="A4" s="786" t="s">
        <v>714</v>
      </c>
      <c r="B4" s="786"/>
      <c r="C4" s="786"/>
      <c r="D4" s="786"/>
      <c r="E4" s="786"/>
      <c r="F4" s="786"/>
      <c r="G4" s="786"/>
    </row>
    <row r="5" spans="1:10" ht="26.25" customHeight="1" x14ac:dyDescent="0.3">
      <c r="A5" s="787" t="s">
        <v>339</v>
      </c>
      <c r="B5" s="787"/>
      <c r="C5" s="787"/>
      <c r="D5" s="787"/>
      <c r="E5" s="787"/>
      <c r="F5" s="787"/>
      <c r="G5" s="787"/>
    </row>
    <row r="6" spans="1:10" ht="15.6" x14ac:dyDescent="0.3">
      <c r="A6" s="617"/>
      <c r="B6" s="597"/>
      <c r="C6" s="597"/>
      <c r="D6" s="597" t="s">
        <v>340</v>
      </c>
      <c r="E6" s="597"/>
      <c r="F6" s="597"/>
      <c r="G6" s="618"/>
      <c r="I6" s="791" t="s">
        <v>350</v>
      </c>
      <c r="J6" s="791"/>
    </row>
    <row r="7" spans="1:10" ht="41.4" x14ac:dyDescent="0.3">
      <c r="A7" s="619" t="s">
        <v>341</v>
      </c>
      <c r="B7" s="620" t="s">
        <v>342</v>
      </c>
      <c r="C7" s="620" t="s">
        <v>343</v>
      </c>
      <c r="D7" s="621" t="s">
        <v>344</v>
      </c>
      <c r="E7" s="621" t="s">
        <v>113</v>
      </c>
      <c r="F7" s="621" t="s">
        <v>345</v>
      </c>
      <c r="G7" s="622" t="s">
        <v>347</v>
      </c>
      <c r="I7" s="628" t="s">
        <v>111</v>
      </c>
      <c r="J7" s="629" t="s">
        <v>110</v>
      </c>
    </row>
    <row r="8" spans="1:10" ht="27.6" x14ac:dyDescent="0.3">
      <c r="A8" s="623">
        <v>1</v>
      </c>
      <c r="B8" s="624" t="s">
        <v>715</v>
      </c>
      <c r="C8" s="354">
        <f>Dados!B10+Dados!B12+Dados!B13+Dados!B14+Dados!B11</f>
        <v>13</v>
      </c>
      <c r="D8" s="625">
        <v>59.29</v>
      </c>
      <c r="E8" s="626" t="s">
        <v>366</v>
      </c>
      <c r="F8" s="250">
        <f>ROUND((D8*C8),2)</f>
        <v>770.77</v>
      </c>
      <c r="G8" s="251">
        <f>J8</f>
        <v>64.230833333333322</v>
      </c>
      <c r="I8" s="626">
        <f>C8/IF(E8="MENSAL",1,IF(E8="BIMESTRAL",2,IF(E8="TRIMESTRAL",3,IF(E8="QUADRIMESTRAL",4,IF(E8="SEMESTRAL",6,IF(E8="ANUAL",12,IF(E8="BIENAL",24,"")))))))</f>
        <v>1.0833333333333333</v>
      </c>
      <c r="J8" s="630">
        <f>D8*I8</f>
        <v>64.230833333333322</v>
      </c>
    </row>
    <row r="9" spans="1:10" ht="15" thickBot="1" x14ac:dyDescent="0.35">
      <c r="A9" s="788" t="s">
        <v>752</v>
      </c>
      <c r="B9" s="789"/>
      <c r="C9" s="789"/>
      <c r="D9" s="789"/>
      <c r="E9" s="789"/>
      <c r="F9" s="790"/>
      <c r="G9" s="627">
        <f>G8</f>
        <v>64.230833333333322</v>
      </c>
    </row>
  </sheetData>
  <sheetProtection algorithmName="SHA-512" hashValue="ToIpaUA5x8EwUkaHHWsdzy/WK/yuIqtxX8dZm1AuET6Xnc1WGgfkwNs2BgwZrDQ48msnC/aEmXLBwQZSR0FwvA==" saltValue="gwM1z2y0L8Tlu1vn7EHBKw==" spinCount="100000" sheet="1" objects="1" scenarios="1"/>
  <mergeCells count="4">
    <mergeCell ref="A4:G4"/>
    <mergeCell ref="A5:G5"/>
    <mergeCell ref="A9:F9"/>
    <mergeCell ref="I6:J6"/>
  </mergeCells>
  <dataValidations count="1">
    <dataValidation type="list" allowBlank="1" showInputMessage="1" showErrorMessage="1" sqref="E8" xr:uid="{86818177-8A37-43C3-8681-3B1342829F1E}">
      <formula1>"Mensal,Bimestral,Trimestral,Quadrimestral,Semestral,Anual,Bienal"</formula1>
      <formula2>0</formula2>
    </dataValidation>
  </dataValidation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tabColor rgb="FFFFFF99"/>
  </sheetPr>
  <dimension ref="A1:ACX111"/>
  <sheetViews>
    <sheetView showGridLines="0" topLeftCell="A50" zoomScaleNormal="100" workbookViewId="0"/>
  </sheetViews>
  <sheetFormatPr defaultColWidth="9" defaultRowHeight="14.4" x14ac:dyDescent="0.3"/>
  <cols>
    <col min="1" max="1" width="5" style="101" customWidth="1"/>
    <col min="2" max="2" width="90.109375" style="79" customWidth="1"/>
    <col min="3" max="3" width="8.6640625" style="256" customWidth="1"/>
    <col min="4" max="4" width="14.109375" style="640" customWidth="1"/>
    <col min="5" max="5" width="13.88671875" style="257" customWidth="1"/>
    <col min="6" max="6" width="16" style="79" customWidth="1"/>
    <col min="7" max="7" width="18.44140625" style="79" customWidth="1"/>
    <col min="8" max="8" width="23.6640625" customWidth="1"/>
    <col min="9" max="9" width="4.33203125" customWidth="1"/>
    <col min="10" max="10" width="11.44140625" customWidth="1"/>
    <col min="11" max="11" width="12.44140625" style="79" customWidth="1"/>
    <col min="13" max="13" width="25" hidden="1" customWidth="1"/>
    <col min="14" max="14" width="10.5546875" hidden="1" customWidth="1"/>
    <col min="15" max="15" width="10" hidden="1" customWidth="1"/>
    <col min="16" max="16" width="10.88671875" hidden="1" customWidth="1"/>
    <col min="17" max="17" width="10.109375" hidden="1" customWidth="1"/>
    <col min="18" max="18" width="11.109375" hidden="1" customWidth="1"/>
    <col min="256" max="256" width="8.33203125" customWidth="1"/>
    <col min="257" max="257" width="44.5546875" customWidth="1"/>
    <col min="258" max="258" width="7.44140625" customWidth="1"/>
    <col min="259" max="259" width="13" customWidth="1"/>
    <col min="260" max="260" width="11.6640625" customWidth="1"/>
    <col min="261" max="261" width="10.5546875" customWidth="1"/>
    <col min="262" max="262" width="14.44140625" customWidth="1"/>
    <col min="263" max="263" width="35.44140625" customWidth="1"/>
    <col min="264" max="264" width="14" customWidth="1"/>
    <col min="265" max="265" width="11.6640625" customWidth="1"/>
    <col min="266" max="266" width="13.5546875" customWidth="1"/>
    <col min="512" max="512" width="8.33203125" customWidth="1"/>
    <col min="513" max="513" width="44.5546875" customWidth="1"/>
    <col min="514" max="514" width="7.44140625" customWidth="1"/>
    <col min="515" max="515" width="13" customWidth="1"/>
    <col min="516" max="516" width="11.6640625" customWidth="1"/>
    <col min="517" max="517" width="10.5546875" customWidth="1"/>
    <col min="518" max="518" width="14.44140625" customWidth="1"/>
    <col min="519" max="519" width="35.44140625" customWidth="1"/>
    <col min="520" max="520" width="14" customWidth="1"/>
    <col min="521" max="521" width="11.6640625" customWidth="1"/>
    <col min="522" max="522" width="13.5546875" customWidth="1"/>
    <col min="768" max="768" width="8.33203125" customWidth="1"/>
    <col min="769" max="769" width="44.5546875" customWidth="1"/>
    <col min="770" max="770" width="7.44140625" customWidth="1"/>
    <col min="771" max="771" width="13" customWidth="1"/>
    <col min="772" max="772" width="11.6640625" customWidth="1"/>
    <col min="773" max="773" width="10.5546875" customWidth="1"/>
    <col min="774" max="774" width="14.44140625" customWidth="1"/>
    <col min="775" max="775" width="35.44140625" customWidth="1"/>
    <col min="776" max="776" width="14" customWidth="1"/>
    <col min="777" max="777" width="11.6640625" customWidth="1"/>
    <col min="778" max="778" width="13.5546875" customWidth="1"/>
  </cols>
  <sheetData>
    <row r="1" spans="1:18" s="79" customFormat="1" ht="15" customHeight="1" x14ac:dyDescent="0.3">
      <c r="A1" s="258"/>
      <c r="B1" s="181" t="str">
        <f>INSTRUÇÕES!B1</f>
        <v>Tribunal Regional Federal da 6ª Região</v>
      </c>
      <c r="C1" s="259"/>
      <c r="D1" s="639"/>
      <c r="E1" s="261"/>
      <c r="F1" s="260"/>
      <c r="G1" s="260"/>
      <c r="H1" s="262"/>
    </row>
    <row r="2" spans="1:18" s="79" customFormat="1" ht="17.25" customHeight="1" x14ac:dyDescent="0.3">
      <c r="A2" s="263"/>
      <c r="B2" s="114" t="str">
        <f>INSTRUÇÕES!B2</f>
        <v>Seção Judiciária de Minas Gerais</v>
      </c>
      <c r="C2" s="256"/>
      <c r="D2" s="640"/>
      <c r="E2" s="257"/>
      <c r="H2" s="264"/>
    </row>
    <row r="3" spans="1:18" s="79" customFormat="1" ht="16.5" customHeight="1" x14ac:dyDescent="0.3">
      <c r="A3" s="263"/>
      <c r="B3" s="114" t="str">
        <f>INSTRUÇÕES!B3</f>
        <v>Subseção Judiciária de Uberlândia</v>
      </c>
      <c r="C3" s="256"/>
      <c r="D3" s="640"/>
      <c r="E3" s="257"/>
      <c r="H3" s="264"/>
    </row>
    <row r="4" spans="1:18" s="79" customFormat="1" ht="27.75" customHeight="1" x14ac:dyDescent="0.3">
      <c r="A4" s="798" t="s">
        <v>666</v>
      </c>
      <c r="B4" s="798"/>
      <c r="C4" s="798"/>
      <c r="D4" s="798"/>
      <c r="E4" s="798"/>
      <c r="F4" s="798"/>
      <c r="G4" s="798"/>
      <c r="H4" s="798"/>
      <c r="I4" s="265"/>
      <c r="J4" s="265"/>
    </row>
    <row r="5" spans="1:18" s="266" customFormat="1" ht="24" customHeight="1" x14ac:dyDescent="0.3">
      <c r="A5" s="799" t="s">
        <v>339</v>
      </c>
      <c r="B5" s="799"/>
      <c r="C5" s="799"/>
      <c r="D5" s="799"/>
      <c r="E5" s="799"/>
      <c r="F5" s="799"/>
      <c r="G5" s="799"/>
      <c r="H5" s="799"/>
      <c r="K5" s="267"/>
    </row>
    <row r="6" spans="1:18" s="79" customFormat="1" ht="12.75" customHeight="1" x14ac:dyDescent="0.3">
      <c r="A6" s="800" t="s">
        <v>103</v>
      </c>
      <c r="B6" s="796" t="s">
        <v>667</v>
      </c>
      <c r="C6" s="796"/>
      <c r="D6" s="796"/>
      <c r="E6" s="269"/>
      <c r="F6" s="269"/>
      <c r="G6" s="269"/>
      <c r="H6" s="797" t="s">
        <v>349</v>
      </c>
      <c r="I6" s="78"/>
      <c r="J6" s="78"/>
    </row>
    <row r="7" spans="1:18" s="79" customFormat="1" ht="12.75" customHeight="1" x14ac:dyDescent="0.3">
      <c r="A7" s="800"/>
      <c r="B7" s="796"/>
      <c r="C7" s="796"/>
      <c r="D7" s="796"/>
      <c r="E7" s="269"/>
      <c r="F7" s="269"/>
      <c r="G7" s="269"/>
      <c r="H7" s="797"/>
      <c r="I7" s="78"/>
      <c r="J7" s="792" t="s">
        <v>350</v>
      </c>
      <c r="K7" s="792"/>
      <c r="M7" s="700" t="s">
        <v>351</v>
      </c>
      <c r="N7" s="700"/>
      <c r="O7" s="700"/>
      <c r="P7" s="700"/>
      <c r="Q7" s="700"/>
      <c r="R7" s="700"/>
    </row>
    <row r="8" spans="1:18" s="79" customFormat="1" ht="55.2" x14ac:dyDescent="0.3">
      <c r="A8" s="800"/>
      <c r="B8" s="268" t="s">
        <v>669</v>
      </c>
      <c r="C8" s="270" t="s">
        <v>107</v>
      </c>
      <c r="D8" s="270" t="s">
        <v>108</v>
      </c>
      <c r="E8" s="268" t="s">
        <v>352</v>
      </c>
      <c r="F8" s="268" t="s">
        <v>113</v>
      </c>
      <c r="G8" s="270" t="s">
        <v>353</v>
      </c>
      <c r="H8" s="797"/>
      <c r="I8" s="78"/>
      <c r="J8" s="271" t="s">
        <v>111</v>
      </c>
      <c r="K8" s="272" t="s">
        <v>110</v>
      </c>
      <c r="M8" s="273" t="s">
        <v>354</v>
      </c>
      <c r="N8" s="73" t="s">
        <v>246</v>
      </c>
      <c r="O8" s="73" t="s">
        <v>247</v>
      </c>
      <c r="P8" s="73" t="s">
        <v>248</v>
      </c>
      <c r="Q8" s="73" t="s">
        <v>249</v>
      </c>
      <c r="R8" s="84" t="s">
        <v>250</v>
      </c>
    </row>
    <row r="9" spans="1:18" s="79" customFormat="1" ht="24" x14ac:dyDescent="0.3">
      <c r="A9" s="86">
        <v>1</v>
      </c>
      <c r="B9" s="290" t="s">
        <v>540</v>
      </c>
      <c r="C9" s="274" t="s">
        <v>355</v>
      </c>
      <c r="D9" s="641" t="s">
        <v>541</v>
      </c>
      <c r="E9" s="275">
        <v>16</v>
      </c>
      <c r="F9" s="276" t="s">
        <v>356</v>
      </c>
      <c r="G9" s="277">
        <v>15.23</v>
      </c>
      <c r="H9" s="278"/>
      <c r="I9" s="78"/>
      <c r="J9" s="87">
        <f>'Ocorrências Mensais - FAT'!G32</f>
        <v>16</v>
      </c>
      <c r="K9" s="279">
        <f t="shared" ref="K9:K39" si="0">G9*J9</f>
        <v>243.68</v>
      </c>
      <c r="M9" s="280">
        <v>32</v>
      </c>
      <c r="N9" s="281">
        <f>ROUND(IF(Dados!$J$62="SIM",M9*Dados!$N$62,M9),2)</f>
        <v>32</v>
      </c>
      <c r="O9" s="281">
        <f>ROUND(IF(Dados!$J$63="SIM",N9*Dados!$N$63,N9),2)</f>
        <v>32</v>
      </c>
      <c r="P9" s="281">
        <f>ROUND(IF(Dados!$J$64="SIM",O9*Dados!$N$64,O9),2)</f>
        <v>32</v>
      </c>
      <c r="Q9" s="281">
        <f>ROUND(IF(Dados!$J$65="SIM",P9*Dados!$N$65,P9),2)</f>
        <v>32</v>
      </c>
      <c r="R9" s="282">
        <f>ROUND(IF(Dados!$J$66="SIM",Q9*Dados!$N$66,Q9),2)</f>
        <v>32</v>
      </c>
    </row>
    <row r="10" spans="1:18" s="79" customFormat="1" ht="48" x14ac:dyDescent="0.3">
      <c r="A10" s="86">
        <v>2</v>
      </c>
      <c r="B10" s="668" t="s">
        <v>542</v>
      </c>
      <c r="C10" s="274" t="s">
        <v>355</v>
      </c>
      <c r="D10" s="642" t="s">
        <v>543</v>
      </c>
      <c r="E10" s="275">
        <v>2</v>
      </c>
      <c r="F10" s="276" t="s">
        <v>356</v>
      </c>
      <c r="G10" s="277">
        <v>57.39</v>
      </c>
      <c r="H10" s="278"/>
      <c r="I10" s="78"/>
      <c r="J10" s="87">
        <f>'Ocorrências Mensais - FAT'!G33</f>
        <v>2</v>
      </c>
      <c r="K10" s="279">
        <f t="shared" si="0"/>
        <v>114.78</v>
      </c>
      <c r="M10" s="280">
        <v>7.14</v>
      </c>
      <c r="N10" s="281">
        <f>ROUND(IF(Dados!$J$62="SIM",M10*Dados!$N$62,M10),2)</f>
        <v>7.14</v>
      </c>
      <c r="O10" s="281">
        <f>ROUND(IF(Dados!$J$63="SIM",N10*Dados!$N$63,N10),2)</f>
        <v>7.14</v>
      </c>
      <c r="P10" s="281">
        <f>ROUND(IF(Dados!$J$64="SIM",O10*Dados!$N$64,O10),2)</f>
        <v>7.14</v>
      </c>
      <c r="Q10" s="281">
        <f>ROUND(IF(Dados!$J$65="SIM",P10*Dados!$N$65,P10),2)</f>
        <v>7.14</v>
      </c>
      <c r="R10" s="282">
        <f>ROUND(IF(Dados!$J$66="SIM",Q10*Dados!$N$66,Q10),2)</f>
        <v>7.14</v>
      </c>
    </row>
    <row r="11" spans="1:18" s="79" customFormat="1" ht="24" x14ac:dyDescent="0.3">
      <c r="A11" s="86">
        <v>3</v>
      </c>
      <c r="B11" s="290" t="s">
        <v>544</v>
      </c>
      <c r="C11" s="274" t="s">
        <v>120</v>
      </c>
      <c r="D11" s="274" t="s">
        <v>545</v>
      </c>
      <c r="E11" s="275">
        <v>20</v>
      </c>
      <c r="F11" s="276" t="s">
        <v>357</v>
      </c>
      <c r="G11" s="277">
        <v>13.89</v>
      </c>
      <c r="H11" s="278"/>
      <c r="I11" s="78"/>
      <c r="J11" s="276">
        <f>'Ocorrências Mensais - FAT'!G34</f>
        <v>3.3333333333333335</v>
      </c>
      <c r="K11" s="279">
        <f t="shared" si="0"/>
        <v>46.300000000000004</v>
      </c>
      <c r="M11" s="280">
        <v>12</v>
      </c>
      <c r="N11" s="281">
        <f>ROUND(IF(Dados!$J$62="SIM",M11*Dados!$N$62,M11),2)</f>
        <v>12</v>
      </c>
      <c r="O11" s="281">
        <f>ROUND(IF(Dados!$J$63="SIM",N11*Dados!$N$63,N11),2)</f>
        <v>12</v>
      </c>
      <c r="P11" s="281">
        <f>ROUND(IF(Dados!$J$64="SIM",O11*Dados!$N$64,O11),2)</f>
        <v>12</v>
      </c>
      <c r="Q11" s="281">
        <f>ROUND(IF(Dados!$J$65="SIM",P11*Dados!$N$65,P11),2)</f>
        <v>12</v>
      </c>
      <c r="R11" s="282">
        <f>ROUND(IF(Dados!$J$66="SIM",Q11*Dados!$N$66,Q11),2)</f>
        <v>12</v>
      </c>
    </row>
    <row r="12" spans="1:18" s="79" customFormat="1" ht="24.75" customHeight="1" x14ac:dyDescent="0.3">
      <c r="A12" s="86">
        <v>4</v>
      </c>
      <c r="B12" s="290" t="s">
        <v>546</v>
      </c>
      <c r="C12" s="274" t="s">
        <v>120</v>
      </c>
      <c r="D12" s="274" t="s">
        <v>547</v>
      </c>
      <c r="E12" s="275">
        <v>20</v>
      </c>
      <c r="F12" s="276" t="s">
        <v>357</v>
      </c>
      <c r="G12" s="277">
        <v>26.38</v>
      </c>
      <c r="H12" s="278"/>
      <c r="I12" s="78"/>
      <c r="J12" s="276">
        <f>'Ocorrências Mensais - FAT'!G35</f>
        <v>3.3333333333333335</v>
      </c>
      <c r="K12" s="279">
        <f t="shared" si="0"/>
        <v>87.933333333333337</v>
      </c>
      <c r="M12" s="280">
        <v>5.5</v>
      </c>
      <c r="N12" s="281">
        <f>ROUND(IF(Dados!$J$62="SIM",M12*Dados!$N$62,M12),2)</f>
        <v>5.5</v>
      </c>
      <c r="O12" s="281">
        <f>ROUND(IF(Dados!$J$63="SIM",N12*Dados!$N$63,N12),2)</f>
        <v>5.5</v>
      </c>
      <c r="P12" s="281">
        <f>ROUND(IF(Dados!$J$64="SIM",O12*Dados!$N$64,O12),2)</f>
        <v>5.5</v>
      </c>
      <c r="Q12" s="281">
        <f>ROUND(IF(Dados!$J$65="SIM",P12*Dados!$N$65,P12),2)</f>
        <v>5.5</v>
      </c>
      <c r="R12" s="282">
        <f>ROUND(IF(Dados!$J$66="SIM",Q12*Dados!$N$66,Q12),2)</f>
        <v>5.5</v>
      </c>
    </row>
    <row r="13" spans="1:18" s="79" customFormat="1" ht="63.75" customHeight="1" x14ac:dyDescent="0.3">
      <c r="A13" s="86">
        <v>5</v>
      </c>
      <c r="B13" s="290" t="s">
        <v>368</v>
      </c>
      <c r="C13" s="274" t="s">
        <v>120</v>
      </c>
      <c r="D13" s="274" t="s">
        <v>548</v>
      </c>
      <c r="E13" s="275">
        <v>2</v>
      </c>
      <c r="F13" s="276" t="s">
        <v>356</v>
      </c>
      <c r="G13" s="277">
        <v>5.46</v>
      </c>
      <c r="H13" s="278"/>
      <c r="I13" s="78"/>
      <c r="J13" s="276">
        <f>'Ocorrências Mensais - FAT'!G36</f>
        <v>2</v>
      </c>
      <c r="K13" s="279">
        <f t="shared" si="0"/>
        <v>10.92</v>
      </c>
      <c r="M13" s="280">
        <v>6.8</v>
      </c>
      <c r="N13" s="281">
        <f>ROUND(IF(Dados!$J$62="SIM",M13*Dados!$N$62,M13),2)</f>
        <v>6.8</v>
      </c>
      <c r="O13" s="281">
        <f>ROUND(IF(Dados!$J$63="SIM",N13*Dados!$N$63,N13),2)</f>
        <v>6.8</v>
      </c>
      <c r="P13" s="281">
        <f>ROUND(IF(Dados!$J$64="SIM",O13*Dados!$N$64,O13),2)</f>
        <v>6.8</v>
      </c>
      <c r="Q13" s="281">
        <f>ROUND(IF(Dados!$J$65="SIM",P13*Dados!$N$65,P13),2)</f>
        <v>6.8</v>
      </c>
      <c r="R13" s="282">
        <f>ROUND(IF(Dados!$J$66="SIM",Q13*Dados!$N$66,Q13),2)</f>
        <v>6.8</v>
      </c>
    </row>
    <row r="14" spans="1:18" s="79" customFormat="1" ht="24" x14ac:dyDescent="0.3">
      <c r="A14" s="86">
        <v>6</v>
      </c>
      <c r="B14" s="290" t="s">
        <v>549</v>
      </c>
      <c r="C14" s="274" t="s">
        <v>120</v>
      </c>
      <c r="D14" s="274"/>
      <c r="E14" s="275">
        <v>20</v>
      </c>
      <c r="F14" s="276" t="s">
        <v>366</v>
      </c>
      <c r="G14" s="277">
        <v>99</v>
      </c>
      <c r="H14" s="278"/>
      <c r="I14" s="78"/>
      <c r="J14" s="276">
        <f>'Ocorrências Mensais - FAT'!G37</f>
        <v>1.6666666666666667</v>
      </c>
      <c r="K14" s="279">
        <f t="shared" si="0"/>
        <v>165</v>
      </c>
      <c r="M14" s="280">
        <v>4.32</v>
      </c>
      <c r="N14" s="281">
        <f>ROUND(IF(Dados!$J$62="SIM",M14*Dados!$N$62,M14),2)</f>
        <v>4.32</v>
      </c>
      <c r="O14" s="281">
        <f>ROUND(IF(Dados!$J$63="SIM",N14*Dados!$N$63,N14),2)</f>
        <v>4.32</v>
      </c>
      <c r="P14" s="281">
        <f>ROUND(IF(Dados!$J$64="SIM",O14*Dados!$N$64,O14),2)</f>
        <v>4.32</v>
      </c>
      <c r="Q14" s="281">
        <f>ROUND(IF(Dados!$J$65="SIM",P14*Dados!$N$65,P14),2)</f>
        <v>4.32</v>
      </c>
      <c r="R14" s="282">
        <f>ROUND(IF(Dados!$J$66="SIM",Q14*Dados!$N$66,Q14),2)</f>
        <v>4.32</v>
      </c>
    </row>
    <row r="15" spans="1:18" s="79" customFormat="1" ht="24" x14ac:dyDescent="0.3">
      <c r="A15" s="94">
        <v>7</v>
      </c>
      <c r="B15" s="290" t="s">
        <v>550</v>
      </c>
      <c r="C15" s="274" t="s">
        <v>120</v>
      </c>
      <c r="D15" s="274" t="s">
        <v>551</v>
      </c>
      <c r="E15" s="275">
        <v>3</v>
      </c>
      <c r="F15" s="276" t="s">
        <v>366</v>
      </c>
      <c r="G15" s="277">
        <v>10.41</v>
      </c>
      <c r="H15" s="278"/>
      <c r="I15" s="78"/>
      <c r="J15" s="276">
        <f>'Ocorrências Mensais - FAT'!G38</f>
        <v>0.25</v>
      </c>
      <c r="K15" s="279">
        <f t="shared" si="0"/>
        <v>2.6025</v>
      </c>
      <c r="M15" s="280">
        <v>5.5</v>
      </c>
      <c r="N15" s="281">
        <f>ROUND(IF(Dados!$J$62="SIM",M15*Dados!$N$62,M15),2)</f>
        <v>5.5</v>
      </c>
      <c r="O15" s="281">
        <f>ROUND(IF(Dados!$J$63="SIM",N15*Dados!$N$63,N15),2)</f>
        <v>5.5</v>
      </c>
      <c r="P15" s="281">
        <f>ROUND(IF(Dados!$J$64="SIM",O15*Dados!$N$64,O15),2)</f>
        <v>5.5</v>
      </c>
      <c r="Q15" s="281">
        <f>ROUND(IF(Dados!$J$65="SIM",P15*Dados!$N$65,P15),2)</f>
        <v>5.5</v>
      </c>
      <c r="R15" s="282">
        <f>ROUND(IF(Dados!$J$66="SIM",Q15*Dados!$N$66,Q15),2)</f>
        <v>5.5</v>
      </c>
    </row>
    <row r="16" spans="1:18" s="79" customFormat="1" ht="24" x14ac:dyDescent="0.3">
      <c r="A16" s="86">
        <v>8</v>
      </c>
      <c r="B16" s="290" t="s">
        <v>552</v>
      </c>
      <c r="C16" s="274" t="s">
        <v>107</v>
      </c>
      <c r="D16" s="274" t="s">
        <v>553</v>
      </c>
      <c r="E16" s="275">
        <v>3</v>
      </c>
      <c r="F16" s="276" t="s">
        <v>366</v>
      </c>
      <c r="G16" s="277">
        <v>11.08</v>
      </c>
      <c r="H16" s="278"/>
      <c r="I16" s="78"/>
      <c r="J16" s="276">
        <f>'Ocorrências Mensais - FAT'!G39</f>
        <v>0.25</v>
      </c>
      <c r="K16" s="279">
        <f t="shared" si="0"/>
        <v>2.77</v>
      </c>
      <c r="M16" s="280">
        <v>11.48</v>
      </c>
      <c r="N16" s="281">
        <f>ROUND(IF(Dados!$J$62="SIM",M16*Dados!$N$62,M16),2)</f>
        <v>11.48</v>
      </c>
      <c r="O16" s="281">
        <f>ROUND(IF(Dados!$J$63="SIM",N16*Dados!$N$63,N16),2)</f>
        <v>11.48</v>
      </c>
      <c r="P16" s="281">
        <f>ROUND(IF(Dados!$J$64="SIM",O16*Dados!$N$64,O16),2)</f>
        <v>11.48</v>
      </c>
      <c r="Q16" s="281">
        <f>ROUND(IF(Dados!$J$65="SIM",P16*Dados!$N$65,P16),2)</f>
        <v>11.48</v>
      </c>
      <c r="R16" s="282">
        <f>ROUND(IF(Dados!$J$66="SIM",Q16*Dados!$N$66,Q16),2)</f>
        <v>11.48</v>
      </c>
    </row>
    <row r="17" spans="1:18" s="79" customFormat="1" ht="36" x14ac:dyDescent="0.3">
      <c r="A17" s="86">
        <v>9</v>
      </c>
      <c r="B17" s="290" t="s">
        <v>760</v>
      </c>
      <c r="C17" s="274" t="s">
        <v>120</v>
      </c>
      <c r="D17" s="274" t="s">
        <v>554</v>
      </c>
      <c r="E17" s="665">
        <v>30</v>
      </c>
      <c r="F17" s="276" t="s">
        <v>356</v>
      </c>
      <c r="G17" s="277">
        <v>17.190000000000001</v>
      </c>
      <c r="H17" s="278"/>
      <c r="I17" s="78"/>
      <c r="J17" s="276">
        <f>'Ocorrências Mensais - FAT'!G40</f>
        <v>30</v>
      </c>
      <c r="K17" s="279">
        <f t="shared" si="0"/>
        <v>515.70000000000005</v>
      </c>
      <c r="M17" s="280">
        <v>2.17</v>
      </c>
      <c r="N17" s="281">
        <f>ROUND(IF(Dados!$J$62="SIM",M17*Dados!$N$62,M17),2)</f>
        <v>2.17</v>
      </c>
      <c r="O17" s="281">
        <f>ROUND(IF(Dados!$J$63="SIM",N17*Dados!$N$63,N17),2)</f>
        <v>2.17</v>
      </c>
      <c r="P17" s="281">
        <f>ROUND(IF(Dados!$J$64="SIM",O17*Dados!$N$64,O17),2)</f>
        <v>2.17</v>
      </c>
      <c r="Q17" s="281">
        <f>ROUND(IF(Dados!$J$65="SIM",P17*Dados!$N$65,P17),2)</f>
        <v>2.17</v>
      </c>
      <c r="R17" s="282">
        <f>ROUND(IF(Dados!$J$66="SIM",Q17*Dados!$N$66,Q17),2)</f>
        <v>2.17</v>
      </c>
    </row>
    <row r="18" spans="1:18" s="79" customFormat="1" ht="36" x14ac:dyDescent="0.3">
      <c r="A18" s="86">
        <v>10</v>
      </c>
      <c r="B18" s="290" t="s">
        <v>555</v>
      </c>
      <c r="C18" s="274" t="s">
        <v>355</v>
      </c>
      <c r="D18" s="274" t="s">
        <v>556</v>
      </c>
      <c r="E18" s="665">
        <v>35</v>
      </c>
      <c r="F18" s="276" t="s">
        <v>356</v>
      </c>
      <c r="G18" s="277">
        <v>44.79</v>
      </c>
      <c r="H18" s="278"/>
      <c r="I18" s="78"/>
      <c r="J18" s="276">
        <f>'Ocorrências Mensais - FAT'!G41</f>
        <v>35</v>
      </c>
      <c r="K18" s="279">
        <f t="shared" si="0"/>
        <v>1567.6499999999999</v>
      </c>
      <c r="M18" s="280">
        <v>18.84</v>
      </c>
      <c r="N18" s="281">
        <f>ROUND(IF(Dados!$J$62="SIM",M18*Dados!$N$62,M18),2)</f>
        <v>18.84</v>
      </c>
      <c r="O18" s="281">
        <f>ROUND(IF(Dados!$J$63="SIM",N18*Dados!$N$63,N18),2)</f>
        <v>18.84</v>
      </c>
      <c r="P18" s="281">
        <f>ROUND(IF(Dados!$J$64="SIM",O18*Dados!$N$64,O18),2)</f>
        <v>18.84</v>
      </c>
      <c r="Q18" s="281">
        <f>ROUND(IF(Dados!$J$65="SIM",P18*Dados!$N$65,P18),2)</f>
        <v>18.84</v>
      </c>
      <c r="R18" s="282">
        <f>ROUND(IF(Dados!$J$66="SIM",Q18*Dados!$N$66,Q18),2)</f>
        <v>18.84</v>
      </c>
    </row>
    <row r="19" spans="1:18" s="79" customFormat="1" ht="36" x14ac:dyDescent="0.3">
      <c r="A19" s="86">
        <v>11</v>
      </c>
      <c r="B19" s="290" t="s">
        <v>557</v>
      </c>
      <c r="C19" s="274" t="s">
        <v>120</v>
      </c>
      <c r="D19" s="274" t="s">
        <v>558</v>
      </c>
      <c r="E19" s="275">
        <v>6</v>
      </c>
      <c r="F19" s="276" t="s">
        <v>357</v>
      </c>
      <c r="G19" s="277">
        <v>28.44</v>
      </c>
      <c r="H19" s="278"/>
      <c r="I19" s="78"/>
      <c r="J19" s="276">
        <f>'Ocorrências Mensais - FAT'!G42</f>
        <v>1</v>
      </c>
      <c r="K19" s="279">
        <f t="shared" si="0"/>
        <v>28.44</v>
      </c>
      <c r="M19" s="280">
        <v>24</v>
      </c>
      <c r="N19" s="281">
        <f>ROUND(IF(Dados!$J$62="SIM",M19*Dados!$N$62,M19),2)</f>
        <v>24</v>
      </c>
      <c r="O19" s="281">
        <f>ROUND(IF(Dados!$J$63="SIM",N19*Dados!$N$63,N19),2)</f>
        <v>24</v>
      </c>
      <c r="P19" s="281">
        <f>ROUND(IF(Dados!$J$64="SIM",O19*Dados!$N$64,O19),2)</f>
        <v>24</v>
      </c>
      <c r="Q19" s="281">
        <f>ROUND(IF(Dados!$J$65="SIM",P19*Dados!$N$65,P19),2)</f>
        <v>24</v>
      </c>
      <c r="R19" s="282">
        <f>ROUND(IF(Dados!$J$66="SIM",Q19*Dados!$N$66,Q19),2)</f>
        <v>24</v>
      </c>
    </row>
    <row r="20" spans="1:18" s="79" customFormat="1" ht="24" x14ac:dyDescent="0.3">
      <c r="A20" s="86">
        <v>12</v>
      </c>
      <c r="B20" s="290" t="s">
        <v>559</v>
      </c>
      <c r="C20" s="274" t="s">
        <v>120</v>
      </c>
      <c r="D20" s="274" t="s">
        <v>560</v>
      </c>
      <c r="E20" s="665">
        <v>5</v>
      </c>
      <c r="F20" s="276" t="s">
        <v>358</v>
      </c>
      <c r="G20" s="277">
        <v>5.57</v>
      </c>
      <c r="H20" s="278"/>
      <c r="I20" s="78"/>
      <c r="J20" s="276">
        <f>'Ocorrências Mensais - FAT'!G43</f>
        <v>1.6666666666666667</v>
      </c>
      <c r="K20" s="279">
        <f t="shared" si="0"/>
        <v>9.283333333333335</v>
      </c>
      <c r="M20" s="280">
        <v>2.9</v>
      </c>
      <c r="N20" s="281">
        <f>ROUND(IF(Dados!$J$62="SIM",M20*Dados!$N$62,M20),2)</f>
        <v>2.9</v>
      </c>
      <c r="O20" s="281">
        <f>ROUND(IF(Dados!$J$63="SIM",N20*Dados!$N$63,N20),2)</f>
        <v>2.9</v>
      </c>
      <c r="P20" s="281">
        <f>ROUND(IF(Dados!$J$64="SIM",O20*Dados!$N$64,O20),2)</f>
        <v>2.9</v>
      </c>
      <c r="Q20" s="281">
        <f>ROUND(IF(Dados!$J$65="SIM",P20*Dados!$N$65,P20),2)</f>
        <v>2.9</v>
      </c>
      <c r="R20" s="282">
        <f>ROUND(IF(Dados!$J$66="SIM",Q20*Dados!$N$66,Q20),2)</f>
        <v>2.9</v>
      </c>
    </row>
    <row r="21" spans="1:18" s="79" customFormat="1" ht="24" x14ac:dyDescent="0.3">
      <c r="A21" s="86">
        <v>13</v>
      </c>
      <c r="B21" s="290" t="s">
        <v>561</v>
      </c>
      <c r="C21" s="274" t="s">
        <v>120</v>
      </c>
      <c r="D21" s="274" t="s">
        <v>562</v>
      </c>
      <c r="E21" s="275">
        <v>30</v>
      </c>
      <c r="F21" s="276" t="s">
        <v>366</v>
      </c>
      <c r="G21" s="283">
        <v>16.11</v>
      </c>
      <c r="H21" s="278"/>
      <c r="I21" s="78"/>
      <c r="J21" s="276">
        <f>'Ocorrências Mensais - FAT'!G44</f>
        <v>2.5</v>
      </c>
      <c r="K21" s="279">
        <f t="shared" si="0"/>
        <v>40.274999999999999</v>
      </c>
      <c r="M21" s="280">
        <v>19.899999999999999</v>
      </c>
      <c r="N21" s="281">
        <f>ROUND(IF(Dados!$J$62="SIM",M21*Dados!$N$62,M21),2)</f>
        <v>19.899999999999999</v>
      </c>
      <c r="O21" s="281">
        <f>ROUND(IF(Dados!$J$63="SIM",N21*Dados!$N$63,N21),2)</f>
        <v>19.899999999999999</v>
      </c>
      <c r="P21" s="281">
        <f>ROUND(IF(Dados!$J$64="SIM",O21*Dados!$N$64,O21),2)</f>
        <v>19.899999999999999</v>
      </c>
      <c r="Q21" s="281">
        <f>ROUND(IF(Dados!$J$65="SIM",P21*Dados!$N$65,P21),2)</f>
        <v>19.899999999999999</v>
      </c>
      <c r="R21" s="282">
        <f>ROUND(IF(Dados!$J$66="SIM",Q21*Dados!$N$66,Q21),2)</f>
        <v>19.899999999999999</v>
      </c>
    </row>
    <row r="22" spans="1:18" s="79" customFormat="1" ht="36" x14ac:dyDescent="0.3">
      <c r="A22" s="86">
        <v>14</v>
      </c>
      <c r="B22" s="638" t="s">
        <v>563</v>
      </c>
      <c r="C22" s="274" t="s">
        <v>121</v>
      </c>
      <c r="D22" s="301" t="s">
        <v>564</v>
      </c>
      <c r="E22" s="285">
        <v>6</v>
      </c>
      <c r="F22" s="108" t="s">
        <v>356</v>
      </c>
      <c r="G22" s="283">
        <v>6.4</v>
      </c>
      <c r="H22" s="278"/>
      <c r="I22" s="78"/>
      <c r="J22" s="276">
        <f>'Ocorrências Mensais - FAT'!G45</f>
        <v>6</v>
      </c>
      <c r="K22" s="279">
        <f t="shared" si="0"/>
        <v>38.400000000000006</v>
      </c>
      <c r="M22" s="280">
        <v>20.9</v>
      </c>
      <c r="N22" s="281">
        <f>ROUND(IF(Dados!$J$62="SIM",M22*Dados!$N$62,M22),2)</f>
        <v>20.9</v>
      </c>
      <c r="O22" s="281">
        <f>ROUND(IF(Dados!$J$63="SIM",N22*Dados!$N$63,N22),2)</f>
        <v>20.9</v>
      </c>
      <c r="P22" s="281">
        <f>ROUND(IF(Dados!$J$64="SIM",O22*Dados!$N$64,O22),2)</f>
        <v>20.9</v>
      </c>
      <c r="Q22" s="281">
        <f>ROUND(IF(Dados!$J$65="SIM",P22*Dados!$N$65,P22),2)</f>
        <v>20.9</v>
      </c>
      <c r="R22" s="282">
        <f>ROUND(IF(Dados!$J$66="SIM",Q22*Dados!$N$66,Q22),2)</f>
        <v>20.9</v>
      </c>
    </row>
    <row r="23" spans="1:18" s="79" customFormat="1" ht="24" x14ac:dyDescent="0.3">
      <c r="A23" s="86">
        <v>15</v>
      </c>
      <c r="B23" s="290" t="s">
        <v>565</v>
      </c>
      <c r="C23" s="274" t="s">
        <v>121</v>
      </c>
      <c r="D23" s="641" t="s">
        <v>360</v>
      </c>
      <c r="E23" s="275">
        <v>4</v>
      </c>
      <c r="F23" s="276" t="s">
        <v>356</v>
      </c>
      <c r="G23" s="283">
        <v>2.94</v>
      </c>
      <c r="H23" s="278"/>
      <c r="I23" s="78"/>
      <c r="J23" s="276">
        <f>'Ocorrências Mensais - FAT'!G46</f>
        <v>4</v>
      </c>
      <c r="K23" s="279">
        <f t="shared" si="0"/>
        <v>11.76</v>
      </c>
      <c r="M23" s="280">
        <v>0.9</v>
      </c>
      <c r="N23" s="281">
        <f>ROUND(IF(Dados!$J$62="SIM",M23*Dados!$N$62,M23),2)</f>
        <v>0.9</v>
      </c>
      <c r="O23" s="281">
        <f>ROUND(IF(Dados!$J$63="SIM",N23*Dados!$N$63,N23),2)</f>
        <v>0.9</v>
      </c>
      <c r="P23" s="281">
        <f>ROUND(IF(Dados!$J$64="SIM",O23*Dados!$N$64,O23),2)</f>
        <v>0.9</v>
      </c>
      <c r="Q23" s="281">
        <f>ROUND(IF(Dados!$J$65="SIM",P23*Dados!$N$65,P23),2)</f>
        <v>0.9</v>
      </c>
      <c r="R23" s="282">
        <f>ROUND(IF(Dados!$J$66="SIM",Q23*Dados!$N$66,Q23),2)</f>
        <v>0.9</v>
      </c>
    </row>
    <row r="24" spans="1:18" s="79" customFormat="1" ht="60" x14ac:dyDescent="0.3">
      <c r="A24" s="86">
        <v>16</v>
      </c>
      <c r="B24" s="290" t="s">
        <v>566</v>
      </c>
      <c r="C24" s="274" t="s">
        <v>120</v>
      </c>
      <c r="D24" s="274" t="s">
        <v>567</v>
      </c>
      <c r="E24" s="665">
        <v>24</v>
      </c>
      <c r="F24" s="276" t="s">
        <v>356</v>
      </c>
      <c r="G24" s="277">
        <v>4.28</v>
      </c>
      <c r="H24" s="278"/>
      <c r="I24" s="78"/>
      <c r="J24" s="276">
        <f>'Ocorrências Mensais - FAT'!G47</f>
        <v>24</v>
      </c>
      <c r="K24" s="279">
        <f t="shared" si="0"/>
        <v>102.72</v>
      </c>
      <c r="M24" s="280">
        <v>20.239999999999998</v>
      </c>
      <c r="N24" s="281">
        <f>ROUND(IF(Dados!$J$62="SIM",M24*Dados!$N$62,M24),2)</f>
        <v>20.239999999999998</v>
      </c>
      <c r="O24" s="281">
        <f>ROUND(IF(Dados!$J$63="SIM",N24*Dados!$N$63,N24),2)</f>
        <v>20.239999999999998</v>
      </c>
      <c r="P24" s="281">
        <f>ROUND(IF(Dados!$J$64="SIM",O24*Dados!$N$64,O24),2)</f>
        <v>20.239999999999998</v>
      </c>
      <c r="Q24" s="281">
        <f>ROUND(IF(Dados!$J$65="SIM",P24*Dados!$N$65,P24),2)</f>
        <v>20.239999999999998</v>
      </c>
      <c r="R24" s="282">
        <f>ROUND(IF(Dados!$J$66="SIM",Q24*Dados!$N$66,Q24),2)</f>
        <v>20.239999999999998</v>
      </c>
    </row>
    <row r="25" spans="1:18" s="79" customFormat="1" x14ac:dyDescent="0.3">
      <c r="A25" s="86">
        <v>17</v>
      </c>
      <c r="B25" s="290" t="s">
        <v>568</v>
      </c>
      <c r="C25" s="274" t="s">
        <v>120</v>
      </c>
      <c r="D25" s="274" t="s">
        <v>569</v>
      </c>
      <c r="E25" s="275">
        <v>5</v>
      </c>
      <c r="F25" s="276" t="s">
        <v>366</v>
      </c>
      <c r="G25" s="283">
        <v>9.24</v>
      </c>
      <c r="H25" s="278"/>
      <c r="I25" s="78"/>
      <c r="J25" s="276">
        <f>'Ocorrências Mensais - FAT'!G48</f>
        <v>0.41666666666666669</v>
      </c>
      <c r="K25" s="279">
        <f t="shared" si="0"/>
        <v>3.85</v>
      </c>
      <c r="M25" s="280">
        <v>21.55</v>
      </c>
      <c r="N25" s="281">
        <f>ROUND(IF(Dados!$J$62="SIM",M25*Dados!$N$62,M25),2)</f>
        <v>21.55</v>
      </c>
      <c r="O25" s="281">
        <f>ROUND(IF(Dados!$J$63="SIM",N25*Dados!$N$63,N25),2)</f>
        <v>21.55</v>
      </c>
      <c r="P25" s="281">
        <f>ROUND(IF(Dados!$J$64="SIM",O25*Dados!$N$64,O25),2)</f>
        <v>21.55</v>
      </c>
      <c r="Q25" s="281">
        <f>ROUND(IF(Dados!$J$65="SIM",P25*Dados!$N$65,P25),2)</f>
        <v>21.55</v>
      </c>
      <c r="R25" s="282">
        <f>ROUND(IF(Dados!$J$66="SIM",Q25*Dados!$N$66,Q25),2)</f>
        <v>21.55</v>
      </c>
    </row>
    <row r="26" spans="1:18" s="79" customFormat="1" ht="36" x14ac:dyDescent="0.3">
      <c r="A26" s="86">
        <v>18</v>
      </c>
      <c r="B26" s="290" t="s">
        <v>570</v>
      </c>
      <c r="C26" s="274" t="s">
        <v>120</v>
      </c>
      <c r="D26" s="641" t="s">
        <v>571</v>
      </c>
      <c r="E26" s="275">
        <v>2</v>
      </c>
      <c r="F26" s="276" t="s">
        <v>357</v>
      </c>
      <c r="G26" s="277">
        <v>165.65</v>
      </c>
      <c r="H26" s="278"/>
      <c r="I26" s="78"/>
      <c r="J26" s="276">
        <f>'Ocorrências Mensais - FAT'!G49</f>
        <v>0.33333333333333331</v>
      </c>
      <c r="K26" s="279">
        <f t="shared" si="0"/>
        <v>55.216666666666669</v>
      </c>
      <c r="M26" s="280">
        <v>24.97</v>
      </c>
      <c r="N26" s="281">
        <f>ROUND(IF(Dados!$J$62="SIM",M26*Dados!$N$62,M26),2)</f>
        <v>24.97</v>
      </c>
      <c r="O26" s="281">
        <f>ROUND(IF(Dados!$J$63="SIM",N26*Dados!$N$63,N26),2)</f>
        <v>24.97</v>
      </c>
      <c r="P26" s="281">
        <f>ROUND(IF(Dados!$J$64="SIM",O26*Dados!$N$64,O26),2)</f>
        <v>24.97</v>
      </c>
      <c r="Q26" s="281">
        <f>ROUND(IF(Dados!$J$65="SIM",P26*Dados!$N$65,P26),2)</f>
        <v>24.97</v>
      </c>
      <c r="R26" s="282">
        <f>ROUND(IF(Dados!$J$66="SIM",Q26*Dados!$N$66,Q26),2)</f>
        <v>24.97</v>
      </c>
    </row>
    <row r="27" spans="1:18" s="79" customFormat="1" ht="36" x14ac:dyDescent="0.3">
      <c r="A27" s="86">
        <v>19</v>
      </c>
      <c r="B27" s="290" t="s">
        <v>363</v>
      </c>
      <c r="C27" s="274" t="s">
        <v>355</v>
      </c>
      <c r="D27" s="274" t="s">
        <v>572</v>
      </c>
      <c r="E27" s="665">
        <v>5</v>
      </c>
      <c r="F27" s="276" t="s">
        <v>358</v>
      </c>
      <c r="G27" s="277">
        <v>58.35</v>
      </c>
      <c r="H27" s="278"/>
      <c r="I27" s="78"/>
      <c r="J27" s="276">
        <f>'Ocorrências Mensais - FAT'!G50</f>
        <v>1.6666666666666667</v>
      </c>
      <c r="K27" s="279">
        <f t="shared" si="0"/>
        <v>97.25</v>
      </c>
      <c r="M27" s="280">
        <v>2.4300000000000002</v>
      </c>
      <c r="N27" s="281">
        <f>ROUND(IF(Dados!$J$62="SIM",M27*Dados!$N$62,M27),2)</f>
        <v>2.4300000000000002</v>
      </c>
      <c r="O27" s="281">
        <f>ROUND(IF(Dados!$J$63="SIM",N27*Dados!$N$63,N27),2)</f>
        <v>2.4300000000000002</v>
      </c>
      <c r="P27" s="281">
        <f>ROUND(IF(Dados!$J$64="SIM",O27*Dados!$N$64,O27),2)</f>
        <v>2.4300000000000002</v>
      </c>
      <c r="Q27" s="281">
        <f>ROUND(IF(Dados!$J$65="SIM",P27*Dados!$N$65,P27),2)</f>
        <v>2.4300000000000002</v>
      </c>
      <c r="R27" s="282">
        <f>ROUND(IF(Dados!$J$66="SIM",Q27*Dados!$N$66,Q27),2)</f>
        <v>2.4300000000000002</v>
      </c>
    </row>
    <row r="28" spans="1:18" s="79" customFormat="1" ht="36" x14ac:dyDescent="0.3">
      <c r="A28" s="86">
        <v>20</v>
      </c>
      <c r="B28" s="290" t="s">
        <v>573</v>
      </c>
      <c r="C28" s="274" t="s">
        <v>107</v>
      </c>
      <c r="D28" s="274" t="s">
        <v>365</v>
      </c>
      <c r="E28" s="275">
        <v>2</v>
      </c>
      <c r="F28" s="276" t="s">
        <v>356</v>
      </c>
      <c r="G28" s="277">
        <v>6.82</v>
      </c>
      <c r="H28" s="278"/>
      <c r="I28" s="78"/>
      <c r="J28" s="276">
        <f>'Ocorrências Mensais - FAT'!G51</f>
        <v>2</v>
      </c>
      <c r="K28" s="279">
        <f t="shared" si="0"/>
        <v>13.64</v>
      </c>
      <c r="M28" s="280">
        <v>2.65</v>
      </c>
      <c r="N28" s="281">
        <f>ROUND(IF(Dados!$J$62="SIM",M28*Dados!$N$62,M28),2)</f>
        <v>2.65</v>
      </c>
      <c r="O28" s="281">
        <f>ROUND(IF(Dados!$J$63="SIM",N28*Dados!$N$63,N28),2)</f>
        <v>2.65</v>
      </c>
      <c r="P28" s="281">
        <f>ROUND(IF(Dados!$J$64="SIM",O28*Dados!$N$64,O28),2)</f>
        <v>2.65</v>
      </c>
      <c r="Q28" s="281">
        <f>ROUND(IF(Dados!$J$65="SIM",P28*Dados!$N$65,P28),2)</f>
        <v>2.65</v>
      </c>
      <c r="R28" s="282">
        <f>ROUND(IF(Dados!$J$66="SIM",Q28*Dados!$N$66,Q28),2)</f>
        <v>2.65</v>
      </c>
    </row>
    <row r="29" spans="1:18" s="79" customFormat="1" ht="36" x14ac:dyDescent="0.3">
      <c r="A29" s="86">
        <v>21</v>
      </c>
      <c r="B29" s="290" t="s">
        <v>575</v>
      </c>
      <c r="C29" s="274" t="s">
        <v>576</v>
      </c>
      <c r="D29" s="641" t="s">
        <v>577</v>
      </c>
      <c r="E29" s="275">
        <v>35</v>
      </c>
      <c r="F29" s="276" t="s">
        <v>356</v>
      </c>
      <c r="G29" s="283">
        <v>13.38</v>
      </c>
      <c r="H29" s="278"/>
      <c r="I29" s="78"/>
      <c r="J29" s="276">
        <f>'Ocorrências Mensais - FAT'!G52</f>
        <v>35</v>
      </c>
      <c r="K29" s="279">
        <f t="shared" si="0"/>
        <v>468.3</v>
      </c>
      <c r="M29" s="280">
        <v>12</v>
      </c>
      <c r="N29" s="281">
        <f>ROUND(IF(Dados!$J$62="SIM",M29*Dados!$N$62,M29),2)</f>
        <v>12</v>
      </c>
      <c r="O29" s="281">
        <f>ROUND(IF(Dados!$J$63="SIM",N29*Dados!$N$63,N29),2)</f>
        <v>12</v>
      </c>
      <c r="P29" s="281">
        <f>ROUND(IF(Dados!$J$64="SIM",O29*Dados!$N$64,O29),2)</f>
        <v>12</v>
      </c>
      <c r="Q29" s="281">
        <f>ROUND(IF(Dados!$J$65="SIM",P29*Dados!$N$65,P29),2)</f>
        <v>12</v>
      </c>
      <c r="R29" s="282">
        <f>ROUND(IF(Dados!$J$66="SIM",Q29*Dados!$N$66,Q29),2)</f>
        <v>12</v>
      </c>
    </row>
    <row r="30" spans="1:18" s="79" customFormat="1" x14ac:dyDescent="0.3">
      <c r="A30" s="86">
        <v>22</v>
      </c>
      <c r="B30" s="290" t="s">
        <v>578</v>
      </c>
      <c r="C30" s="274" t="s">
        <v>120</v>
      </c>
      <c r="D30" s="274" t="s">
        <v>579</v>
      </c>
      <c r="E30" s="665">
        <v>2</v>
      </c>
      <c r="F30" s="276" t="s">
        <v>366</v>
      </c>
      <c r="G30" s="277">
        <v>148.99</v>
      </c>
      <c r="H30" s="278"/>
      <c r="I30" s="78"/>
      <c r="J30" s="276">
        <f>'Ocorrências Mensais - FAT'!G53</f>
        <v>0.16666666666666666</v>
      </c>
      <c r="K30" s="279">
        <f t="shared" si="0"/>
        <v>24.831666666666667</v>
      </c>
      <c r="M30" s="280">
        <v>4.2</v>
      </c>
      <c r="N30" s="281">
        <f>ROUND(IF(Dados!$J$62="SIM",M30*Dados!$N$62,M30),2)</f>
        <v>4.2</v>
      </c>
      <c r="O30" s="281">
        <f>ROUND(IF(Dados!$J$63="SIM",N30*Dados!$N$63,N30),2)</f>
        <v>4.2</v>
      </c>
      <c r="P30" s="281">
        <f>ROUND(IF(Dados!$J$64="SIM",O30*Dados!$N$64,O30),2)</f>
        <v>4.2</v>
      </c>
      <c r="Q30" s="281">
        <f>ROUND(IF(Dados!$J$65="SIM",P30*Dados!$N$65,P30),2)</f>
        <v>4.2</v>
      </c>
      <c r="R30" s="282">
        <f>ROUND(IF(Dados!$J$66="SIM",Q30*Dados!$N$66,Q30),2)</f>
        <v>4.2</v>
      </c>
    </row>
    <row r="31" spans="1:18" s="79" customFormat="1" x14ac:dyDescent="0.3">
      <c r="A31" s="86">
        <v>23</v>
      </c>
      <c r="B31" s="290" t="s">
        <v>580</v>
      </c>
      <c r="C31" s="274" t="s">
        <v>120</v>
      </c>
      <c r="D31" s="274" t="s">
        <v>577</v>
      </c>
      <c r="E31" s="665">
        <v>20</v>
      </c>
      <c r="F31" s="276" t="s">
        <v>358</v>
      </c>
      <c r="G31" s="277">
        <v>13.09</v>
      </c>
      <c r="H31" s="278"/>
      <c r="I31" s="78"/>
      <c r="J31" s="276">
        <f>'Ocorrências Mensais - FAT'!G54</f>
        <v>6.666666666666667</v>
      </c>
      <c r="K31" s="279">
        <f t="shared" si="0"/>
        <v>87.266666666666666</v>
      </c>
      <c r="M31" s="280">
        <v>9.06</v>
      </c>
      <c r="N31" s="281">
        <f>ROUND(IF(Dados!$J$62="SIM",M31*Dados!$N$62,M31),2)</f>
        <v>9.06</v>
      </c>
      <c r="O31" s="281">
        <f>ROUND(IF(Dados!$J$63="SIM",N31*Dados!$N$63,N31),2)</f>
        <v>9.06</v>
      </c>
      <c r="P31" s="281">
        <f>ROUND(IF(Dados!$J$64="SIM",O31*Dados!$N$64,O31),2)</f>
        <v>9.06</v>
      </c>
      <c r="Q31" s="281">
        <f>ROUND(IF(Dados!$J$65="SIM",P31*Dados!$N$65,P31),2)</f>
        <v>9.06</v>
      </c>
      <c r="R31" s="282">
        <f>ROUND(IF(Dados!$J$66="SIM",Q31*Dados!$N$66,Q31),2)</f>
        <v>9.06</v>
      </c>
    </row>
    <row r="32" spans="1:18" s="79" customFormat="1" ht="24" x14ac:dyDescent="0.3">
      <c r="A32" s="86">
        <v>24</v>
      </c>
      <c r="B32" s="668" t="s">
        <v>765</v>
      </c>
      <c r="C32" s="274" t="s">
        <v>764</v>
      </c>
      <c r="D32" s="274" t="s">
        <v>581</v>
      </c>
      <c r="E32" s="275">
        <v>240</v>
      </c>
      <c r="F32" s="276" t="s">
        <v>356</v>
      </c>
      <c r="G32" s="283">
        <v>3.75</v>
      </c>
      <c r="H32" s="278"/>
      <c r="I32" s="78"/>
      <c r="J32" s="276">
        <f>'Ocorrências Mensais - FAT'!G55</f>
        <v>240</v>
      </c>
      <c r="K32" s="279">
        <f t="shared" si="0"/>
        <v>900</v>
      </c>
      <c r="M32" s="280">
        <v>3.79</v>
      </c>
      <c r="N32" s="281">
        <f>ROUND(IF(Dados!$J$62="SIM",M32*Dados!$N$62,M32),2)</f>
        <v>3.79</v>
      </c>
      <c r="O32" s="281">
        <f>ROUND(IF(Dados!$J$63="SIM",N32*Dados!$N$63,N32),2)</f>
        <v>3.79</v>
      </c>
      <c r="P32" s="281">
        <f>ROUND(IF(Dados!$J$64="SIM",O32*Dados!$N$64,O32),2)</f>
        <v>3.79</v>
      </c>
      <c r="Q32" s="281">
        <f>ROUND(IF(Dados!$J$65="SIM",P32*Dados!$N$65,P32),2)</f>
        <v>3.79</v>
      </c>
      <c r="R32" s="282">
        <f>ROUND(IF(Dados!$J$66="SIM",Q32*Dados!$N$66,Q32),2)</f>
        <v>3.79</v>
      </c>
    </row>
    <row r="33" spans="1:18" s="79" customFormat="1" ht="24" x14ac:dyDescent="0.3">
      <c r="A33" s="86">
        <v>25</v>
      </c>
      <c r="B33" s="290" t="s">
        <v>582</v>
      </c>
      <c r="C33" s="274" t="s">
        <v>591</v>
      </c>
      <c r="D33" s="274" t="s">
        <v>362</v>
      </c>
      <c r="E33" s="275">
        <v>90</v>
      </c>
      <c r="F33" s="276" t="s">
        <v>356</v>
      </c>
      <c r="G33" s="283">
        <v>22.89</v>
      </c>
      <c r="H33" s="278"/>
      <c r="I33" s="78"/>
      <c r="J33" s="276">
        <f>'Ocorrências Mensais - FAT'!G56</f>
        <v>90</v>
      </c>
      <c r="K33" s="279">
        <f t="shared" si="0"/>
        <v>2060.1</v>
      </c>
      <c r="M33" s="280">
        <v>3.79</v>
      </c>
      <c r="N33" s="281">
        <f>ROUND(IF(Dados!$J$62="SIM",M33*Dados!$N$62,M33),2)</f>
        <v>3.79</v>
      </c>
      <c r="O33" s="281">
        <f>ROUND(IF(Dados!$J$63="SIM",N33*Dados!$N$63,N33),2)</f>
        <v>3.79</v>
      </c>
      <c r="P33" s="281">
        <f>ROUND(IF(Dados!$J$64="SIM",O33*Dados!$N$64,O33),2)</f>
        <v>3.79</v>
      </c>
      <c r="Q33" s="281">
        <f>ROUND(IF(Dados!$J$65="SIM",P33*Dados!$N$65,P33),2)</f>
        <v>3.79</v>
      </c>
      <c r="R33" s="282">
        <f>ROUND(IF(Dados!$J$66="SIM",Q33*Dados!$N$66,Q33),2)</f>
        <v>3.79</v>
      </c>
    </row>
    <row r="34" spans="1:18" s="79" customFormat="1" ht="17.25" customHeight="1" x14ac:dyDescent="0.3">
      <c r="A34" s="86">
        <v>26</v>
      </c>
      <c r="B34" s="290" t="s">
        <v>583</v>
      </c>
      <c r="C34" s="274" t="s">
        <v>120</v>
      </c>
      <c r="D34" s="274" t="s">
        <v>584</v>
      </c>
      <c r="E34" s="665">
        <v>200</v>
      </c>
      <c r="F34" s="276" t="s">
        <v>356</v>
      </c>
      <c r="G34" s="277">
        <v>2.41</v>
      </c>
      <c r="H34" s="278"/>
      <c r="I34" s="78"/>
      <c r="J34" s="276">
        <f>'Ocorrências Mensais - FAT'!G57</f>
        <v>200</v>
      </c>
      <c r="K34" s="279">
        <f t="shared" si="0"/>
        <v>482</v>
      </c>
      <c r="M34" s="280">
        <v>3.5</v>
      </c>
      <c r="N34" s="281">
        <f>ROUND(IF(Dados!$J$62="SIM",M34*Dados!$N$62,M34),2)</f>
        <v>3.5</v>
      </c>
      <c r="O34" s="281">
        <f>ROUND(IF(Dados!$J$63="SIM",N34*Dados!$N$63,N34),2)</f>
        <v>3.5</v>
      </c>
      <c r="P34" s="281">
        <f>ROUND(IF(Dados!$J$64="SIM",O34*Dados!$N$64,O34),2)</f>
        <v>3.5</v>
      </c>
      <c r="Q34" s="281">
        <f>ROUND(IF(Dados!$J$65="SIM",P34*Dados!$N$65,P34),2)</f>
        <v>3.5</v>
      </c>
      <c r="R34" s="282">
        <f>ROUND(IF(Dados!$J$66="SIM",Q34*Dados!$N$66,Q34),2)</f>
        <v>3.5</v>
      </c>
    </row>
    <row r="35" spans="1:18" s="79" customFormat="1" ht="24" x14ac:dyDescent="0.3">
      <c r="A35" s="86">
        <v>27</v>
      </c>
      <c r="B35" s="290" t="s">
        <v>585</v>
      </c>
      <c r="C35" s="274" t="s">
        <v>120</v>
      </c>
      <c r="D35" s="274" t="s">
        <v>586</v>
      </c>
      <c r="E35" s="275">
        <v>20</v>
      </c>
      <c r="F35" s="276" t="s">
        <v>358</v>
      </c>
      <c r="G35" s="283">
        <v>19.899999999999999</v>
      </c>
      <c r="H35" s="278"/>
      <c r="I35" s="78"/>
      <c r="J35" s="276">
        <f>'Ocorrências Mensais - FAT'!G58</f>
        <v>6.666666666666667</v>
      </c>
      <c r="K35" s="279">
        <f t="shared" si="0"/>
        <v>132.66666666666666</v>
      </c>
      <c r="M35" s="280">
        <v>6.5</v>
      </c>
      <c r="N35" s="281">
        <f>ROUND(IF(Dados!$J$62="SIM",M35*Dados!$N$62,M35),2)</f>
        <v>6.5</v>
      </c>
      <c r="O35" s="281">
        <f>ROUND(IF(Dados!$J$63="SIM",N35*Dados!$N$63,N35),2)</f>
        <v>6.5</v>
      </c>
      <c r="P35" s="281">
        <f>ROUND(IF(Dados!$J$64="SIM",O35*Dados!$N$64,O35),2)</f>
        <v>6.5</v>
      </c>
      <c r="Q35" s="281">
        <f>ROUND(IF(Dados!$J$65="SIM",P35*Dados!$N$65,P35),2)</f>
        <v>6.5</v>
      </c>
      <c r="R35" s="282">
        <f>ROUND(IF(Dados!$J$66="SIM",Q35*Dados!$N$66,Q35),2)</f>
        <v>6.5</v>
      </c>
    </row>
    <row r="36" spans="1:18" s="79" customFormat="1" ht="24" x14ac:dyDescent="0.3">
      <c r="A36" s="86">
        <v>28</v>
      </c>
      <c r="B36" s="290" t="s">
        <v>587</v>
      </c>
      <c r="C36" s="274" t="s">
        <v>107</v>
      </c>
      <c r="D36" s="274" t="s">
        <v>586</v>
      </c>
      <c r="E36" s="275">
        <v>20</v>
      </c>
      <c r="F36" s="276" t="s">
        <v>358</v>
      </c>
      <c r="G36" s="277">
        <v>25.67</v>
      </c>
      <c r="H36" s="278"/>
      <c r="I36" s="78"/>
      <c r="J36" s="276">
        <f>'Ocorrências Mensais - FAT'!G59</f>
        <v>6.666666666666667</v>
      </c>
      <c r="K36" s="279">
        <f t="shared" si="0"/>
        <v>171.13333333333335</v>
      </c>
      <c r="M36" s="280">
        <v>65.599999999999994</v>
      </c>
      <c r="N36" s="281">
        <f>ROUND(IF(Dados!$J$62="SIM",M36*Dados!$N$62,M36),2)</f>
        <v>65.599999999999994</v>
      </c>
      <c r="O36" s="281">
        <f>ROUND(IF(Dados!$J$63="SIM",N36*Dados!$N$63,N36),2)</f>
        <v>65.599999999999994</v>
      </c>
      <c r="P36" s="281">
        <f>ROUND(IF(Dados!$J$64="SIM",O36*Dados!$N$64,O36),2)</f>
        <v>65.599999999999994</v>
      </c>
      <c r="Q36" s="281">
        <f>ROUND(IF(Dados!$J$65="SIM",P36*Dados!$N$65,P36),2)</f>
        <v>65.599999999999994</v>
      </c>
      <c r="R36" s="282">
        <f>ROUND(IF(Dados!$J$66="SIM",Q36*Dados!$N$66,Q36),2)</f>
        <v>65.599999999999994</v>
      </c>
    </row>
    <row r="37" spans="1:18" s="79" customFormat="1" x14ac:dyDescent="0.3">
      <c r="A37" s="86">
        <v>29</v>
      </c>
      <c r="B37" s="290" t="s">
        <v>588</v>
      </c>
      <c r="C37" s="274" t="s">
        <v>107</v>
      </c>
      <c r="D37" s="643"/>
      <c r="E37" s="275">
        <v>2</v>
      </c>
      <c r="F37" s="276" t="s">
        <v>357</v>
      </c>
      <c r="G37" s="277">
        <v>31.9</v>
      </c>
      <c r="H37" s="278"/>
      <c r="I37" s="78"/>
      <c r="J37" s="276">
        <f>'Ocorrências Mensais - FAT'!G60</f>
        <v>0.33333333333333331</v>
      </c>
      <c r="K37" s="279">
        <f t="shared" si="0"/>
        <v>10.633333333333333</v>
      </c>
      <c r="M37" s="280">
        <v>43.78</v>
      </c>
      <c r="N37" s="281">
        <f>ROUND(IF(Dados!$J$62="SIM",M37*Dados!$N$62,M37),2)</f>
        <v>43.78</v>
      </c>
      <c r="O37" s="281">
        <f>ROUND(IF(Dados!$J$63="SIM",N37*Dados!$N$63,N37),2)</f>
        <v>43.78</v>
      </c>
      <c r="P37" s="281">
        <f>ROUND(IF(Dados!$J$64="SIM",O37*Dados!$N$64,O37),2)</f>
        <v>43.78</v>
      </c>
      <c r="Q37" s="281">
        <f>ROUND(IF(Dados!$J$65="SIM",P37*Dados!$N$65,P37),2)</f>
        <v>43.78</v>
      </c>
      <c r="R37" s="282">
        <f>ROUND(IF(Dados!$J$66="SIM",Q37*Dados!$N$66,Q37),2)</f>
        <v>43.78</v>
      </c>
    </row>
    <row r="38" spans="1:18" s="79" customFormat="1" x14ac:dyDescent="0.3">
      <c r="A38" s="86">
        <v>30</v>
      </c>
      <c r="B38" s="290" t="s">
        <v>364</v>
      </c>
      <c r="C38" s="274" t="s">
        <v>121</v>
      </c>
      <c r="D38" s="274" t="s">
        <v>589</v>
      </c>
      <c r="E38" s="275">
        <v>5</v>
      </c>
      <c r="F38" s="276" t="s">
        <v>356</v>
      </c>
      <c r="G38" s="277">
        <v>12</v>
      </c>
      <c r="H38" s="278"/>
      <c r="I38" s="78"/>
      <c r="J38" s="276">
        <f>'Ocorrências Mensais - FAT'!G61</f>
        <v>5</v>
      </c>
      <c r="K38" s="279">
        <f t="shared" si="0"/>
        <v>60</v>
      </c>
      <c r="M38" s="280">
        <v>14.94</v>
      </c>
      <c r="N38" s="281">
        <f>ROUND(IF(Dados!$J$62="SIM",M38*Dados!$N$62,M38),2)</f>
        <v>14.94</v>
      </c>
      <c r="O38" s="281">
        <f>ROUND(IF(Dados!$J$63="SIM",N38*Dados!$N$63,N38),2)</f>
        <v>14.94</v>
      </c>
      <c r="P38" s="281">
        <f>ROUND(IF(Dados!$J$64="SIM",O38*Dados!$N$64,O38),2)</f>
        <v>14.94</v>
      </c>
      <c r="Q38" s="281">
        <f>ROUND(IF(Dados!$J$65="SIM",P38*Dados!$N$65,P38),2)</f>
        <v>14.94</v>
      </c>
      <c r="R38" s="282">
        <f>ROUND(IF(Dados!$J$66="SIM",Q38*Dados!$N$66,Q38),2)</f>
        <v>14.94</v>
      </c>
    </row>
    <row r="39" spans="1:18" s="79" customFormat="1" x14ac:dyDescent="0.3">
      <c r="A39" s="86">
        <v>31</v>
      </c>
      <c r="B39" s="290" t="s">
        <v>590</v>
      </c>
      <c r="C39" s="274" t="s">
        <v>120</v>
      </c>
      <c r="D39" s="274" t="s">
        <v>592</v>
      </c>
      <c r="E39" s="665">
        <v>4</v>
      </c>
      <c r="F39" s="276" t="s">
        <v>356</v>
      </c>
      <c r="G39" s="277">
        <v>15.6</v>
      </c>
      <c r="H39" s="278"/>
      <c r="I39" s="78"/>
      <c r="J39" s="276">
        <f>'Ocorrências Mensais - FAT'!G62</f>
        <v>4</v>
      </c>
      <c r="K39" s="279">
        <f t="shared" si="0"/>
        <v>62.4</v>
      </c>
      <c r="M39" s="280">
        <v>5.5</v>
      </c>
      <c r="N39" s="281">
        <f>ROUND(IF(Dados!$J$62="SIM",M39*Dados!$N$62,M39),2)</f>
        <v>5.5</v>
      </c>
      <c r="O39" s="281">
        <f>ROUND(IF(Dados!$J$63="SIM",N39*Dados!$N$63,N39),2)</f>
        <v>5.5</v>
      </c>
      <c r="P39" s="281">
        <f>ROUND(IF(Dados!$J$64="SIM",O39*Dados!$N$64,O39),2)</f>
        <v>5.5</v>
      </c>
      <c r="Q39" s="281">
        <f>ROUND(IF(Dados!$J$65="SIM",P39*Dados!$N$65,P39),2)</f>
        <v>5.5</v>
      </c>
      <c r="R39" s="282">
        <f>ROUND(IF(Dados!$J$66="SIM",Q39*Dados!$N$66,Q39),2)</f>
        <v>5.5</v>
      </c>
    </row>
    <row r="40" spans="1:18" s="79" customFormat="1" x14ac:dyDescent="0.3">
      <c r="A40" s="86">
        <v>32</v>
      </c>
      <c r="B40" s="290" t="s">
        <v>593</v>
      </c>
      <c r="C40" s="274" t="s">
        <v>120</v>
      </c>
      <c r="D40" s="274" t="s">
        <v>360</v>
      </c>
      <c r="E40" s="665">
        <v>20</v>
      </c>
      <c r="F40" s="276" t="s">
        <v>356</v>
      </c>
      <c r="G40" s="286">
        <v>6.24</v>
      </c>
      <c r="H40" s="278"/>
      <c r="I40" s="78"/>
      <c r="J40" s="276">
        <f>'Ocorrências Mensais - FAT'!G63</f>
        <v>20</v>
      </c>
      <c r="K40" s="279">
        <f t="shared" ref="K40:K61" si="1">G40*J40</f>
        <v>124.80000000000001</v>
      </c>
      <c r="M40" s="287">
        <v>12</v>
      </c>
      <c r="N40" s="281">
        <f>ROUND(IF(Dados!$J$62="SIM",M40*Dados!$N$62,M40),2)</f>
        <v>12</v>
      </c>
      <c r="O40" s="281">
        <f>ROUND(IF(Dados!$J$63="SIM",N40*Dados!$N$63,N40),2)</f>
        <v>12</v>
      </c>
      <c r="P40" s="281">
        <f>ROUND(IF(Dados!$J$64="SIM",O40*Dados!$N$64,O40),2)</f>
        <v>12</v>
      </c>
      <c r="Q40" s="281">
        <f>ROUND(IF(Dados!$J$65="SIM",P40*Dados!$N$65,P40),2)</f>
        <v>12</v>
      </c>
      <c r="R40" s="282">
        <f>ROUND(IF(Dados!$J$66="SIM",Q40*Dados!$N$66,Q40),2)</f>
        <v>12</v>
      </c>
    </row>
    <row r="41" spans="1:18" s="79" customFormat="1" ht="27" customHeight="1" x14ac:dyDescent="0.3">
      <c r="A41" s="86">
        <v>33</v>
      </c>
      <c r="B41" s="290" t="s">
        <v>594</v>
      </c>
      <c r="C41" s="274" t="s">
        <v>355</v>
      </c>
      <c r="D41" s="274" t="s">
        <v>595</v>
      </c>
      <c r="E41" s="665">
        <v>15</v>
      </c>
      <c r="F41" s="276" t="s">
        <v>356</v>
      </c>
      <c r="G41" s="288">
        <v>23.76</v>
      </c>
      <c r="H41" s="289"/>
      <c r="I41" s="78"/>
      <c r="J41" s="276">
        <f>'Ocorrências Mensais - FAT'!G64</f>
        <v>15</v>
      </c>
      <c r="K41" s="279">
        <f t="shared" si="1"/>
        <v>356.40000000000003</v>
      </c>
      <c r="M41" s="287">
        <v>28.27</v>
      </c>
      <c r="N41" s="281">
        <f>ROUND(IF(Dados!$J$62="SIM",M41*Dados!$N$62,M41),2)</f>
        <v>28.27</v>
      </c>
      <c r="O41" s="281">
        <f>ROUND(IF(Dados!$J$63="SIM",N41*Dados!$N$63,N41),2)</f>
        <v>28.27</v>
      </c>
      <c r="P41" s="281">
        <f>ROUND(IF(Dados!$J$64="SIM",O41*Dados!$N$64,O41),2)</f>
        <v>28.27</v>
      </c>
      <c r="Q41" s="281">
        <f>ROUND(IF(Dados!$J$65="SIM",P41*Dados!$N$65,P41),2)</f>
        <v>28.27</v>
      </c>
      <c r="R41" s="282">
        <f>ROUND(IF(Dados!$J$66="SIM",Q41*Dados!$N$66,Q41),2)</f>
        <v>28.27</v>
      </c>
    </row>
    <row r="42" spans="1:18" s="79" customFormat="1" ht="18.75" customHeight="1" x14ac:dyDescent="0.3">
      <c r="A42" s="86">
        <v>34</v>
      </c>
      <c r="B42" s="290" t="s">
        <v>596</v>
      </c>
      <c r="C42" s="274" t="s">
        <v>120</v>
      </c>
      <c r="D42" s="274" t="s">
        <v>597</v>
      </c>
      <c r="E42" s="665">
        <v>70</v>
      </c>
      <c r="F42" s="276" t="s">
        <v>356</v>
      </c>
      <c r="G42" s="288">
        <v>8.23</v>
      </c>
      <c r="H42" s="289"/>
      <c r="I42" s="78"/>
      <c r="J42" s="276">
        <f>'Ocorrências Mensais - FAT'!G65</f>
        <v>70</v>
      </c>
      <c r="K42" s="279">
        <f t="shared" si="1"/>
        <v>576.1</v>
      </c>
      <c r="M42" s="287">
        <v>21.5</v>
      </c>
      <c r="N42" s="281">
        <f>ROUND(IF(Dados!$J$62="SIM",M42*Dados!$N$62,M42),2)</f>
        <v>21.5</v>
      </c>
      <c r="O42" s="281">
        <f>ROUND(IF(Dados!$J$63="SIM",N42*Dados!$N$63,N42),2)</f>
        <v>21.5</v>
      </c>
      <c r="P42" s="281">
        <f>ROUND(IF(Dados!$J$64="SIM",O42*Dados!$N$64,O42),2)</f>
        <v>21.5</v>
      </c>
      <c r="Q42" s="281">
        <f>ROUND(IF(Dados!$J$65="SIM",P42*Dados!$N$65,P42),2)</f>
        <v>21.5</v>
      </c>
      <c r="R42" s="282">
        <f>ROUND(IF(Dados!$J$66="SIM",Q42*Dados!$N$66,Q42),2)</f>
        <v>21.5</v>
      </c>
    </row>
    <row r="43" spans="1:18" s="79" customFormat="1" ht="24" x14ac:dyDescent="0.3">
      <c r="A43" s="86">
        <v>35</v>
      </c>
      <c r="B43" s="290" t="s">
        <v>598</v>
      </c>
      <c r="C43" s="274" t="s">
        <v>121</v>
      </c>
      <c r="D43" s="274" t="s">
        <v>600</v>
      </c>
      <c r="E43" s="275">
        <v>20</v>
      </c>
      <c r="F43" s="276" t="s">
        <v>356</v>
      </c>
      <c r="G43" s="288">
        <v>16.489999999999998</v>
      </c>
      <c r="H43" s="289"/>
      <c r="I43" s="78"/>
      <c r="J43" s="276">
        <f>'Ocorrências Mensais - FAT'!G66</f>
        <v>20</v>
      </c>
      <c r="K43" s="279">
        <f t="shared" si="1"/>
        <v>329.79999999999995</v>
      </c>
      <c r="M43" s="287">
        <v>44.11</v>
      </c>
      <c r="N43" s="281">
        <f>ROUND(IF(Dados!$J$62="SIM",M43*Dados!$N$62,M43),2)</f>
        <v>44.11</v>
      </c>
      <c r="O43" s="281">
        <f>ROUND(IF(Dados!$J$63="SIM",N43*Dados!$N$63,N43),2)</f>
        <v>44.11</v>
      </c>
      <c r="P43" s="281">
        <f>ROUND(IF(Dados!$J$64="SIM",O43*Dados!$N$64,O43),2)</f>
        <v>44.11</v>
      </c>
      <c r="Q43" s="281">
        <f>ROUND(IF(Dados!$J$65="SIM",P43*Dados!$N$65,P43),2)</f>
        <v>44.11</v>
      </c>
      <c r="R43" s="282">
        <f>ROUND(IF(Dados!$J$66="SIM",Q43*Dados!$N$66,Q43),2)</f>
        <v>44.11</v>
      </c>
    </row>
    <row r="44" spans="1:18" s="79" customFormat="1" ht="24" x14ac:dyDescent="0.3">
      <c r="A44" s="86">
        <v>36</v>
      </c>
      <c r="B44" s="290" t="s">
        <v>601</v>
      </c>
      <c r="C44" s="274" t="s">
        <v>602</v>
      </c>
      <c r="D44" s="274" t="s">
        <v>599</v>
      </c>
      <c r="E44" s="275">
        <v>3</v>
      </c>
      <c r="F44" s="276" t="s">
        <v>356</v>
      </c>
      <c r="G44" s="286">
        <v>60.16</v>
      </c>
      <c r="H44" s="289"/>
      <c r="I44" s="78"/>
      <c r="J44" s="276">
        <f>'Ocorrências Mensais - FAT'!G67</f>
        <v>3</v>
      </c>
      <c r="K44" s="279">
        <f t="shared" si="1"/>
        <v>180.48</v>
      </c>
      <c r="M44" s="287">
        <v>5.5</v>
      </c>
      <c r="N44" s="281">
        <f>ROUND(IF(Dados!$J$62="SIM",M44*Dados!$N$62,M44),2)</f>
        <v>5.5</v>
      </c>
      <c r="O44" s="281">
        <f>ROUND(IF(Dados!$J$63="SIM",N44*Dados!$N$63,N44),2)</f>
        <v>5.5</v>
      </c>
      <c r="P44" s="281">
        <f>ROUND(IF(Dados!$J$64="SIM",O44*Dados!$N$64,O44),2)</f>
        <v>5.5</v>
      </c>
      <c r="Q44" s="281">
        <f>ROUND(IF(Dados!$J$65="SIM",P44*Dados!$N$65,P44),2)</f>
        <v>5.5</v>
      </c>
      <c r="R44" s="282">
        <f>ROUND(IF(Dados!$J$66="SIM",Q44*Dados!$N$66,Q44),2)</f>
        <v>5.5</v>
      </c>
    </row>
    <row r="45" spans="1:18" s="79" customFormat="1" ht="18.75" customHeight="1" x14ac:dyDescent="0.3">
      <c r="A45" s="86">
        <v>37</v>
      </c>
      <c r="B45" s="290" t="s">
        <v>603</v>
      </c>
      <c r="C45" s="274" t="s">
        <v>120</v>
      </c>
      <c r="D45" s="274" t="s">
        <v>586</v>
      </c>
      <c r="E45" s="275">
        <v>5</v>
      </c>
      <c r="F45" s="276" t="s">
        <v>358</v>
      </c>
      <c r="G45" s="286">
        <v>18.22</v>
      </c>
      <c r="H45" s="289"/>
      <c r="I45" s="78"/>
      <c r="J45" s="276">
        <f>'Ocorrências Mensais - FAT'!G68</f>
        <v>1.6666666666666667</v>
      </c>
      <c r="K45" s="279">
        <f t="shared" si="1"/>
        <v>30.366666666666667</v>
      </c>
      <c r="M45" s="287">
        <v>12.5</v>
      </c>
      <c r="N45" s="281">
        <f>ROUND(IF(Dados!$J$62="SIM",M45*Dados!$N$62,M45),2)</f>
        <v>12.5</v>
      </c>
      <c r="O45" s="281">
        <f>ROUND(IF(Dados!$J$63="SIM",N45*Dados!$N$63,N45),2)</f>
        <v>12.5</v>
      </c>
      <c r="P45" s="281">
        <f>ROUND(IF(Dados!$J$64="SIM",O45*Dados!$N$64,O45),2)</f>
        <v>12.5</v>
      </c>
      <c r="Q45" s="281">
        <f>ROUND(IF(Dados!$J$65="SIM",P45*Dados!$N$65,P45),2)</f>
        <v>12.5</v>
      </c>
      <c r="R45" s="282">
        <f>ROUND(IF(Dados!$J$66="SIM",Q45*Dados!$N$66,Q45),2)</f>
        <v>12.5</v>
      </c>
    </row>
    <row r="46" spans="1:18" s="79" customFormat="1" ht="24" x14ac:dyDescent="0.3">
      <c r="A46" s="86">
        <v>38</v>
      </c>
      <c r="B46" s="290" t="s">
        <v>604</v>
      </c>
      <c r="C46" s="274" t="s">
        <v>120</v>
      </c>
      <c r="D46" s="274" t="s">
        <v>551</v>
      </c>
      <c r="E46" s="275">
        <v>20</v>
      </c>
      <c r="F46" s="276" t="s">
        <v>358</v>
      </c>
      <c r="G46" s="288">
        <v>16.46</v>
      </c>
      <c r="H46" s="289"/>
      <c r="I46" s="78"/>
      <c r="J46" s="276">
        <f>'Ocorrências Mensais - FAT'!G69</f>
        <v>6.666666666666667</v>
      </c>
      <c r="K46" s="279">
        <f t="shared" si="1"/>
        <v>109.73333333333335</v>
      </c>
      <c r="M46" s="287">
        <v>2.3199999999999998</v>
      </c>
      <c r="N46" s="281">
        <f>ROUND(IF(Dados!$J$62="SIM",M46*Dados!$N$62,M46),2)</f>
        <v>2.3199999999999998</v>
      </c>
      <c r="O46" s="281">
        <f>ROUND(IF(Dados!$J$63="SIM",N46*Dados!$N$63,N46),2)</f>
        <v>2.3199999999999998</v>
      </c>
      <c r="P46" s="281">
        <f>ROUND(IF(Dados!$J$64="SIM",O46*Dados!$N$64,O46),2)</f>
        <v>2.3199999999999998</v>
      </c>
      <c r="Q46" s="281">
        <f>ROUND(IF(Dados!$J$65="SIM",P46*Dados!$N$65,P46),2)</f>
        <v>2.3199999999999998</v>
      </c>
      <c r="R46" s="282">
        <f>ROUND(IF(Dados!$J$66="SIM",Q46*Dados!$N$66,Q46),2)</f>
        <v>2.3199999999999998</v>
      </c>
    </row>
    <row r="47" spans="1:18" s="79" customFormat="1" ht="24" x14ac:dyDescent="0.3">
      <c r="A47" s="86">
        <v>39</v>
      </c>
      <c r="B47" s="290" t="s">
        <v>605</v>
      </c>
      <c r="C47" s="274" t="s">
        <v>120</v>
      </c>
      <c r="D47" s="274" t="s">
        <v>606</v>
      </c>
      <c r="E47" s="275">
        <v>10</v>
      </c>
      <c r="F47" s="276" t="s">
        <v>358</v>
      </c>
      <c r="G47" s="288">
        <v>18.100000000000001</v>
      </c>
      <c r="H47" s="289"/>
      <c r="I47" s="78"/>
      <c r="J47" s="276">
        <f>'Ocorrências Mensais - FAT'!G70</f>
        <v>3.3333333333333335</v>
      </c>
      <c r="K47" s="279">
        <f t="shared" si="1"/>
        <v>60.333333333333343</v>
      </c>
      <c r="M47" s="287">
        <v>31.66</v>
      </c>
      <c r="N47" s="281">
        <f>ROUND(IF(Dados!$J$62="SIM",M47*Dados!$N$62,M47),2)</f>
        <v>31.66</v>
      </c>
      <c r="O47" s="281">
        <f>ROUND(IF(Dados!$J$63="SIM",N47*Dados!$N$63,N47),2)</f>
        <v>31.66</v>
      </c>
      <c r="P47" s="281">
        <f>ROUND(IF(Dados!$J$64="SIM",O47*Dados!$N$64,O47),2)</f>
        <v>31.66</v>
      </c>
      <c r="Q47" s="281">
        <f>ROUND(IF(Dados!$J$65="SIM",P47*Dados!$N$65,P47),2)</f>
        <v>31.66</v>
      </c>
      <c r="R47" s="282">
        <f>ROUND(IF(Dados!$J$66="SIM",Q47*Dados!$N$66,Q47),2)</f>
        <v>31.66</v>
      </c>
    </row>
    <row r="48" spans="1:18" s="79" customFormat="1" ht="24" x14ac:dyDescent="0.3">
      <c r="A48" s="86">
        <v>40</v>
      </c>
      <c r="B48" s="290" t="s">
        <v>607</v>
      </c>
      <c r="C48" s="274" t="s">
        <v>355</v>
      </c>
      <c r="D48" s="274" t="s">
        <v>608</v>
      </c>
      <c r="E48" s="275">
        <v>1</v>
      </c>
      <c r="F48" s="276" t="s">
        <v>357</v>
      </c>
      <c r="G48" s="288">
        <v>43.3</v>
      </c>
      <c r="H48" s="289"/>
      <c r="I48" s="78"/>
      <c r="J48" s="276">
        <f>'Ocorrências Mensais - FAT'!G71</f>
        <v>0.16666666666666666</v>
      </c>
      <c r="K48" s="279">
        <f t="shared" si="1"/>
        <v>7.2166666666666659</v>
      </c>
      <c r="M48" s="287">
        <v>17.68</v>
      </c>
      <c r="N48" s="281">
        <f>ROUND(IF(Dados!$J$62="SIM",M48*Dados!$N$62,M48),2)</f>
        <v>17.68</v>
      </c>
      <c r="O48" s="281">
        <f>ROUND(IF(Dados!$J$63="SIM",N48*Dados!$N$63,N48),2)</f>
        <v>17.68</v>
      </c>
      <c r="P48" s="281">
        <f>ROUND(IF(Dados!$J$64="SIM",O48*Dados!$N$64,O48),2)</f>
        <v>17.68</v>
      </c>
      <c r="Q48" s="281">
        <f>ROUND(IF(Dados!$J$65="SIM",P48*Dados!$N$65,P48),2)</f>
        <v>17.68</v>
      </c>
      <c r="R48" s="282">
        <f>ROUND(IF(Dados!$J$66="SIM",Q48*Dados!$N$66,Q48),2)</f>
        <v>17.68</v>
      </c>
    </row>
    <row r="49" spans="1:778" s="79" customFormat="1" ht="24" x14ac:dyDescent="0.3">
      <c r="A49" s="86">
        <v>41</v>
      </c>
      <c r="B49" s="290" t="s">
        <v>609</v>
      </c>
      <c r="C49" s="274" t="s">
        <v>121</v>
      </c>
      <c r="D49" s="274" t="s">
        <v>600</v>
      </c>
      <c r="E49" s="275">
        <v>2</v>
      </c>
      <c r="F49" s="276" t="s">
        <v>356</v>
      </c>
      <c r="G49" s="286">
        <v>51.21</v>
      </c>
      <c r="H49" s="289"/>
      <c r="I49" s="78"/>
      <c r="J49" s="276">
        <f>'Ocorrências Mensais - FAT'!G72</f>
        <v>2</v>
      </c>
      <c r="K49" s="279">
        <f t="shared" si="1"/>
        <v>102.42</v>
      </c>
      <c r="M49" s="287">
        <v>6.5</v>
      </c>
      <c r="N49" s="281">
        <f>ROUND(IF(Dados!$J$62="SIM",M49*Dados!$N$62,M49),2)</f>
        <v>6.5</v>
      </c>
      <c r="O49" s="281">
        <f>ROUND(IF(Dados!$J$63="SIM",N49*Dados!$N$63,N49),2)</f>
        <v>6.5</v>
      </c>
      <c r="P49" s="281">
        <f>ROUND(IF(Dados!$J$64="SIM",O49*Dados!$N$64,O49),2)</f>
        <v>6.5</v>
      </c>
      <c r="Q49" s="281">
        <f>ROUND(IF(Dados!$J$65="SIM",P49*Dados!$N$65,P49),2)</f>
        <v>6.5</v>
      </c>
      <c r="R49" s="282">
        <f>ROUND(IF(Dados!$J$66="SIM",Q49*Dados!$N$66,Q49),2)</f>
        <v>6.5</v>
      </c>
    </row>
    <row r="50" spans="1:778" s="79" customFormat="1" ht="24" customHeight="1" x14ac:dyDescent="0.3">
      <c r="A50" s="86">
        <v>42</v>
      </c>
      <c r="B50" s="668" t="s">
        <v>766</v>
      </c>
      <c r="C50" s="669" t="s">
        <v>120</v>
      </c>
      <c r="D50" s="669" t="s">
        <v>610</v>
      </c>
      <c r="E50" s="665">
        <v>60</v>
      </c>
      <c r="F50" s="276" t="s">
        <v>356</v>
      </c>
      <c r="G50" s="286">
        <v>2.5499999999999998</v>
      </c>
      <c r="H50" s="289"/>
      <c r="I50" s="78"/>
      <c r="J50" s="276">
        <f>'Ocorrências Mensais - FAT'!G73</f>
        <v>60</v>
      </c>
      <c r="K50" s="279">
        <f t="shared" si="1"/>
        <v>153</v>
      </c>
      <c r="M50" s="287">
        <v>3.9</v>
      </c>
      <c r="N50" s="281">
        <f>ROUND(IF(Dados!$J$62="SIM",M50*Dados!$N$62,M50),2)</f>
        <v>3.9</v>
      </c>
      <c r="O50" s="281">
        <f>ROUND(IF(Dados!$J$63="SIM",N50*Dados!$N$63,N50),2)</f>
        <v>3.9</v>
      </c>
      <c r="P50" s="281">
        <f>ROUND(IF(Dados!$J$64="SIM",O50*Dados!$N$64,O50),2)</f>
        <v>3.9</v>
      </c>
      <c r="Q50" s="281">
        <f>ROUND(IF(Dados!$J$65="SIM",P50*Dados!$N$65,P50),2)</f>
        <v>3.9</v>
      </c>
      <c r="R50" s="282">
        <f>ROUND(IF(Dados!$J$66="SIM",Q50*Dados!$N$66,Q50),2)</f>
        <v>3.9</v>
      </c>
    </row>
    <row r="51" spans="1:778" s="79" customFormat="1" ht="36" x14ac:dyDescent="0.3">
      <c r="A51" s="86">
        <v>43</v>
      </c>
      <c r="B51" s="290" t="s">
        <v>611</v>
      </c>
      <c r="C51" s="274" t="s">
        <v>355</v>
      </c>
      <c r="D51" s="274" t="s">
        <v>612</v>
      </c>
      <c r="E51" s="275">
        <v>10</v>
      </c>
      <c r="F51" s="276" t="s">
        <v>356</v>
      </c>
      <c r="G51" s="288">
        <v>22.16</v>
      </c>
      <c r="H51" s="289"/>
      <c r="I51" s="78"/>
      <c r="J51" s="276">
        <f>'Ocorrências Mensais - FAT'!G74</f>
        <v>10</v>
      </c>
      <c r="K51" s="279">
        <f t="shared" si="1"/>
        <v>221.6</v>
      </c>
      <c r="M51" s="287">
        <v>27</v>
      </c>
      <c r="N51" s="281">
        <f>ROUND(IF(Dados!$J$62="SIM",M51*Dados!$N$62,M51),2)</f>
        <v>27</v>
      </c>
      <c r="O51" s="281">
        <f>ROUND(IF(Dados!$J$63="SIM",N51*Dados!$N$63,N51),2)</f>
        <v>27</v>
      </c>
      <c r="P51" s="281">
        <f>ROUND(IF(Dados!$J$64="SIM",O51*Dados!$N$64,O51),2)</f>
        <v>27</v>
      </c>
      <c r="Q51" s="281">
        <f>ROUND(IF(Dados!$J$65="SIM",P51*Dados!$N$65,P51),2)</f>
        <v>27</v>
      </c>
      <c r="R51" s="282">
        <f>ROUND(IF(Dados!$J$66="SIM",Q51*Dados!$N$66,Q51),2)</f>
        <v>27</v>
      </c>
    </row>
    <row r="52" spans="1:778" s="79" customFormat="1" ht="72" x14ac:dyDescent="0.3">
      <c r="A52" s="86">
        <v>44</v>
      </c>
      <c r="B52" s="290" t="s">
        <v>613</v>
      </c>
      <c r="C52" s="274" t="s">
        <v>107</v>
      </c>
      <c r="D52" s="274" t="s">
        <v>614</v>
      </c>
      <c r="E52" s="275">
        <v>10</v>
      </c>
      <c r="F52" s="276" t="s">
        <v>356</v>
      </c>
      <c r="G52" s="286">
        <v>7.66</v>
      </c>
      <c r="H52" s="289"/>
      <c r="I52" s="78"/>
      <c r="J52" s="276">
        <f>'Ocorrências Mensais - FAT'!G75</f>
        <v>10</v>
      </c>
      <c r="K52" s="279">
        <f t="shared" si="1"/>
        <v>76.599999999999994</v>
      </c>
      <c r="M52" s="287">
        <v>3.75</v>
      </c>
      <c r="N52" s="281">
        <f>ROUND(IF(Dados!$J$62="SIM",M52*Dados!$N$62,M52),2)</f>
        <v>3.75</v>
      </c>
      <c r="O52" s="281">
        <f>ROUND(IF(Dados!$J$63="SIM",N52*Dados!$N$63,N52),2)</f>
        <v>3.75</v>
      </c>
      <c r="P52" s="281">
        <f>ROUND(IF(Dados!$J$64="SIM",O52*Dados!$N$64,O52),2)</f>
        <v>3.75</v>
      </c>
      <c r="Q52" s="281">
        <f>ROUND(IF(Dados!$J$65="SIM",P52*Dados!$N$65,P52),2)</f>
        <v>3.75</v>
      </c>
      <c r="R52" s="282">
        <f>ROUND(IF(Dados!$J$66="SIM",Q52*Dados!$N$66,Q52),2)</f>
        <v>3.75</v>
      </c>
    </row>
    <row r="53" spans="1:778" s="79" customFormat="1" ht="48" x14ac:dyDescent="0.3">
      <c r="A53" s="86">
        <v>45</v>
      </c>
      <c r="B53" s="290" t="s">
        <v>615</v>
      </c>
      <c r="C53" s="274" t="s">
        <v>355</v>
      </c>
      <c r="D53" s="274" t="s">
        <v>616</v>
      </c>
      <c r="E53" s="275">
        <v>10</v>
      </c>
      <c r="F53" s="276" t="s">
        <v>358</v>
      </c>
      <c r="G53" s="286">
        <v>42.11</v>
      </c>
      <c r="H53" s="289"/>
      <c r="I53" s="78"/>
      <c r="J53" s="276">
        <f>'Ocorrências Mensais - FAT'!G76</f>
        <v>3.3333333333333335</v>
      </c>
      <c r="K53" s="279">
        <f t="shared" si="1"/>
        <v>140.36666666666667</v>
      </c>
      <c r="M53" s="287">
        <v>6.5</v>
      </c>
      <c r="N53" s="281">
        <f>ROUND(IF(Dados!$J$62="SIM",M53*Dados!$N$62,M53),2)</f>
        <v>6.5</v>
      </c>
      <c r="O53" s="281">
        <f>ROUND(IF(Dados!$J$63="SIM",N53*Dados!$N$63,N53),2)</f>
        <v>6.5</v>
      </c>
      <c r="P53" s="281">
        <f>ROUND(IF(Dados!$J$64="SIM",O53*Dados!$N$64,O53),2)</f>
        <v>6.5</v>
      </c>
      <c r="Q53" s="281">
        <f>ROUND(IF(Dados!$J$65="SIM",P53*Dados!$N$65,P53),2)</f>
        <v>6.5</v>
      </c>
      <c r="R53" s="282">
        <f>ROUND(IF(Dados!$J$66="SIM",Q53*Dados!$N$66,Q53),2)</f>
        <v>6.5</v>
      </c>
    </row>
    <row r="54" spans="1:778" s="79" customFormat="1" x14ac:dyDescent="0.3">
      <c r="A54" s="86">
        <v>46</v>
      </c>
      <c r="B54" s="290" t="s">
        <v>617</v>
      </c>
      <c r="C54" s="274" t="s">
        <v>107</v>
      </c>
      <c r="D54" s="274"/>
      <c r="E54" s="275">
        <v>5</v>
      </c>
      <c r="F54" s="276" t="s">
        <v>358</v>
      </c>
      <c r="G54" s="286">
        <v>35.619999999999997</v>
      </c>
      <c r="H54" s="289"/>
      <c r="I54" s="78"/>
      <c r="J54" s="276">
        <f>'Ocorrências Mensais - FAT'!G77</f>
        <v>1.6666666666666667</v>
      </c>
      <c r="K54" s="279">
        <f t="shared" si="1"/>
        <v>59.366666666666667</v>
      </c>
      <c r="M54" s="287">
        <v>15.7</v>
      </c>
      <c r="N54" s="281">
        <f>ROUND(IF(Dados!$J$62="SIM",M54*Dados!$N$62,M54),2)</f>
        <v>15.7</v>
      </c>
      <c r="O54" s="281">
        <f>ROUND(IF(Dados!$J$63="SIM",N54*Dados!$N$63,N54),2)</f>
        <v>15.7</v>
      </c>
      <c r="P54" s="281">
        <f>ROUND(IF(Dados!$J$64="SIM",O54*Dados!$N$64,O54),2)</f>
        <v>15.7</v>
      </c>
      <c r="Q54" s="281">
        <f>ROUND(IF(Dados!$J$65="SIM",P54*Dados!$N$65,P54),2)</f>
        <v>15.7</v>
      </c>
      <c r="R54" s="282">
        <f>ROUND(IF(Dados!$J$66="SIM",Q54*Dados!$N$66,Q54),2)</f>
        <v>15.7</v>
      </c>
    </row>
    <row r="55" spans="1:778" s="79" customFormat="1" ht="36" x14ac:dyDescent="0.3">
      <c r="A55" s="86">
        <v>47</v>
      </c>
      <c r="B55" s="290" t="s">
        <v>618</v>
      </c>
      <c r="C55" s="274" t="s">
        <v>355</v>
      </c>
      <c r="D55" s="274" t="s">
        <v>619</v>
      </c>
      <c r="E55" s="275">
        <v>2</v>
      </c>
      <c r="F55" s="276" t="s">
        <v>356</v>
      </c>
      <c r="G55" s="286">
        <v>38.72</v>
      </c>
      <c r="H55" s="289"/>
      <c r="I55" s="78"/>
      <c r="J55" s="276">
        <f>'Ocorrências Mensais - FAT'!G78</f>
        <v>2</v>
      </c>
      <c r="K55" s="279">
        <f t="shared" si="1"/>
        <v>77.44</v>
      </c>
      <c r="M55" s="287"/>
      <c r="N55" s="281"/>
      <c r="O55" s="281"/>
      <c r="P55" s="281"/>
      <c r="Q55" s="281"/>
      <c r="R55" s="282"/>
    </row>
    <row r="56" spans="1:778" s="79" customFormat="1" ht="36" x14ac:dyDescent="0.3">
      <c r="A56" s="86">
        <v>48</v>
      </c>
      <c r="B56" s="667" t="s">
        <v>620</v>
      </c>
      <c r="C56" s="274" t="s">
        <v>355</v>
      </c>
      <c r="D56" s="301" t="s">
        <v>361</v>
      </c>
      <c r="E56" s="275">
        <v>7</v>
      </c>
      <c r="F56" s="87" t="s">
        <v>356</v>
      </c>
      <c r="G56" s="288">
        <v>22.37</v>
      </c>
      <c r="H56" s="289"/>
      <c r="I56" s="78"/>
      <c r="J56" s="276">
        <f>'Ocorrências Mensais - FAT'!G79</f>
        <v>7</v>
      </c>
      <c r="K56" s="279">
        <f t="shared" si="1"/>
        <v>156.59</v>
      </c>
      <c r="M56" s="287">
        <v>29.2</v>
      </c>
      <c r="N56" s="281">
        <f>ROUND(IF(Dados!$J$62="SIM",M56*Dados!$N$62,M56),2)</f>
        <v>29.2</v>
      </c>
      <c r="O56" s="281">
        <f>ROUND(IF(Dados!$J$63="SIM",N56*Dados!$N$63,N56),2)</f>
        <v>29.2</v>
      </c>
      <c r="P56" s="281">
        <f>ROUND(IF(Dados!$J$64="SIM",O56*Dados!$N$64,O56),2)</f>
        <v>29.2</v>
      </c>
      <c r="Q56" s="281">
        <f>ROUND(IF(Dados!$J$65="SIM",P56*Dados!$N$65,P56),2)</f>
        <v>29.2</v>
      </c>
      <c r="R56" s="282">
        <f>ROUND(IF(Dados!$J$66="SIM",Q56*Dados!$N$66,Q56),2)</f>
        <v>29.2</v>
      </c>
    </row>
    <row r="57" spans="1:778" s="79" customFormat="1" ht="28.5" customHeight="1" x14ac:dyDescent="0.3">
      <c r="A57" s="86">
        <v>49</v>
      </c>
      <c r="B57" s="668" t="s">
        <v>767</v>
      </c>
      <c r="C57" s="274" t="s">
        <v>120</v>
      </c>
      <c r="D57" s="274" t="s">
        <v>621</v>
      </c>
      <c r="E57" s="665">
        <v>24</v>
      </c>
      <c r="F57" s="276" t="s">
        <v>356</v>
      </c>
      <c r="G57" s="288">
        <v>9.81</v>
      </c>
      <c r="H57" s="289"/>
      <c r="I57" s="78"/>
      <c r="J57" s="276">
        <f>'Ocorrências Mensais - FAT'!G80</f>
        <v>24</v>
      </c>
      <c r="K57" s="279">
        <f t="shared" si="1"/>
        <v>235.44</v>
      </c>
      <c r="M57" s="287">
        <v>12.5</v>
      </c>
      <c r="N57" s="281">
        <f>ROUND(IF(Dados!$J$62="SIM",M57*Dados!$N$62,M57),2)</f>
        <v>12.5</v>
      </c>
      <c r="O57" s="281">
        <f>ROUND(IF(Dados!$J$63="SIM",N57*Dados!$N$63,N57),2)</f>
        <v>12.5</v>
      </c>
      <c r="P57" s="281">
        <f>ROUND(IF(Dados!$J$64="SIM",O57*Dados!$N$64,O57),2)</f>
        <v>12.5</v>
      </c>
      <c r="Q57" s="281">
        <f>ROUND(IF(Dados!$J$65="SIM",P57*Dados!$N$65,P57),2)</f>
        <v>12.5</v>
      </c>
      <c r="R57" s="282">
        <f>ROUND(IF(Dados!$J$66="SIM",Q57*Dados!$N$66,Q57),2)</f>
        <v>12.5</v>
      </c>
    </row>
    <row r="58" spans="1:778" s="79" customFormat="1" ht="48" x14ac:dyDescent="0.3">
      <c r="A58" s="86">
        <v>50</v>
      </c>
      <c r="B58" s="668" t="s">
        <v>622</v>
      </c>
      <c r="C58" s="274" t="s">
        <v>355</v>
      </c>
      <c r="D58" s="274" t="s">
        <v>623</v>
      </c>
      <c r="E58" s="275">
        <v>5</v>
      </c>
      <c r="F58" s="276" t="s">
        <v>358</v>
      </c>
      <c r="G58" s="288">
        <v>43.79</v>
      </c>
      <c r="H58" s="289"/>
      <c r="I58" s="78"/>
      <c r="J58" s="276">
        <f>'Ocorrências Mensais - FAT'!G81</f>
        <v>1.6666666666666667</v>
      </c>
      <c r="K58" s="279">
        <f t="shared" si="1"/>
        <v>72.983333333333334</v>
      </c>
      <c r="M58" s="287">
        <v>16.5</v>
      </c>
      <c r="N58" s="281">
        <f>ROUND(IF(Dados!$J$62="SIM",M58*Dados!$N$62,M58),2)</f>
        <v>16.5</v>
      </c>
      <c r="O58" s="281">
        <f>ROUND(IF(Dados!$J$63="SIM",N58*Dados!$N$63,N58),2)</f>
        <v>16.5</v>
      </c>
      <c r="P58" s="281">
        <f>ROUND(IF(Dados!$J$64="SIM",O58*Dados!$N$64,O58),2)</f>
        <v>16.5</v>
      </c>
      <c r="Q58" s="281">
        <f>ROUND(IF(Dados!$J$65="SIM",P58*Dados!$N$65,P58),2)</f>
        <v>16.5</v>
      </c>
      <c r="R58" s="282">
        <f>ROUND(IF(Dados!$J$66="SIM",Q58*Dados!$N$66,Q58),2)</f>
        <v>16.5</v>
      </c>
    </row>
    <row r="59" spans="1:778" ht="60" x14ac:dyDescent="0.3">
      <c r="A59" s="86">
        <v>51</v>
      </c>
      <c r="B59" s="668" t="s">
        <v>624</v>
      </c>
      <c r="C59" s="274" t="s">
        <v>355</v>
      </c>
      <c r="D59" s="274" t="s">
        <v>625</v>
      </c>
      <c r="E59" s="275">
        <v>3</v>
      </c>
      <c r="F59" s="276" t="s">
        <v>358</v>
      </c>
      <c r="G59" s="288">
        <v>85.97</v>
      </c>
      <c r="H59" s="289"/>
      <c r="I59" s="78"/>
      <c r="J59" s="276">
        <f>'Ocorrências Mensais - FAT'!G82</f>
        <v>1</v>
      </c>
      <c r="K59" s="279">
        <f t="shared" si="1"/>
        <v>85.97</v>
      </c>
      <c r="L59" s="79"/>
      <c r="M59" s="287">
        <v>15.6</v>
      </c>
      <c r="N59" s="281">
        <f>ROUND(IF(Dados!$J$62="SIM",M59*Dados!$N$62,M59),2)</f>
        <v>15.6</v>
      </c>
      <c r="O59" s="281">
        <f>ROUND(IF(Dados!$J$63="SIM",N59*Dados!$N$63,N59),2)</f>
        <v>15.6</v>
      </c>
      <c r="P59" s="281">
        <f>ROUND(IF(Dados!$J$64="SIM",O59*Dados!$N$64,O59),2)</f>
        <v>15.6</v>
      </c>
      <c r="Q59" s="281">
        <f>ROUND(IF(Dados!$J$65="SIM",P59*Dados!$N$65,P59),2)</f>
        <v>15.6</v>
      </c>
      <c r="R59" s="282">
        <f>ROUND(IF(Dados!$J$66="SIM",Q59*Dados!$N$66,Q59),2)</f>
        <v>15.6</v>
      </c>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79"/>
      <c r="JS59" s="79"/>
      <c r="JT59" s="79"/>
      <c r="JU59" s="79"/>
      <c r="JV59" s="79"/>
      <c r="JW59" s="79"/>
      <c r="JX59" s="79"/>
      <c r="JY59" s="79"/>
      <c r="JZ59" s="79"/>
      <c r="KA59" s="79"/>
      <c r="KB59" s="79"/>
      <c r="KC59" s="79"/>
      <c r="KD59" s="79"/>
      <c r="KE59" s="79"/>
      <c r="KF59" s="79"/>
      <c r="KG59" s="79"/>
      <c r="KH59" s="79"/>
      <c r="KI59" s="79"/>
      <c r="KJ59" s="79"/>
      <c r="KK59" s="79"/>
      <c r="KL59" s="79"/>
      <c r="KM59" s="79"/>
      <c r="KN59" s="79"/>
      <c r="KO59" s="79"/>
      <c r="KP59" s="79"/>
      <c r="KQ59" s="79"/>
      <c r="KR59" s="79"/>
      <c r="KS59" s="79"/>
      <c r="KT59" s="79"/>
      <c r="KU59" s="79"/>
      <c r="KV59" s="79"/>
      <c r="KW59" s="79"/>
      <c r="KX59" s="79"/>
      <c r="KY59" s="79"/>
      <c r="KZ59" s="79"/>
      <c r="LA59" s="79"/>
      <c r="LB59" s="79"/>
      <c r="LC59" s="79"/>
      <c r="LD59" s="79"/>
      <c r="LE59" s="79"/>
      <c r="LF59" s="79"/>
      <c r="LG59" s="79"/>
      <c r="LH59" s="79"/>
      <c r="LI59" s="79"/>
      <c r="LJ59" s="79"/>
      <c r="LK59" s="79"/>
      <c r="LL59" s="79"/>
      <c r="LM59" s="79"/>
      <c r="LN59" s="79"/>
      <c r="LO59" s="79"/>
      <c r="LP59" s="79"/>
      <c r="LQ59" s="79"/>
      <c r="LR59" s="79"/>
      <c r="LS59" s="79"/>
      <c r="LT59" s="79"/>
      <c r="LU59" s="79"/>
      <c r="LV59" s="79"/>
      <c r="LW59" s="79"/>
      <c r="LX59" s="79"/>
      <c r="LY59" s="79"/>
      <c r="LZ59" s="79"/>
      <c r="MA59" s="79"/>
      <c r="MB59" s="79"/>
      <c r="MC59" s="79"/>
      <c r="MD59" s="79"/>
      <c r="ME59" s="79"/>
      <c r="MF59" s="79"/>
      <c r="MG59" s="79"/>
      <c r="MH59" s="79"/>
      <c r="MI59" s="79"/>
      <c r="MJ59" s="79"/>
      <c r="MK59" s="79"/>
      <c r="ML59" s="79"/>
      <c r="MM59" s="79"/>
      <c r="MN59" s="79"/>
      <c r="MO59" s="79"/>
      <c r="MP59" s="79"/>
      <c r="MQ59" s="79"/>
      <c r="MR59" s="79"/>
      <c r="MS59" s="79"/>
      <c r="MT59" s="79"/>
      <c r="MU59" s="79"/>
      <c r="MV59" s="79"/>
      <c r="MW59" s="79"/>
      <c r="MX59" s="79"/>
      <c r="MY59" s="79"/>
      <c r="MZ59" s="79"/>
      <c r="NA59" s="79"/>
      <c r="NB59" s="79"/>
      <c r="NC59" s="79"/>
      <c r="ND59" s="79"/>
      <c r="NE59" s="79"/>
      <c r="NF59" s="79"/>
      <c r="NG59" s="79"/>
      <c r="NH59" s="79"/>
      <c r="NI59" s="79"/>
      <c r="NJ59" s="79"/>
      <c r="NK59" s="79"/>
      <c r="NL59" s="79"/>
      <c r="NM59" s="79"/>
      <c r="NN59" s="79"/>
      <c r="NO59" s="79"/>
      <c r="NP59" s="79"/>
      <c r="NQ59" s="79"/>
      <c r="NR59" s="79"/>
      <c r="NS59" s="79"/>
      <c r="NT59" s="79"/>
      <c r="NU59" s="79"/>
      <c r="NV59" s="79"/>
      <c r="NW59" s="79"/>
      <c r="NX59" s="79"/>
      <c r="NY59" s="79"/>
      <c r="NZ59" s="79"/>
      <c r="OA59" s="79"/>
      <c r="OB59" s="79"/>
      <c r="OC59" s="79"/>
      <c r="OD59" s="79"/>
      <c r="OE59" s="79"/>
      <c r="OF59" s="79"/>
      <c r="OG59" s="79"/>
      <c r="OH59" s="79"/>
      <c r="OI59" s="79"/>
      <c r="OJ59" s="79"/>
      <c r="OK59" s="79"/>
      <c r="OL59" s="79"/>
      <c r="OM59" s="79"/>
      <c r="ON59" s="79"/>
      <c r="OO59" s="79"/>
      <c r="OP59" s="79"/>
      <c r="OQ59" s="79"/>
      <c r="OR59" s="79"/>
      <c r="OS59" s="79"/>
      <c r="OT59" s="79"/>
      <c r="OU59" s="79"/>
      <c r="OV59" s="79"/>
      <c r="OW59" s="79"/>
      <c r="OX59" s="79"/>
      <c r="OY59" s="79"/>
      <c r="OZ59" s="79"/>
      <c r="PA59" s="79"/>
      <c r="PB59" s="79"/>
      <c r="PC59" s="79"/>
      <c r="PD59" s="79"/>
      <c r="PE59" s="79"/>
      <c r="PF59" s="79"/>
      <c r="PG59" s="79"/>
      <c r="PH59" s="79"/>
      <c r="PI59" s="79"/>
      <c r="PJ59" s="79"/>
      <c r="PK59" s="79"/>
      <c r="PL59" s="79"/>
      <c r="PM59" s="79"/>
      <c r="PN59" s="79"/>
      <c r="PO59" s="79"/>
      <c r="PP59" s="79"/>
      <c r="PQ59" s="79"/>
      <c r="PR59" s="79"/>
      <c r="PS59" s="79"/>
      <c r="PT59" s="79"/>
      <c r="PU59" s="79"/>
      <c r="PV59" s="79"/>
      <c r="PW59" s="79"/>
      <c r="PX59" s="79"/>
      <c r="PY59" s="79"/>
      <c r="PZ59" s="79"/>
      <c r="QA59" s="79"/>
      <c r="QB59" s="79"/>
      <c r="QC59" s="79"/>
      <c r="QD59" s="79"/>
      <c r="QE59" s="79"/>
      <c r="QF59" s="79"/>
      <c r="QG59" s="79"/>
      <c r="QH59" s="79"/>
      <c r="QI59" s="79"/>
      <c r="QJ59" s="79"/>
      <c r="QK59" s="79"/>
      <c r="QL59" s="79"/>
      <c r="QM59" s="79"/>
      <c r="QN59" s="79"/>
      <c r="QO59" s="79"/>
      <c r="QP59" s="79"/>
      <c r="QQ59" s="79"/>
      <c r="QR59" s="79"/>
      <c r="QS59" s="79"/>
      <c r="QT59" s="79"/>
      <c r="QU59" s="79"/>
      <c r="QV59" s="79"/>
      <c r="QW59" s="79"/>
      <c r="QX59" s="79"/>
      <c r="QY59" s="79"/>
      <c r="QZ59" s="79"/>
      <c r="RA59" s="79"/>
      <c r="RB59" s="79"/>
      <c r="RC59" s="79"/>
      <c r="RD59" s="79"/>
      <c r="RE59" s="79"/>
      <c r="RF59" s="79"/>
      <c r="RG59" s="79"/>
      <c r="RH59" s="79"/>
      <c r="RI59" s="79"/>
      <c r="RJ59" s="79"/>
      <c r="RK59" s="79"/>
      <c r="RL59" s="79"/>
      <c r="RM59" s="79"/>
      <c r="RN59" s="79"/>
      <c r="RO59" s="79"/>
      <c r="RP59" s="79"/>
      <c r="RQ59" s="79"/>
      <c r="RR59" s="79"/>
      <c r="RS59" s="79"/>
      <c r="RT59" s="79"/>
      <c r="RU59" s="79"/>
      <c r="RV59" s="79"/>
      <c r="RW59" s="79"/>
      <c r="RX59" s="79"/>
      <c r="RY59" s="79"/>
      <c r="RZ59" s="79"/>
      <c r="SA59" s="79"/>
      <c r="SB59" s="79"/>
      <c r="SC59" s="79"/>
      <c r="SD59" s="79"/>
      <c r="SE59" s="79"/>
      <c r="SF59" s="79"/>
      <c r="SG59" s="79"/>
      <c r="SH59" s="79"/>
      <c r="SI59" s="79"/>
      <c r="SJ59" s="79"/>
      <c r="SK59" s="79"/>
      <c r="SL59" s="79"/>
      <c r="SM59" s="79"/>
      <c r="SN59" s="79"/>
      <c r="SO59" s="79"/>
      <c r="SP59" s="79"/>
      <c r="SQ59" s="79"/>
      <c r="SR59" s="79"/>
      <c r="SS59" s="79"/>
      <c r="ST59" s="79"/>
      <c r="SU59" s="79"/>
      <c r="SV59" s="79"/>
      <c r="SW59" s="79"/>
      <c r="SX59" s="79"/>
      <c r="SY59" s="79"/>
      <c r="SZ59" s="79"/>
      <c r="TA59" s="79"/>
      <c r="TB59" s="79"/>
      <c r="TC59" s="79"/>
      <c r="TD59" s="79"/>
      <c r="TE59" s="79"/>
      <c r="TF59" s="79"/>
      <c r="TG59" s="79"/>
      <c r="TH59" s="79"/>
      <c r="TI59" s="79"/>
      <c r="TJ59" s="79"/>
      <c r="TK59" s="79"/>
      <c r="TL59" s="79"/>
      <c r="TM59" s="79"/>
      <c r="TN59" s="79"/>
      <c r="TO59" s="79"/>
      <c r="TP59" s="79"/>
      <c r="TQ59" s="79"/>
      <c r="TR59" s="79"/>
      <c r="TS59" s="79"/>
      <c r="TT59" s="79"/>
      <c r="TU59" s="79"/>
      <c r="TV59" s="79"/>
      <c r="TW59" s="79"/>
      <c r="TX59" s="79"/>
      <c r="TY59" s="79"/>
      <c r="TZ59" s="79"/>
      <c r="UA59" s="79"/>
      <c r="UB59" s="79"/>
      <c r="UC59" s="79"/>
      <c r="UD59" s="79"/>
      <c r="UE59" s="79"/>
      <c r="UF59" s="79"/>
      <c r="UG59" s="79"/>
      <c r="UH59" s="79"/>
      <c r="UI59" s="79"/>
      <c r="UJ59" s="79"/>
      <c r="UK59" s="79"/>
      <c r="UL59" s="79"/>
      <c r="UM59" s="79"/>
      <c r="UN59" s="79"/>
      <c r="UO59" s="79"/>
      <c r="UP59" s="79"/>
      <c r="UQ59" s="79"/>
      <c r="UR59" s="79"/>
      <c r="US59" s="79"/>
      <c r="UT59" s="79"/>
      <c r="UU59" s="79"/>
      <c r="UV59" s="79"/>
      <c r="UW59" s="79"/>
      <c r="UX59" s="79"/>
      <c r="UY59" s="79"/>
      <c r="UZ59" s="79"/>
      <c r="VA59" s="79"/>
      <c r="VB59" s="79"/>
      <c r="VC59" s="79"/>
      <c r="VD59" s="79"/>
      <c r="VE59" s="79"/>
      <c r="VF59" s="79"/>
      <c r="VG59" s="79"/>
      <c r="VH59" s="79"/>
      <c r="VI59" s="79"/>
      <c r="VJ59" s="79"/>
      <c r="VK59" s="79"/>
      <c r="VL59" s="79"/>
      <c r="VM59" s="79"/>
      <c r="VN59" s="79"/>
      <c r="VO59" s="79"/>
      <c r="VP59" s="79"/>
      <c r="VQ59" s="79"/>
      <c r="VR59" s="79"/>
      <c r="VS59" s="79"/>
      <c r="VT59" s="79"/>
      <c r="VU59" s="79"/>
      <c r="VV59" s="79"/>
      <c r="VW59" s="79"/>
      <c r="VX59" s="79"/>
      <c r="VY59" s="79"/>
      <c r="VZ59" s="79"/>
      <c r="WA59" s="79"/>
      <c r="WB59" s="79"/>
      <c r="WC59" s="79"/>
      <c r="WD59" s="79"/>
      <c r="WE59" s="79"/>
      <c r="WF59" s="79"/>
      <c r="WG59" s="79"/>
      <c r="WH59" s="79"/>
      <c r="WI59" s="79"/>
      <c r="WJ59" s="79"/>
      <c r="WK59" s="79"/>
      <c r="WL59" s="79"/>
      <c r="WM59" s="79"/>
      <c r="WN59" s="79"/>
      <c r="WO59" s="79"/>
      <c r="WP59" s="79"/>
      <c r="WQ59" s="79"/>
      <c r="WR59" s="79"/>
      <c r="WS59" s="79"/>
      <c r="WT59" s="79"/>
      <c r="WU59" s="79"/>
      <c r="WV59" s="79"/>
      <c r="WW59" s="79"/>
      <c r="WX59" s="79"/>
      <c r="WY59" s="79"/>
      <c r="WZ59" s="79"/>
      <c r="XA59" s="79"/>
      <c r="XB59" s="79"/>
      <c r="XC59" s="79"/>
      <c r="XD59" s="79"/>
      <c r="XE59" s="79"/>
      <c r="XF59" s="79"/>
      <c r="XG59" s="79"/>
      <c r="XH59" s="79"/>
      <c r="XI59" s="79"/>
      <c r="XJ59" s="79"/>
      <c r="XK59" s="79"/>
      <c r="XL59" s="79"/>
      <c r="XM59" s="79"/>
      <c r="XN59" s="79"/>
      <c r="XO59" s="79"/>
      <c r="XP59" s="79"/>
      <c r="XQ59" s="79"/>
      <c r="XR59" s="79"/>
      <c r="XS59" s="79"/>
      <c r="XT59" s="79"/>
      <c r="XU59" s="79"/>
      <c r="XV59" s="79"/>
      <c r="XW59" s="79"/>
      <c r="XX59" s="79"/>
      <c r="XY59" s="79"/>
      <c r="XZ59" s="79"/>
      <c r="YA59" s="79"/>
      <c r="YB59" s="79"/>
      <c r="YC59" s="79"/>
      <c r="YD59" s="79"/>
      <c r="YE59" s="79"/>
      <c r="YF59" s="79"/>
      <c r="YG59" s="79"/>
      <c r="YH59" s="79"/>
      <c r="YI59" s="79"/>
      <c r="YJ59" s="79"/>
      <c r="YK59" s="79"/>
      <c r="YL59" s="79"/>
      <c r="YM59" s="79"/>
      <c r="YN59" s="79"/>
      <c r="YO59" s="79"/>
      <c r="YP59" s="79"/>
      <c r="YQ59" s="79"/>
      <c r="YR59" s="79"/>
      <c r="YS59" s="79"/>
      <c r="YT59" s="79"/>
      <c r="YU59" s="79"/>
      <c r="YV59" s="79"/>
      <c r="YW59" s="79"/>
      <c r="YX59" s="79"/>
      <c r="YY59" s="79"/>
      <c r="YZ59" s="79"/>
      <c r="ZA59" s="79"/>
      <c r="ZB59" s="79"/>
      <c r="ZC59" s="79"/>
      <c r="ZD59" s="79"/>
      <c r="ZE59" s="79"/>
      <c r="ZF59" s="79"/>
      <c r="ZG59" s="79"/>
      <c r="ZH59" s="79"/>
      <c r="ZI59" s="79"/>
      <c r="ZJ59" s="79"/>
      <c r="ZK59" s="79"/>
      <c r="ZL59" s="79"/>
      <c r="ZM59" s="79"/>
      <c r="ZN59" s="79"/>
      <c r="ZO59" s="79"/>
      <c r="ZP59" s="79"/>
      <c r="ZQ59" s="79"/>
      <c r="ZR59" s="79"/>
      <c r="ZS59" s="79"/>
      <c r="ZT59" s="79"/>
      <c r="ZU59" s="79"/>
      <c r="ZV59" s="79"/>
      <c r="ZW59" s="79"/>
      <c r="ZX59" s="79"/>
      <c r="ZY59" s="79"/>
      <c r="ZZ59" s="79"/>
      <c r="AAA59" s="79"/>
      <c r="AAB59" s="79"/>
      <c r="AAC59" s="79"/>
      <c r="AAD59" s="79"/>
      <c r="AAE59" s="79"/>
      <c r="AAF59" s="79"/>
      <c r="AAG59" s="79"/>
      <c r="AAH59" s="79"/>
      <c r="AAI59" s="79"/>
      <c r="AAJ59" s="79"/>
      <c r="AAK59" s="79"/>
      <c r="AAL59" s="79"/>
      <c r="AAM59" s="79"/>
      <c r="AAN59" s="79"/>
      <c r="AAO59" s="79"/>
      <c r="AAP59" s="79"/>
      <c r="AAQ59" s="79"/>
      <c r="AAR59" s="79"/>
      <c r="AAS59" s="79"/>
      <c r="AAT59" s="79"/>
      <c r="AAU59" s="79"/>
      <c r="AAV59" s="79"/>
      <c r="AAW59" s="79"/>
      <c r="AAX59" s="79"/>
      <c r="AAY59" s="79"/>
      <c r="AAZ59" s="79"/>
      <c r="ABA59" s="79"/>
      <c r="ABB59" s="79"/>
      <c r="ABC59" s="79"/>
      <c r="ABD59" s="79"/>
      <c r="ABE59" s="79"/>
      <c r="ABF59" s="79"/>
      <c r="ABG59" s="79"/>
      <c r="ABH59" s="79"/>
      <c r="ABI59" s="79"/>
      <c r="ABJ59" s="79"/>
      <c r="ABK59" s="79"/>
      <c r="ABL59" s="79"/>
      <c r="ABM59" s="79"/>
      <c r="ABN59" s="79"/>
      <c r="ABO59" s="79"/>
      <c r="ABP59" s="79"/>
      <c r="ABQ59" s="79"/>
      <c r="ABR59" s="79"/>
      <c r="ABS59" s="79"/>
      <c r="ABT59" s="79"/>
      <c r="ABU59" s="79"/>
      <c r="ABV59" s="79"/>
      <c r="ABW59" s="79"/>
      <c r="ABX59" s="79"/>
      <c r="ABY59" s="79"/>
      <c r="ABZ59" s="79"/>
      <c r="ACA59" s="79"/>
      <c r="ACB59" s="79"/>
      <c r="ACC59" s="79"/>
      <c r="ACD59" s="79"/>
      <c r="ACE59" s="79"/>
      <c r="ACF59" s="79"/>
      <c r="ACG59" s="79"/>
      <c r="ACH59" s="79"/>
      <c r="ACI59" s="79"/>
      <c r="ACJ59" s="79"/>
      <c r="ACK59" s="79"/>
      <c r="ACL59" s="79"/>
      <c r="ACM59" s="79"/>
      <c r="ACN59" s="79"/>
      <c r="ACO59" s="79"/>
      <c r="ACP59" s="79"/>
      <c r="ACQ59" s="79"/>
      <c r="ACR59" s="79"/>
      <c r="ACS59" s="79"/>
      <c r="ACT59" s="79"/>
      <c r="ACU59" s="79"/>
      <c r="ACV59" s="79"/>
      <c r="ACW59" s="79"/>
      <c r="ACX59" s="79"/>
    </row>
    <row r="60" spans="1:778" ht="12.75" customHeight="1" x14ac:dyDescent="0.3">
      <c r="A60" s="86">
        <v>52</v>
      </c>
      <c r="B60" s="668" t="s">
        <v>768</v>
      </c>
      <c r="C60" s="274" t="s">
        <v>355</v>
      </c>
      <c r="D60" s="274" t="s">
        <v>626</v>
      </c>
      <c r="E60" s="275">
        <v>10</v>
      </c>
      <c r="F60" s="276" t="s">
        <v>356</v>
      </c>
      <c r="G60" s="288">
        <v>40.32</v>
      </c>
      <c r="H60" s="289"/>
      <c r="I60" s="78"/>
      <c r="J60" s="276">
        <f>'Ocorrências Mensais - FAT'!G83</f>
        <v>10</v>
      </c>
      <c r="K60" s="279">
        <f t="shared" si="1"/>
        <v>403.2</v>
      </c>
      <c r="L60" s="79"/>
      <c r="M60" s="287">
        <v>11.01</v>
      </c>
      <c r="N60" s="281">
        <f>ROUND(IF(Dados!$J$62="SIM",M60*Dados!$N$62,M60),2)</f>
        <v>11.01</v>
      </c>
      <c r="O60" s="281">
        <f>ROUND(IF(Dados!$J$63="SIM",N60*Dados!$N$63,N60),2)</f>
        <v>11.01</v>
      </c>
      <c r="P60" s="281">
        <f>ROUND(IF(Dados!$J$64="SIM",O60*Dados!$N$64,O60),2)</f>
        <v>11.01</v>
      </c>
      <c r="Q60" s="281">
        <f>ROUND(IF(Dados!$J$65="SIM",P60*Dados!$N$65,P60),2)</f>
        <v>11.01</v>
      </c>
      <c r="R60" s="282">
        <f>ROUND(IF(Dados!$J$66="SIM",Q60*Dados!$N$66,Q60),2)</f>
        <v>11.01</v>
      </c>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c r="JE60" s="79"/>
      <c r="JF60" s="79"/>
      <c r="JG60" s="79"/>
      <c r="JH60" s="79"/>
      <c r="JI60" s="79"/>
      <c r="JJ60" s="79"/>
      <c r="JK60" s="79"/>
      <c r="JL60" s="79"/>
      <c r="JM60" s="79"/>
      <c r="JN60" s="79"/>
      <c r="JO60" s="79"/>
      <c r="JP60" s="79"/>
      <c r="JQ60" s="79"/>
      <c r="JR60" s="79"/>
      <c r="JS60" s="79"/>
      <c r="JT60" s="79"/>
      <c r="JU60" s="79"/>
      <c r="JV60" s="79"/>
      <c r="JW60" s="79"/>
      <c r="JX60" s="79"/>
      <c r="JY60" s="79"/>
      <c r="JZ60" s="79"/>
      <c r="KA60" s="79"/>
      <c r="KB60" s="79"/>
      <c r="KC60" s="79"/>
      <c r="KD60" s="79"/>
      <c r="KE60" s="79"/>
      <c r="KF60" s="79"/>
      <c r="KG60" s="79"/>
      <c r="KH60" s="79"/>
      <c r="KI60" s="79"/>
      <c r="KJ60" s="79"/>
      <c r="KK60" s="79"/>
      <c r="KL60" s="79"/>
      <c r="KM60" s="79"/>
      <c r="KN60" s="79"/>
      <c r="KO60" s="79"/>
      <c r="KP60" s="79"/>
      <c r="KQ60" s="79"/>
      <c r="KR60" s="79"/>
      <c r="KS60" s="79"/>
      <c r="KT60" s="79"/>
      <c r="KU60" s="79"/>
      <c r="KV60" s="79"/>
      <c r="KW60" s="79"/>
      <c r="KX60" s="79"/>
      <c r="KY60" s="79"/>
      <c r="KZ60" s="79"/>
      <c r="LA60" s="79"/>
      <c r="LB60" s="79"/>
      <c r="LC60" s="79"/>
      <c r="LD60" s="79"/>
      <c r="LE60" s="79"/>
      <c r="LF60" s="79"/>
      <c r="LG60" s="79"/>
      <c r="LH60" s="79"/>
      <c r="LI60" s="79"/>
      <c r="LJ60" s="79"/>
      <c r="LK60" s="79"/>
      <c r="LL60" s="79"/>
      <c r="LM60" s="79"/>
      <c r="LN60" s="79"/>
      <c r="LO60" s="79"/>
      <c r="LP60" s="79"/>
      <c r="LQ60" s="79"/>
      <c r="LR60" s="79"/>
      <c r="LS60" s="79"/>
      <c r="LT60" s="79"/>
      <c r="LU60" s="79"/>
      <c r="LV60" s="79"/>
      <c r="LW60" s="79"/>
      <c r="LX60" s="79"/>
      <c r="LY60" s="79"/>
      <c r="LZ60" s="79"/>
      <c r="MA60" s="79"/>
      <c r="MB60" s="79"/>
      <c r="MC60" s="79"/>
      <c r="MD60" s="79"/>
      <c r="ME60" s="79"/>
      <c r="MF60" s="79"/>
      <c r="MG60" s="79"/>
      <c r="MH60" s="79"/>
      <c r="MI60" s="79"/>
      <c r="MJ60" s="79"/>
      <c r="MK60" s="79"/>
      <c r="ML60" s="79"/>
      <c r="MM60" s="79"/>
      <c r="MN60" s="79"/>
      <c r="MO60" s="79"/>
      <c r="MP60" s="79"/>
      <c r="MQ60" s="79"/>
      <c r="MR60" s="79"/>
      <c r="MS60" s="79"/>
      <c r="MT60" s="79"/>
      <c r="MU60" s="79"/>
      <c r="MV60" s="79"/>
      <c r="MW60" s="79"/>
      <c r="MX60" s="79"/>
      <c r="MY60" s="79"/>
      <c r="MZ60" s="79"/>
      <c r="NA60" s="79"/>
      <c r="NB60" s="79"/>
      <c r="NC60" s="79"/>
      <c r="ND60" s="79"/>
      <c r="NE60" s="79"/>
      <c r="NF60" s="79"/>
      <c r="NG60" s="79"/>
      <c r="NH60" s="79"/>
      <c r="NI60" s="79"/>
      <c r="NJ60" s="79"/>
      <c r="NK60" s="79"/>
      <c r="NL60" s="79"/>
      <c r="NM60" s="79"/>
      <c r="NN60" s="79"/>
      <c r="NO60" s="79"/>
      <c r="NP60" s="79"/>
      <c r="NQ60" s="79"/>
      <c r="NR60" s="79"/>
      <c r="NS60" s="79"/>
      <c r="NT60" s="79"/>
      <c r="NU60" s="79"/>
      <c r="NV60" s="79"/>
      <c r="NW60" s="79"/>
      <c r="NX60" s="79"/>
      <c r="NY60" s="79"/>
      <c r="NZ60" s="79"/>
      <c r="OA60" s="79"/>
      <c r="OB60" s="79"/>
      <c r="OC60" s="79"/>
      <c r="OD60" s="79"/>
      <c r="OE60" s="79"/>
      <c r="OF60" s="79"/>
      <c r="OG60" s="79"/>
      <c r="OH60" s="79"/>
      <c r="OI60" s="79"/>
      <c r="OJ60" s="79"/>
      <c r="OK60" s="79"/>
      <c r="OL60" s="79"/>
      <c r="OM60" s="79"/>
      <c r="ON60" s="79"/>
      <c r="OO60" s="79"/>
      <c r="OP60" s="79"/>
      <c r="OQ60" s="79"/>
      <c r="OR60" s="79"/>
      <c r="OS60" s="79"/>
      <c r="OT60" s="79"/>
      <c r="OU60" s="79"/>
      <c r="OV60" s="79"/>
      <c r="OW60" s="79"/>
      <c r="OX60" s="79"/>
      <c r="OY60" s="79"/>
      <c r="OZ60" s="79"/>
      <c r="PA60" s="79"/>
      <c r="PB60" s="79"/>
      <c r="PC60" s="79"/>
      <c r="PD60" s="79"/>
      <c r="PE60" s="79"/>
      <c r="PF60" s="79"/>
      <c r="PG60" s="79"/>
      <c r="PH60" s="79"/>
      <c r="PI60" s="79"/>
      <c r="PJ60" s="79"/>
      <c r="PK60" s="79"/>
      <c r="PL60" s="79"/>
      <c r="PM60" s="79"/>
      <c r="PN60" s="79"/>
      <c r="PO60" s="79"/>
      <c r="PP60" s="79"/>
      <c r="PQ60" s="79"/>
      <c r="PR60" s="79"/>
      <c r="PS60" s="79"/>
      <c r="PT60" s="79"/>
      <c r="PU60" s="79"/>
      <c r="PV60" s="79"/>
      <c r="PW60" s="79"/>
      <c r="PX60" s="79"/>
      <c r="PY60" s="79"/>
      <c r="PZ60" s="79"/>
      <c r="QA60" s="79"/>
      <c r="QB60" s="79"/>
      <c r="QC60" s="79"/>
      <c r="QD60" s="79"/>
      <c r="QE60" s="79"/>
      <c r="QF60" s="79"/>
      <c r="QG60" s="79"/>
      <c r="QH60" s="79"/>
      <c r="QI60" s="79"/>
      <c r="QJ60" s="79"/>
      <c r="QK60" s="79"/>
      <c r="QL60" s="79"/>
      <c r="QM60" s="79"/>
      <c r="QN60" s="79"/>
      <c r="QO60" s="79"/>
      <c r="QP60" s="79"/>
      <c r="QQ60" s="79"/>
      <c r="QR60" s="79"/>
      <c r="QS60" s="79"/>
      <c r="QT60" s="79"/>
      <c r="QU60" s="79"/>
      <c r="QV60" s="79"/>
      <c r="QW60" s="79"/>
      <c r="QX60" s="79"/>
      <c r="QY60" s="79"/>
      <c r="QZ60" s="79"/>
      <c r="RA60" s="79"/>
      <c r="RB60" s="79"/>
      <c r="RC60" s="79"/>
      <c r="RD60" s="79"/>
      <c r="RE60" s="79"/>
      <c r="RF60" s="79"/>
      <c r="RG60" s="79"/>
      <c r="RH60" s="79"/>
      <c r="RI60" s="79"/>
      <c r="RJ60" s="79"/>
      <c r="RK60" s="79"/>
      <c r="RL60" s="79"/>
      <c r="RM60" s="79"/>
      <c r="RN60" s="79"/>
      <c r="RO60" s="79"/>
      <c r="RP60" s="79"/>
      <c r="RQ60" s="79"/>
      <c r="RR60" s="79"/>
      <c r="RS60" s="79"/>
      <c r="RT60" s="79"/>
      <c r="RU60" s="79"/>
      <c r="RV60" s="79"/>
      <c r="RW60" s="79"/>
      <c r="RX60" s="79"/>
      <c r="RY60" s="79"/>
      <c r="RZ60" s="79"/>
      <c r="SA60" s="79"/>
      <c r="SB60" s="79"/>
      <c r="SC60" s="79"/>
      <c r="SD60" s="79"/>
      <c r="SE60" s="79"/>
      <c r="SF60" s="79"/>
      <c r="SG60" s="79"/>
      <c r="SH60" s="79"/>
      <c r="SI60" s="79"/>
      <c r="SJ60" s="79"/>
      <c r="SK60" s="79"/>
      <c r="SL60" s="79"/>
      <c r="SM60" s="79"/>
      <c r="SN60" s="79"/>
      <c r="SO60" s="79"/>
      <c r="SP60" s="79"/>
      <c r="SQ60" s="79"/>
      <c r="SR60" s="79"/>
      <c r="SS60" s="79"/>
      <c r="ST60" s="79"/>
      <c r="SU60" s="79"/>
      <c r="SV60" s="79"/>
      <c r="SW60" s="79"/>
      <c r="SX60" s="79"/>
      <c r="SY60" s="79"/>
      <c r="SZ60" s="79"/>
      <c r="TA60" s="79"/>
      <c r="TB60" s="79"/>
      <c r="TC60" s="79"/>
      <c r="TD60" s="79"/>
      <c r="TE60" s="79"/>
      <c r="TF60" s="79"/>
      <c r="TG60" s="79"/>
      <c r="TH60" s="79"/>
      <c r="TI60" s="79"/>
      <c r="TJ60" s="79"/>
      <c r="TK60" s="79"/>
      <c r="TL60" s="79"/>
      <c r="TM60" s="79"/>
      <c r="TN60" s="79"/>
      <c r="TO60" s="79"/>
      <c r="TP60" s="79"/>
      <c r="TQ60" s="79"/>
      <c r="TR60" s="79"/>
      <c r="TS60" s="79"/>
      <c r="TT60" s="79"/>
      <c r="TU60" s="79"/>
      <c r="TV60" s="79"/>
      <c r="TW60" s="79"/>
      <c r="TX60" s="79"/>
      <c r="TY60" s="79"/>
      <c r="TZ60" s="79"/>
      <c r="UA60" s="79"/>
      <c r="UB60" s="79"/>
      <c r="UC60" s="79"/>
      <c r="UD60" s="79"/>
      <c r="UE60" s="79"/>
      <c r="UF60" s="79"/>
      <c r="UG60" s="79"/>
      <c r="UH60" s="79"/>
      <c r="UI60" s="79"/>
      <c r="UJ60" s="79"/>
      <c r="UK60" s="79"/>
      <c r="UL60" s="79"/>
      <c r="UM60" s="79"/>
      <c r="UN60" s="79"/>
      <c r="UO60" s="79"/>
      <c r="UP60" s="79"/>
      <c r="UQ60" s="79"/>
      <c r="UR60" s="79"/>
      <c r="US60" s="79"/>
      <c r="UT60" s="79"/>
      <c r="UU60" s="79"/>
      <c r="UV60" s="79"/>
      <c r="UW60" s="79"/>
      <c r="UX60" s="79"/>
      <c r="UY60" s="79"/>
      <c r="UZ60" s="79"/>
      <c r="VA60" s="79"/>
      <c r="VB60" s="79"/>
      <c r="VC60" s="79"/>
      <c r="VD60" s="79"/>
      <c r="VE60" s="79"/>
      <c r="VF60" s="79"/>
      <c r="VG60" s="79"/>
      <c r="VH60" s="79"/>
      <c r="VI60" s="79"/>
      <c r="VJ60" s="79"/>
      <c r="VK60" s="79"/>
      <c r="VL60" s="79"/>
      <c r="VM60" s="79"/>
      <c r="VN60" s="79"/>
      <c r="VO60" s="79"/>
      <c r="VP60" s="79"/>
      <c r="VQ60" s="79"/>
      <c r="VR60" s="79"/>
      <c r="VS60" s="79"/>
      <c r="VT60" s="79"/>
      <c r="VU60" s="79"/>
      <c r="VV60" s="79"/>
      <c r="VW60" s="79"/>
      <c r="VX60" s="79"/>
      <c r="VY60" s="79"/>
      <c r="VZ60" s="79"/>
      <c r="WA60" s="79"/>
      <c r="WB60" s="79"/>
      <c r="WC60" s="79"/>
      <c r="WD60" s="79"/>
      <c r="WE60" s="79"/>
      <c r="WF60" s="79"/>
      <c r="WG60" s="79"/>
      <c r="WH60" s="79"/>
      <c r="WI60" s="79"/>
      <c r="WJ60" s="79"/>
      <c r="WK60" s="79"/>
      <c r="WL60" s="79"/>
      <c r="WM60" s="79"/>
      <c r="WN60" s="79"/>
      <c r="WO60" s="79"/>
      <c r="WP60" s="79"/>
      <c r="WQ60" s="79"/>
      <c r="WR60" s="79"/>
      <c r="WS60" s="79"/>
      <c r="WT60" s="79"/>
      <c r="WU60" s="79"/>
      <c r="WV60" s="79"/>
      <c r="WW60" s="79"/>
      <c r="WX60" s="79"/>
      <c r="WY60" s="79"/>
      <c r="WZ60" s="79"/>
      <c r="XA60" s="79"/>
      <c r="XB60" s="79"/>
      <c r="XC60" s="79"/>
      <c r="XD60" s="79"/>
      <c r="XE60" s="79"/>
      <c r="XF60" s="79"/>
      <c r="XG60" s="79"/>
      <c r="XH60" s="79"/>
      <c r="XI60" s="79"/>
      <c r="XJ60" s="79"/>
      <c r="XK60" s="79"/>
      <c r="XL60" s="79"/>
      <c r="XM60" s="79"/>
      <c r="XN60" s="79"/>
      <c r="XO60" s="79"/>
      <c r="XP60" s="79"/>
      <c r="XQ60" s="79"/>
      <c r="XR60" s="79"/>
      <c r="XS60" s="79"/>
      <c r="XT60" s="79"/>
      <c r="XU60" s="79"/>
      <c r="XV60" s="79"/>
      <c r="XW60" s="79"/>
      <c r="XX60" s="79"/>
      <c r="XY60" s="79"/>
      <c r="XZ60" s="79"/>
      <c r="YA60" s="79"/>
      <c r="YB60" s="79"/>
      <c r="YC60" s="79"/>
      <c r="YD60" s="79"/>
      <c r="YE60" s="79"/>
      <c r="YF60" s="79"/>
      <c r="YG60" s="79"/>
      <c r="YH60" s="79"/>
      <c r="YI60" s="79"/>
      <c r="YJ60" s="79"/>
      <c r="YK60" s="79"/>
      <c r="YL60" s="79"/>
      <c r="YM60" s="79"/>
      <c r="YN60" s="79"/>
      <c r="YO60" s="79"/>
      <c r="YP60" s="79"/>
      <c r="YQ60" s="79"/>
      <c r="YR60" s="79"/>
      <c r="YS60" s="79"/>
      <c r="YT60" s="79"/>
      <c r="YU60" s="79"/>
      <c r="YV60" s="79"/>
      <c r="YW60" s="79"/>
      <c r="YX60" s="79"/>
      <c r="YY60" s="79"/>
      <c r="YZ60" s="79"/>
      <c r="ZA60" s="79"/>
      <c r="ZB60" s="79"/>
      <c r="ZC60" s="79"/>
      <c r="ZD60" s="79"/>
      <c r="ZE60" s="79"/>
      <c r="ZF60" s="79"/>
      <c r="ZG60" s="79"/>
      <c r="ZH60" s="79"/>
      <c r="ZI60" s="79"/>
      <c r="ZJ60" s="79"/>
      <c r="ZK60" s="79"/>
      <c r="ZL60" s="79"/>
      <c r="ZM60" s="79"/>
      <c r="ZN60" s="79"/>
      <c r="ZO60" s="79"/>
      <c r="ZP60" s="79"/>
      <c r="ZQ60" s="79"/>
      <c r="ZR60" s="79"/>
      <c r="ZS60" s="79"/>
      <c r="ZT60" s="79"/>
      <c r="ZU60" s="79"/>
      <c r="ZV60" s="79"/>
      <c r="ZW60" s="79"/>
      <c r="ZX60" s="79"/>
      <c r="ZY60" s="79"/>
      <c r="ZZ60" s="79"/>
      <c r="AAA60" s="79"/>
      <c r="AAB60" s="79"/>
      <c r="AAC60" s="79"/>
      <c r="AAD60" s="79"/>
      <c r="AAE60" s="79"/>
      <c r="AAF60" s="79"/>
      <c r="AAG60" s="79"/>
      <c r="AAH60" s="79"/>
      <c r="AAI60" s="79"/>
      <c r="AAJ60" s="79"/>
      <c r="AAK60" s="79"/>
      <c r="AAL60" s="79"/>
      <c r="AAM60" s="79"/>
      <c r="AAN60" s="79"/>
      <c r="AAO60" s="79"/>
      <c r="AAP60" s="79"/>
      <c r="AAQ60" s="79"/>
      <c r="AAR60" s="79"/>
      <c r="AAS60" s="79"/>
      <c r="AAT60" s="79"/>
      <c r="AAU60" s="79"/>
      <c r="AAV60" s="79"/>
      <c r="AAW60" s="79"/>
      <c r="AAX60" s="79"/>
      <c r="AAY60" s="79"/>
      <c r="AAZ60" s="79"/>
      <c r="ABA60" s="79"/>
      <c r="ABB60" s="79"/>
      <c r="ABC60" s="79"/>
      <c r="ABD60" s="79"/>
      <c r="ABE60" s="79"/>
      <c r="ABF60" s="79"/>
      <c r="ABG60" s="79"/>
      <c r="ABH60" s="79"/>
      <c r="ABI60" s="79"/>
      <c r="ABJ60" s="79"/>
      <c r="ABK60" s="79"/>
      <c r="ABL60" s="79"/>
      <c r="ABM60" s="79"/>
      <c r="ABN60" s="79"/>
      <c r="ABO60" s="79"/>
      <c r="ABP60" s="79"/>
      <c r="ABQ60" s="79"/>
      <c r="ABR60" s="79"/>
      <c r="ABS60" s="79"/>
      <c r="ABT60" s="79"/>
      <c r="ABU60" s="79"/>
      <c r="ABV60" s="79"/>
      <c r="ABW60" s="79"/>
      <c r="ABX60" s="79"/>
      <c r="ABY60" s="79"/>
      <c r="ABZ60" s="79"/>
      <c r="ACA60" s="79"/>
      <c r="ACB60" s="79"/>
      <c r="ACC60" s="79"/>
      <c r="ACD60" s="79"/>
      <c r="ACE60" s="79"/>
      <c r="ACF60" s="79"/>
      <c r="ACG60" s="79"/>
      <c r="ACH60" s="79"/>
      <c r="ACI60" s="79"/>
      <c r="ACJ60" s="79"/>
      <c r="ACK60" s="79"/>
      <c r="ACL60" s="79"/>
      <c r="ACM60" s="79"/>
      <c r="ACN60" s="79"/>
      <c r="ACO60" s="79"/>
      <c r="ACP60" s="79"/>
      <c r="ACQ60" s="79"/>
      <c r="ACR60" s="79"/>
      <c r="ACS60" s="79"/>
      <c r="ACT60" s="79"/>
      <c r="ACU60" s="79"/>
      <c r="ACV60" s="79"/>
      <c r="ACW60" s="79"/>
      <c r="ACX60" s="79"/>
    </row>
    <row r="61" spans="1:778" ht="24" x14ac:dyDescent="0.3">
      <c r="A61" s="86">
        <v>53</v>
      </c>
      <c r="B61" s="668" t="s">
        <v>763</v>
      </c>
      <c r="C61" s="274" t="s">
        <v>761</v>
      </c>
      <c r="D61" s="274" t="s">
        <v>627</v>
      </c>
      <c r="E61" s="275">
        <v>10</v>
      </c>
      <c r="F61" s="276" t="s">
        <v>358</v>
      </c>
      <c r="G61" s="286">
        <v>3.18</v>
      </c>
      <c r="H61" s="289"/>
      <c r="I61" s="78"/>
      <c r="J61" s="276">
        <f>'Ocorrências Mensais - FAT'!G84</f>
        <v>3.3333333333333335</v>
      </c>
      <c r="K61" s="279">
        <f t="shared" si="1"/>
        <v>10.600000000000001</v>
      </c>
      <c r="L61" s="79"/>
      <c r="M61" s="287">
        <v>6.5</v>
      </c>
      <c r="N61" s="281">
        <f>ROUND(IF(Dados!$J$62="SIM",M61*Dados!$N$62,M61),2)</f>
        <v>6.5</v>
      </c>
      <c r="O61" s="281">
        <f>ROUND(IF(Dados!$J$63="SIM",N61*Dados!$N$63,N61),2)</f>
        <v>6.5</v>
      </c>
      <c r="P61" s="281">
        <f>ROUND(IF(Dados!$J$64="SIM",O61*Dados!$N$64,O61),2)</f>
        <v>6.5</v>
      </c>
      <c r="Q61" s="281">
        <f>ROUND(IF(Dados!$J$65="SIM",P61*Dados!$N$65,P61),2)</f>
        <v>6.5</v>
      </c>
      <c r="R61" s="282">
        <f>ROUND(IF(Dados!$J$66="SIM",Q61*Dados!$N$66,Q61),2)</f>
        <v>6.5</v>
      </c>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c r="JE61" s="79"/>
      <c r="JF61" s="79"/>
      <c r="JG61" s="79"/>
      <c r="JH61" s="79"/>
      <c r="JI61" s="79"/>
      <c r="JJ61" s="79"/>
      <c r="JK61" s="79"/>
      <c r="JL61" s="79"/>
      <c r="JM61" s="79"/>
      <c r="JN61" s="79"/>
      <c r="JO61" s="79"/>
      <c r="JP61" s="79"/>
      <c r="JQ61" s="79"/>
      <c r="JR61" s="79"/>
      <c r="JS61" s="79"/>
      <c r="JT61" s="79"/>
      <c r="JU61" s="79"/>
      <c r="JV61" s="79"/>
      <c r="JW61" s="79"/>
      <c r="JX61" s="79"/>
      <c r="JY61" s="79"/>
      <c r="JZ61" s="79"/>
      <c r="KA61" s="79"/>
      <c r="KB61" s="79"/>
      <c r="KC61" s="79"/>
      <c r="KD61" s="79"/>
      <c r="KE61" s="79"/>
      <c r="KF61" s="79"/>
      <c r="KG61" s="79"/>
      <c r="KH61" s="79"/>
      <c r="KI61" s="79"/>
      <c r="KJ61" s="79"/>
      <c r="KK61" s="79"/>
      <c r="KL61" s="79"/>
      <c r="KM61" s="79"/>
      <c r="KN61" s="79"/>
      <c r="KO61" s="79"/>
      <c r="KP61" s="79"/>
      <c r="KQ61" s="79"/>
      <c r="KR61" s="79"/>
      <c r="KS61" s="79"/>
      <c r="KT61" s="79"/>
      <c r="KU61" s="79"/>
      <c r="KV61" s="79"/>
      <c r="KW61" s="79"/>
      <c r="KX61" s="79"/>
      <c r="KY61" s="79"/>
      <c r="KZ61" s="79"/>
      <c r="LA61" s="79"/>
      <c r="LB61" s="79"/>
      <c r="LC61" s="79"/>
      <c r="LD61" s="79"/>
      <c r="LE61" s="79"/>
      <c r="LF61" s="79"/>
      <c r="LG61" s="79"/>
      <c r="LH61" s="79"/>
      <c r="LI61" s="79"/>
      <c r="LJ61" s="79"/>
      <c r="LK61" s="79"/>
      <c r="LL61" s="79"/>
      <c r="LM61" s="79"/>
      <c r="LN61" s="79"/>
      <c r="LO61" s="79"/>
      <c r="LP61" s="79"/>
      <c r="LQ61" s="79"/>
      <c r="LR61" s="79"/>
      <c r="LS61" s="79"/>
      <c r="LT61" s="79"/>
      <c r="LU61" s="79"/>
      <c r="LV61" s="79"/>
      <c r="LW61" s="79"/>
      <c r="LX61" s="79"/>
      <c r="LY61" s="79"/>
      <c r="LZ61" s="79"/>
      <c r="MA61" s="79"/>
      <c r="MB61" s="79"/>
      <c r="MC61" s="79"/>
      <c r="MD61" s="79"/>
      <c r="ME61" s="79"/>
      <c r="MF61" s="79"/>
      <c r="MG61" s="79"/>
      <c r="MH61" s="79"/>
      <c r="MI61" s="79"/>
      <c r="MJ61" s="79"/>
      <c r="MK61" s="79"/>
      <c r="ML61" s="79"/>
      <c r="MM61" s="79"/>
      <c r="MN61" s="79"/>
      <c r="MO61" s="79"/>
      <c r="MP61" s="79"/>
      <c r="MQ61" s="79"/>
      <c r="MR61" s="79"/>
      <c r="MS61" s="79"/>
      <c r="MT61" s="79"/>
      <c r="MU61" s="79"/>
      <c r="MV61" s="79"/>
      <c r="MW61" s="79"/>
      <c r="MX61" s="79"/>
      <c r="MY61" s="79"/>
      <c r="MZ61" s="79"/>
      <c r="NA61" s="79"/>
      <c r="NB61" s="79"/>
      <c r="NC61" s="79"/>
      <c r="ND61" s="79"/>
      <c r="NE61" s="79"/>
      <c r="NF61" s="79"/>
      <c r="NG61" s="79"/>
      <c r="NH61" s="79"/>
      <c r="NI61" s="79"/>
      <c r="NJ61" s="79"/>
      <c r="NK61" s="79"/>
      <c r="NL61" s="79"/>
      <c r="NM61" s="79"/>
      <c r="NN61" s="79"/>
      <c r="NO61" s="79"/>
      <c r="NP61" s="79"/>
      <c r="NQ61" s="79"/>
      <c r="NR61" s="79"/>
      <c r="NS61" s="79"/>
      <c r="NT61" s="79"/>
      <c r="NU61" s="79"/>
      <c r="NV61" s="79"/>
      <c r="NW61" s="79"/>
      <c r="NX61" s="79"/>
      <c r="NY61" s="79"/>
      <c r="NZ61" s="79"/>
      <c r="OA61" s="79"/>
      <c r="OB61" s="79"/>
      <c r="OC61" s="79"/>
      <c r="OD61" s="79"/>
      <c r="OE61" s="79"/>
      <c r="OF61" s="79"/>
      <c r="OG61" s="79"/>
      <c r="OH61" s="79"/>
      <c r="OI61" s="79"/>
      <c r="OJ61" s="79"/>
      <c r="OK61" s="79"/>
      <c r="OL61" s="79"/>
      <c r="OM61" s="79"/>
      <c r="ON61" s="79"/>
      <c r="OO61" s="79"/>
      <c r="OP61" s="79"/>
      <c r="OQ61" s="79"/>
      <c r="OR61" s="79"/>
      <c r="OS61" s="79"/>
      <c r="OT61" s="79"/>
      <c r="OU61" s="79"/>
      <c r="OV61" s="79"/>
      <c r="OW61" s="79"/>
      <c r="OX61" s="79"/>
      <c r="OY61" s="79"/>
      <c r="OZ61" s="79"/>
      <c r="PA61" s="79"/>
      <c r="PB61" s="79"/>
      <c r="PC61" s="79"/>
      <c r="PD61" s="79"/>
      <c r="PE61" s="79"/>
      <c r="PF61" s="79"/>
      <c r="PG61" s="79"/>
      <c r="PH61" s="79"/>
      <c r="PI61" s="79"/>
      <c r="PJ61" s="79"/>
      <c r="PK61" s="79"/>
      <c r="PL61" s="79"/>
      <c r="PM61" s="79"/>
      <c r="PN61" s="79"/>
      <c r="PO61" s="79"/>
      <c r="PP61" s="79"/>
      <c r="PQ61" s="79"/>
      <c r="PR61" s="79"/>
      <c r="PS61" s="79"/>
      <c r="PT61" s="79"/>
      <c r="PU61" s="79"/>
      <c r="PV61" s="79"/>
      <c r="PW61" s="79"/>
      <c r="PX61" s="79"/>
      <c r="PY61" s="79"/>
      <c r="PZ61" s="79"/>
      <c r="QA61" s="79"/>
      <c r="QB61" s="79"/>
      <c r="QC61" s="79"/>
      <c r="QD61" s="79"/>
      <c r="QE61" s="79"/>
      <c r="QF61" s="79"/>
      <c r="QG61" s="79"/>
      <c r="QH61" s="79"/>
      <c r="QI61" s="79"/>
      <c r="QJ61" s="79"/>
      <c r="QK61" s="79"/>
      <c r="QL61" s="79"/>
      <c r="QM61" s="79"/>
      <c r="QN61" s="79"/>
      <c r="QO61" s="79"/>
      <c r="QP61" s="79"/>
      <c r="QQ61" s="79"/>
      <c r="QR61" s="79"/>
      <c r="QS61" s="79"/>
      <c r="QT61" s="79"/>
      <c r="QU61" s="79"/>
      <c r="QV61" s="79"/>
      <c r="QW61" s="79"/>
      <c r="QX61" s="79"/>
      <c r="QY61" s="79"/>
      <c r="QZ61" s="79"/>
      <c r="RA61" s="79"/>
      <c r="RB61" s="79"/>
      <c r="RC61" s="79"/>
      <c r="RD61" s="79"/>
      <c r="RE61" s="79"/>
      <c r="RF61" s="79"/>
      <c r="RG61" s="79"/>
      <c r="RH61" s="79"/>
      <c r="RI61" s="79"/>
      <c r="RJ61" s="79"/>
      <c r="RK61" s="79"/>
      <c r="RL61" s="79"/>
      <c r="RM61" s="79"/>
      <c r="RN61" s="79"/>
      <c r="RO61" s="79"/>
      <c r="RP61" s="79"/>
      <c r="RQ61" s="79"/>
      <c r="RR61" s="79"/>
      <c r="RS61" s="79"/>
      <c r="RT61" s="79"/>
      <c r="RU61" s="79"/>
      <c r="RV61" s="79"/>
      <c r="RW61" s="79"/>
      <c r="RX61" s="79"/>
      <c r="RY61" s="79"/>
      <c r="RZ61" s="79"/>
      <c r="SA61" s="79"/>
      <c r="SB61" s="79"/>
      <c r="SC61" s="79"/>
      <c r="SD61" s="79"/>
      <c r="SE61" s="79"/>
      <c r="SF61" s="79"/>
      <c r="SG61" s="79"/>
      <c r="SH61" s="79"/>
      <c r="SI61" s="79"/>
      <c r="SJ61" s="79"/>
      <c r="SK61" s="79"/>
      <c r="SL61" s="79"/>
      <c r="SM61" s="79"/>
      <c r="SN61" s="79"/>
      <c r="SO61" s="79"/>
      <c r="SP61" s="79"/>
      <c r="SQ61" s="79"/>
      <c r="SR61" s="79"/>
      <c r="SS61" s="79"/>
      <c r="ST61" s="79"/>
      <c r="SU61" s="79"/>
      <c r="SV61" s="79"/>
      <c r="SW61" s="79"/>
      <c r="SX61" s="79"/>
      <c r="SY61" s="79"/>
      <c r="SZ61" s="79"/>
      <c r="TA61" s="79"/>
      <c r="TB61" s="79"/>
      <c r="TC61" s="79"/>
      <c r="TD61" s="79"/>
      <c r="TE61" s="79"/>
      <c r="TF61" s="79"/>
      <c r="TG61" s="79"/>
      <c r="TH61" s="79"/>
      <c r="TI61" s="79"/>
      <c r="TJ61" s="79"/>
      <c r="TK61" s="79"/>
      <c r="TL61" s="79"/>
      <c r="TM61" s="79"/>
      <c r="TN61" s="79"/>
      <c r="TO61" s="79"/>
      <c r="TP61" s="79"/>
      <c r="TQ61" s="79"/>
      <c r="TR61" s="79"/>
      <c r="TS61" s="79"/>
      <c r="TT61" s="79"/>
      <c r="TU61" s="79"/>
      <c r="TV61" s="79"/>
      <c r="TW61" s="79"/>
      <c r="TX61" s="79"/>
      <c r="TY61" s="79"/>
      <c r="TZ61" s="79"/>
      <c r="UA61" s="79"/>
      <c r="UB61" s="79"/>
      <c r="UC61" s="79"/>
      <c r="UD61" s="79"/>
      <c r="UE61" s="79"/>
      <c r="UF61" s="79"/>
      <c r="UG61" s="79"/>
      <c r="UH61" s="79"/>
      <c r="UI61" s="79"/>
      <c r="UJ61" s="79"/>
      <c r="UK61" s="79"/>
      <c r="UL61" s="79"/>
      <c r="UM61" s="79"/>
      <c r="UN61" s="79"/>
      <c r="UO61" s="79"/>
      <c r="UP61" s="79"/>
      <c r="UQ61" s="79"/>
      <c r="UR61" s="79"/>
      <c r="US61" s="79"/>
      <c r="UT61" s="79"/>
      <c r="UU61" s="79"/>
      <c r="UV61" s="79"/>
      <c r="UW61" s="79"/>
      <c r="UX61" s="79"/>
      <c r="UY61" s="79"/>
      <c r="UZ61" s="79"/>
      <c r="VA61" s="79"/>
      <c r="VB61" s="79"/>
      <c r="VC61" s="79"/>
      <c r="VD61" s="79"/>
      <c r="VE61" s="79"/>
      <c r="VF61" s="79"/>
      <c r="VG61" s="79"/>
      <c r="VH61" s="79"/>
      <c r="VI61" s="79"/>
      <c r="VJ61" s="79"/>
      <c r="VK61" s="79"/>
      <c r="VL61" s="79"/>
      <c r="VM61" s="79"/>
      <c r="VN61" s="79"/>
      <c r="VO61" s="79"/>
      <c r="VP61" s="79"/>
      <c r="VQ61" s="79"/>
      <c r="VR61" s="79"/>
      <c r="VS61" s="79"/>
      <c r="VT61" s="79"/>
      <c r="VU61" s="79"/>
      <c r="VV61" s="79"/>
      <c r="VW61" s="79"/>
      <c r="VX61" s="79"/>
      <c r="VY61" s="79"/>
      <c r="VZ61" s="79"/>
      <c r="WA61" s="79"/>
      <c r="WB61" s="79"/>
      <c r="WC61" s="79"/>
      <c r="WD61" s="79"/>
      <c r="WE61" s="79"/>
      <c r="WF61" s="79"/>
      <c r="WG61" s="79"/>
      <c r="WH61" s="79"/>
      <c r="WI61" s="79"/>
      <c r="WJ61" s="79"/>
      <c r="WK61" s="79"/>
      <c r="WL61" s="79"/>
      <c r="WM61" s="79"/>
      <c r="WN61" s="79"/>
      <c r="WO61" s="79"/>
      <c r="WP61" s="79"/>
      <c r="WQ61" s="79"/>
      <c r="WR61" s="79"/>
      <c r="WS61" s="79"/>
      <c r="WT61" s="79"/>
      <c r="WU61" s="79"/>
      <c r="WV61" s="79"/>
      <c r="WW61" s="79"/>
      <c r="WX61" s="79"/>
      <c r="WY61" s="79"/>
      <c r="WZ61" s="79"/>
      <c r="XA61" s="79"/>
      <c r="XB61" s="79"/>
      <c r="XC61" s="79"/>
      <c r="XD61" s="79"/>
      <c r="XE61" s="79"/>
      <c r="XF61" s="79"/>
      <c r="XG61" s="79"/>
      <c r="XH61" s="79"/>
      <c r="XI61" s="79"/>
      <c r="XJ61" s="79"/>
      <c r="XK61" s="79"/>
      <c r="XL61" s="79"/>
      <c r="XM61" s="79"/>
      <c r="XN61" s="79"/>
      <c r="XO61" s="79"/>
      <c r="XP61" s="79"/>
      <c r="XQ61" s="79"/>
      <c r="XR61" s="79"/>
      <c r="XS61" s="79"/>
      <c r="XT61" s="79"/>
      <c r="XU61" s="79"/>
      <c r="XV61" s="79"/>
      <c r="XW61" s="79"/>
      <c r="XX61" s="79"/>
      <c r="XY61" s="79"/>
      <c r="XZ61" s="79"/>
      <c r="YA61" s="79"/>
      <c r="YB61" s="79"/>
      <c r="YC61" s="79"/>
      <c r="YD61" s="79"/>
      <c r="YE61" s="79"/>
      <c r="YF61" s="79"/>
      <c r="YG61" s="79"/>
      <c r="YH61" s="79"/>
      <c r="YI61" s="79"/>
      <c r="YJ61" s="79"/>
      <c r="YK61" s="79"/>
      <c r="YL61" s="79"/>
      <c r="YM61" s="79"/>
      <c r="YN61" s="79"/>
      <c r="YO61" s="79"/>
      <c r="YP61" s="79"/>
      <c r="YQ61" s="79"/>
      <c r="YR61" s="79"/>
      <c r="YS61" s="79"/>
      <c r="YT61" s="79"/>
      <c r="YU61" s="79"/>
      <c r="YV61" s="79"/>
      <c r="YW61" s="79"/>
      <c r="YX61" s="79"/>
      <c r="YY61" s="79"/>
      <c r="YZ61" s="79"/>
      <c r="ZA61" s="79"/>
      <c r="ZB61" s="79"/>
      <c r="ZC61" s="79"/>
      <c r="ZD61" s="79"/>
      <c r="ZE61" s="79"/>
      <c r="ZF61" s="79"/>
      <c r="ZG61" s="79"/>
      <c r="ZH61" s="79"/>
      <c r="ZI61" s="79"/>
      <c r="ZJ61" s="79"/>
      <c r="ZK61" s="79"/>
      <c r="ZL61" s="79"/>
      <c r="ZM61" s="79"/>
      <c r="ZN61" s="79"/>
      <c r="ZO61" s="79"/>
      <c r="ZP61" s="79"/>
      <c r="ZQ61" s="79"/>
      <c r="ZR61" s="79"/>
      <c r="ZS61" s="79"/>
      <c r="ZT61" s="79"/>
      <c r="ZU61" s="79"/>
      <c r="ZV61" s="79"/>
      <c r="ZW61" s="79"/>
      <c r="ZX61" s="79"/>
      <c r="ZY61" s="79"/>
      <c r="ZZ61" s="79"/>
      <c r="AAA61" s="79"/>
      <c r="AAB61" s="79"/>
      <c r="AAC61" s="79"/>
      <c r="AAD61" s="79"/>
      <c r="AAE61" s="79"/>
      <c r="AAF61" s="79"/>
      <c r="AAG61" s="79"/>
      <c r="AAH61" s="79"/>
      <c r="AAI61" s="79"/>
      <c r="AAJ61" s="79"/>
      <c r="AAK61" s="79"/>
      <c r="AAL61" s="79"/>
      <c r="AAM61" s="79"/>
      <c r="AAN61" s="79"/>
      <c r="AAO61" s="79"/>
      <c r="AAP61" s="79"/>
      <c r="AAQ61" s="79"/>
      <c r="AAR61" s="79"/>
      <c r="AAS61" s="79"/>
      <c r="AAT61" s="79"/>
      <c r="AAU61" s="79"/>
      <c r="AAV61" s="79"/>
      <c r="AAW61" s="79"/>
      <c r="AAX61" s="79"/>
      <c r="AAY61" s="79"/>
      <c r="AAZ61" s="79"/>
      <c r="ABA61" s="79"/>
      <c r="ABB61" s="79"/>
      <c r="ABC61" s="79"/>
      <c r="ABD61" s="79"/>
      <c r="ABE61" s="79"/>
      <c r="ABF61" s="79"/>
      <c r="ABG61" s="79"/>
      <c r="ABH61" s="79"/>
      <c r="ABI61" s="79"/>
      <c r="ABJ61" s="79"/>
      <c r="ABK61" s="79"/>
      <c r="ABL61" s="79"/>
      <c r="ABM61" s="79"/>
      <c r="ABN61" s="79"/>
      <c r="ABO61" s="79"/>
      <c r="ABP61" s="79"/>
      <c r="ABQ61" s="79"/>
      <c r="ABR61" s="79"/>
      <c r="ABS61" s="79"/>
      <c r="ABT61" s="79"/>
      <c r="ABU61" s="79"/>
      <c r="ABV61" s="79"/>
      <c r="ABW61" s="79"/>
      <c r="ABX61" s="79"/>
      <c r="ABY61" s="79"/>
      <c r="ABZ61" s="79"/>
      <c r="ACA61" s="79"/>
      <c r="ACB61" s="79"/>
      <c r="ACC61" s="79"/>
      <c r="ACD61" s="79"/>
      <c r="ACE61" s="79"/>
      <c r="ACF61" s="79"/>
      <c r="ACG61" s="79"/>
      <c r="ACH61" s="79"/>
      <c r="ACI61" s="79"/>
      <c r="ACJ61" s="79"/>
      <c r="ACK61" s="79"/>
      <c r="ACL61" s="79"/>
      <c r="ACM61" s="79"/>
      <c r="ACN61" s="79"/>
      <c r="ACO61" s="79"/>
      <c r="ACP61" s="79"/>
      <c r="ACQ61" s="79"/>
      <c r="ACR61" s="79"/>
      <c r="ACS61" s="79"/>
      <c r="ACT61" s="79"/>
      <c r="ACU61" s="79"/>
      <c r="ACV61" s="79"/>
      <c r="ACW61" s="79"/>
      <c r="ACX61" s="79"/>
    </row>
    <row r="62" spans="1:778" ht="16.2" thickBot="1" x14ac:dyDescent="0.35">
      <c r="A62" s="793" t="s">
        <v>115</v>
      </c>
      <c r="B62" s="793"/>
      <c r="C62" s="793"/>
      <c r="D62" s="793"/>
      <c r="E62" s="793"/>
      <c r="F62" s="793"/>
      <c r="G62" s="793"/>
      <c r="H62" s="291"/>
      <c r="I62" s="96"/>
      <c r="J62" s="292" t="s">
        <v>167</v>
      </c>
      <c r="K62" s="293">
        <f>SUM(K9:K61)</f>
        <v>11188.30916666667</v>
      </c>
    </row>
    <row r="63" spans="1:778" ht="15" thickBot="1" x14ac:dyDescent="0.35">
      <c r="A63" s="294"/>
      <c r="H63" s="295"/>
    </row>
    <row r="64" spans="1:778" ht="18.600000000000001" thickBot="1" x14ac:dyDescent="0.35">
      <c r="A64" s="794" t="s">
        <v>668</v>
      </c>
      <c r="B64" s="794"/>
      <c r="C64" s="794"/>
      <c r="D64" s="794"/>
      <c r="E64" s="794"/>
      <c r="F64" s="794"/>
      <c r="G64" s="794"/>
      <c r="H64" s="794"/>
      <c r="I64" s="79"/>
      <c r="J64" s="79"/>
    </row>
    <row r="65" spans="1:18" x14ac:dyDescent="0.3">
      <c r="A65" s="296"/>
      <c r="B65" s="78"/>
      <c r="C65" s="297"/>
      <c r="D65" s="297"/>
      <c r="E65" s="78"/>
      <c r="F65" s="78"/>
      <c r="G65" s="78"/>
      <c r="H65" s="298"/>
      <c r="I65" s="79"/>
      <c r="J65" s="79"/>
    </row>
    <row r="66" spans="1:18" ht="15" customHeight="1" x14ac:dyDescent="0.3">
      <c r="A66" s="795" t="s">
        <v>103</v>
      </c>
      <c r="B66" s="796" t="s">
        <v>667</v>
      </c>
      <c r="C66" s="796"/>
      <c r="D66" s="796"/>
      <c r="E66" s="269"/>
      <c r="F66" s="269"/>
      <c r="G66" s="269"/>
      <c r="H66" s="797" t="s">
        <v>349</v>
      </c>
      <c r="I66" s="79"/>
      <c r="J66" s="792" t="s">
        <v>350</v>
      </c>
      <c r="K66" s="792"/>
      <c r="M66" s="700" t="s">
        <v>351</v>
      </c>
      <c r="N66" s="700"/>
      <c r="O66" s="700"/>
      <c r="P66" s="700"/>
      <c r="Q66" s="700"/>
      <c r="R66" s="700"/>
    </row>
    <row r="67" spans="1:18" ht="55.2" x14ac:dyDescent="0.3">
      <c r="A67" s="795"/>
      <c r="B67" s="268" t="s">
        <v>669</v>
      </c>
      <c r="C67" s="270" t="s">
        <v>107</v>
      </c>
      <c r="D67" s="270" t="s">
        <v>367</v>
      </c>
      <c r="E67" s="268" t="s">
        <v>352</v>
      </c>
      <c r="F67" s="268" t="s">
        <v>113</v>
      </c>
      <c r="G67" s="270" t="s">
        <v>353</v>
      </c>
      <c r="H67" s="797"/>
      <c r="I67" s="79"/>
      <c r="J67" s="299" t="s">
        <v>111</v>
      </c>
      <c r="K67" s="299" t="s">
        <v>110</v>
      </c>
      <c r="M67" s="273" t="s">
        <v>354</v>
      </c>
      <c r="N67" s="73" t="s">
        <v>246</v>
      </c>
      <c r="O67" s="73" t="s">
        <v>247</v>
      </c>
      <c r="P67" s="73" t="s">
        <v>248</v>
      </c>
      <c r="Q67" s="73" t="s">
        <v>249</v>
      </c>
      <c r="R67" s="84" t="s">
        <v>250</v>
      </c>
    </row>
    <row r="68" spans="1:18" ht="24" customHeight="1" x14ac:dyDescent="0.3">
      <c r="A68" s="102">
        <v>1</v>
      </c>
      <c r="B68" s="300" t="s">
        <v>546</v>
      </c>
      <c r="C68" s="301" t="s">
        <v>120</v>
      </c>
      <c r="D68" s="301" t="s">
        <v>547</v>
      </c>
      <c r="E68" s="302">
        <v>1</v>
      </c>
      <c r="F68" s="103" t="s">
        <v>357</v>
      </c>
      <c r="G68" s="277">
        <v>26.38</v>
      </c>
      <c r="H68" s="303"/>
      <c r="I68" s="79"/>
      <c r="J68" s="105">
        <f>'Ocorrências Mensais - FAT'!G93</f>
        <v>0.16666666666666666</v>
      </c>
      <c r="K68" s="279">
        <f t="shared" ref="K68:K82" si="2">G68*J68</f>
        <v>4.3966666666666665</v>
      </c>
      <c r="M68" s="304">
        <v>3.38</v>
      </c>
      <c r="N68" s="281">
        <f>ROUND(IF(Dados!$J$62="SIM",M68*Dados!$N$62,M68),2)</f>
        <v>3.38</v>
      </c>
      <c r="O68" s="281">
        <f>ROUND(IF(Dados!$J$63="SIM",N68*Dados!$N$63,N68),2)</f>
        <v>3.38</v>
      </c>
      <c r="P68" s="281">
        <f>ROUND(IF(Dados!$J$64="SIM",O68*Dados!$N$64,O68),2)</f>
        <v>3.38</v>
      </c>
      <c r="Q68" s="281">
        <f>ROUND(IF(Dados!$J$65="SIM",P68*Dados!$N$65,P68),2)</f>
        <v>3.38</v>
      </c>
      <c r="R68" s="282">
        <f>ROUND(IF(Dados!$J$66="SIM",Q68*Dados!$N$66,Q68),2)</f>
        <v>3.38</v>
      </c>
    </row>
    <row r="69" spans="1:18" ht="36" x14ac:dyDescent="0.3">
      <c r="A69" s="102">
        <v>2</v>
      </c>
      <c r="B69" s="300" t="s">
        <v>628</v>
      </c>
      <c r="C69" s="301" t="s">
        <v>120</v>
      </c>
      <c r="D69" s="301" t="s">
        <v>629</v>
      </c>
      <c r="E69" s="302">
        <v>10</v>
      </c>
      <c r="F69" s="103" t="s">
        <v>356</v>
      </c>
      <c r="G69" s="277">
        <v>2.99</v>
      </c>
      <c r="H69" s="303"/>
      <c r="I69" s="79"/>
      <c r="J69" s="105">
        <f>'Ocorrências Mensais - FAT'!G94</f>
        <v>10</v>
      </c>
      <c r="K69" s="279">
        <f t="shared" si="2"/>
        <v>29.900000000000002</v>
      </c>
      <c r="M69" s="304">
        <v>5.5</v>
      </c>
      <c r="N69" s="281">
        <f>ROUND(IF(Dados!$J$62="SIM",M69*Dados!$N$62,M69),2)</f>
        <v>5.5</v>
      </c>
      <c r="O69" s="281">
        <f>ROUND(IF(Dados!$J$63="SIM",N69*Dados!$N$63,N69),2)</f>
        <v>5.5</v>
      </c>
      <c r="P69" s="281">
        <f>ROUND(IF(Dados!$J$64="SIM",O69*Dados!$N$64,O69),2)</f>
        <v>5.5</v>
      </c>
      <c r="Q69" s="281">
        <f>ROUND(IF(Dados!$J$65="SIM",P69*Dados!$N$65,P69),2)</f>
        <v>5.5</v>
      </c>
      <c r="R69" s="282">
        <f>ROUND(IF(Dados!$J$66="SIM",Q69*Dados!$N$66,Q69),2)</f>
        <v>5.5</v>
      </c>
    </row>
    <row r="70" spans="1:18" ht="39" customHeight="1" x14ac:dyDescent="0.3">
      <c r="A70" s="102">
        <v>3</v>
      </c>
      <c r="B70" s="300" t="s">
        <v>630</v>
      </c>
      <c r="C70" s="301" t="s">
        <v>107</v>
      </c>
      <c r="D70" s="301" t="s">
        <v>631</v>
      </c>
      <c r="E70" s="302">
        <v>2</v>
      </c>
      <c r="F70" s="103" t="s">
        <v>357</v>
      </c>
      <c r="G70" s="277">
        <v>28.07</v>
      </c>
      <c r="H70" s="303"/>
      <c r="I70" s="79"/>
      <c r="J70" s="105">
        <f>'Ocorrências Mensais - FAT'!G95</f>
        <v>0.33333333333333331</v>
      </c>
      <c r="K70" s="279">
        <f t="shared" si="2"/>
        <v>9.3566666666666656</v>
      </c>
      <c r="M70" s="304">
        <v>3.2</v>
      </c>
      <c r="N70" s="281">
        <f>ROUND(IF(Dados!$J$62="SIM",M70*Dados!$N$62,M70),2)</f>
        <v>3.2</v>
      </c>
      <c r="O70" s="281">
        <f>ROUND(IF(Dados!$J$63="SIM",N70*Dados!$N$63,N70),2)</f>
        <v>3.2</v>
      </c>
      <c r="P70" s="281">
        <f>ROUND(IF(Dados!$J$64="SIM",O70*Dados!$N$64,O70),2)</f>
        <v>3.2</v>
      </c>
      <c r="Q70" s="281">
        <f>ROUND(IF(Dados!$J$65="SIM",P70*Dados!$N$65,P70),2)</f>
        <v>3.2</v>
      </c>
      <c r="R70" s="282">
        <f>ROUND(IF(Dados!$J$66="SIM",Q70*Dados!$N$66,Q70),2)</f>
        <v>3.2</v>
      </c>
    </row>
    <row r="71" spans="1:18" ht="36" x14ac:dyDescent="0.3">
      <c r="A71" s="102">
        <v>4</v>
      </c>
      <c r="B71" s="300" t="s">
        <v>563</v>
      </c>
      <c r="C71" s="301" t="s">
        <v>121</v>
      </c>
      <c r="D71" s="301" t="s">
        <v>564</v>
      </c>
      <c r="E71" s="302">
        <v>10</v>
      </c>
      <c r="F71" s="103" t="s">
        <v>356</v>
      </c>
      <c r="G71" s="277">
        <v>6.4</v>
      </c>
      <c r="H71" s="303"/>
      <c r="I71" s="79"/>
      <c r="J71" s="105">
        <f>'Ocorrências Mensais - FAT'!G96</f>
        <v>10</v>
      </c>
      <c r="K71" s="279">
        <f t="shared" si="2"/>
        <v>64</v>
      </c>
      <c r="M71" s="304">
        <v>3.99</v>
      </c>
      <c r="N71" s="281">
        <f>ROUND(IF(Dados!$J$62="SIM",M71*Dados!$N$62,M71),2)</f>
        <v>3.99</v>
      </c>
      <c r="O71" s="281">
        <f>ROUND(IF(Dados!$J$63="SIM",N71*Dados!$N$63,N71),2)</f>
        <v>3.99</v>
      </c>
      <c r="P71" s="281">
        <f>ROUND(IF(Dados!$J$64="SIM",O71*Dados!$N$64,O71),2)</f>
        <v>3.99</v>
      </c>
      <c r="Q71" s="281">
        <f>ROUND(IF(Dados!$J$65="SIM",P71*Dados!$N$65,P71),2)</f>
        <v>3.99</v>
      </c>
      <c r="R71" s="282">
        <f>ROUND(IF(Dados!$J$66="SIM",Q71*Dados!$N$66,Q71),2)</f>
        <v>3.99</v>
      </c>
    </row>
    <row r="72" spans="1:18" ht="60" x14ac:dyDescent="0.3">
      <c r="A72" s="102">
        <v>5</v>
      </c>
      <c r="B72" s="300" t="s">
        <v>566</v>
      </c>
      <c r="C72" s="301" t="s">
        <v>120</v>
      </c>
      <c r="D72" s="301" t="s">
        <v>597</v>
      </c>
      <c r="E72" s="302">
        <v>2</v>
      </c>
      <c r="F72" s="103" t="s">
        <v>356</v>
      </c>
      <c r="G72" s="277">
        <v>4.28</v>
      </c>
      <c r="H72" s="303"/>
      <c r="I72" s="79"/>
      <c r="J72" s="105">
        <f>'Ocorrências Mensais - FAT'!G97</f>
        <v>2</v>
      </c>
      <c r="K72" s="279">
        <f t="shared" si="2"/>
        <v>8.56</v>
      </c>
      <c r="M72" s="304">
        <v>3.5</v>
      </c>
      <c r="N72" s="281">
        <f>ROUND(IF(Dados!$J$62="SIM",M72*Dados!$N$62,M72),2)</f>
        <v>3.5</v>
      </c>
      <c r="O72" s="281">
        <f>ROUND(IF(Dados!$J$63="SIM",N72*Dados!$N$63,N72),2)</f>
        <v>3.5</v>
      </c>
      <c r="P72" s="281">
        <f>ROUND(IF(Dados!$J$64="SIM",O72*Dados!$N$64,O72),2)</f>
        <v>3.5</v>
      </c>
      <c r="Q72" s="281">
        <f>ROUND(IF(Dados!$J$65="SIM",P72*Dados!$N$65,P72),2)</f>
        <v>3.5</v>
      </c>
      <c r="R72" s="282">
        <f>ROUND(IF(Dados!$J$66="SIM",Q72*Dados!$N$66,Q72),2)</f>
        <v>3.5</v>
      </c>
    </row>
    <row r="73" spans="1:18" ht="36" x14ac:dyDescent="0.3">
      <c r="A73" s="102">
        <v>6</v>
      </c>
      <c r="B73" s="300" t="s">
        <v>632</v>
      </c>
      <c r="C73" s="301" t="s">
        <v>602</v>
      </c>
      <c r="D73" s="301" t="s">
        <v>633</v>
      </c>
      <c r="E73" s="302">
        <v>3</v>
      </c>
      <c r="F73" s="103" t="s">
        <v>358</v>
      </c>
      <c r="G73" s="277">
        <v>6.48</v>
      </c>
      <c r="H73" s="303"/>
      <c r="I73" s="79"/>
      <c r="J73" s="105">
        <f>'Ocorrências Mensais - FAT'!G98</f>
        <v>1</v>
      </c>
      <c r="K73" s="279">
        <f t="shared" si="2"/>
        <v>6.48</v>
      </c>
      <c r="M73" s="304"/>
      <c r="N73" s="595"/>
      <c r="O73" s="595"/>
      <c r="P73" s="595"/>
      <c r="Q73" s="595"/>
      <c r="R73" s="596"/>
    </row>
    <row r="74" spans="1:18" ht="39" customHeight="1" x14ac:dyDescent="0.3">
      <c r="A74" s="102">
        <v>7</v>
      </c>
      <c r="B74" s="300" t="s">
        <v>574</v>
      </c>
      <c r="C74" s="301" t="s">
        <v>107</v>
      </c>
      <c r="D74" s="301" t="s">
        <v>361</v>
      </c>
      <c r="E74" s="302">
        <v>5</v>
      </c>
      <c r="F74" s="103" t="s">
        <v>356</v>
      </c>
      <c r="G74" s="277">
        <v>5.08</v>
      </c>
      <c r="H74" s="303"/>
      <c r="I74" s="79"/>
      <c r="J74" s="105">
        <f>'Ocorrências Mensais - FAT'!G99</f>
        <v>5</v>
      </c>
      <c r="K74" s="279">
        <f t="shared" si="2"/>
        <v>25.4</v>
      </c>
      <c r="M74" s="304"/>
      <c r="N74" s="595"/>
      <c r="O74" s="595"/>
      <c r="P74" s="595"/>
      <c r="Q74" s="595"/>
      <c r="R74" s="596"/>
    </row>
    <row r="75" spans="1:18" ht="18.75" customHeight="1" x14ac:dyDescent="0.3">
      <c r="A75" s="102">
        <v>8</v>
      </c>
      <c r="B75" s="300" t="s">
        <v>634</v>
      </c>
      <c r="C75" s="301" t="s">
        <v>107</v>
      </c>
      <c r="D75" s="301" t="s">
        <v>577</v>
      </c>
      <c r="E75" s="302">
        <v>1</v>
      </c>
      <c r="F75" s="103" t="s">
        <v>357</v>
      </c>
      <c r="G75" s="277">
        <v>13.09</v>
      </c>
      <c r="H75" s="303"/>
      <c r="I75" s="79"/>
      <c r="J75" s="105">
        <f>'Ocorrências Mensais - FAT'!G100</f>
        <v>0.16666666666666666</v>
      </c>
      <c r="K75" s="279">
        <f t="shared" si="2"/>
        <v>2.1816666666666666</v>
      </c>
      <c r="M75" s="304"/>
      <c r="N75" s="595"/>
      <c r="O75" s="595"/>
      <c r="P75" s="595"/>
      <c r="Q75" s="595"/>
      <c r="R75" s="596"/>
    </row>
    <row r="76" spans="1:18" x14ac:dyDescent="0.3">
      <c r="A76" s="102">
        <v>9</v>
      </c>
      <c r="B76" s="300" t="s">
        <v>635</v>
      </c>
      <c r="C76" s="301" t="s">
        <v>107</v>
      </c>
      <c r="D76" s="301" t="s">
        <v>636</v>
      </c>
      <c r="E76" s="302">
        <v>5</v>
      </c>
      <c r="F76" s="103" t="s">
        <v>356</v>
      </c>
      <c r="G76" s="277">
        <v>10</v>
      </c>
      <c r="H76" s="303"/>
      <c r="I76" s="79"/>
      <c r="J76" s="105">
        <f>'Ocorrências Mensais - FAT'!G101</f>
        <v>5</v>
      </c>
      <c r="K76" s="279">
        <f t="shared" si="2"/>
        <v>50</v>
      </c>
      <c r="M76" s="304"/>
      <c r="N76" s="595"/>
      <c r="O76" s="595"/>
      <c r="P76" s="595"/>
      <c r="Q76" s="595"/>
      <c r="R76" s="596"/>
    </row>
    <row r="77" spans="1:18" ht="24" x14ac:dyDescent="0.3">
      <c r="A77" s="102">
        <v>10</v>
      </c>
      <c r="B77" s="300" t="s">
        <v>585</v>
      </c>
      <c r="C77" s="301" t="s">
        <v>107</v>
      </c>
      <c r="D77" s="301" t="s">
        <v>586</v>
      </c>
      <c r="E77" s="302">
        <v>1</v>
      </c>
      <c r="F77" s="103" t="s">
        <v>358</v>
      </c>
      <c r="G77" s="277">
        <v>19.899999999999999</v>
      </c>
      <c r="H77" s="303"/>
      <c r="I77" s="79"/>
      <c r="J77" s="105">
        <f>'Ocorrências Mensais - FAT'!G102</f>
        <v>0.33333333333333331</v>
      </c>
      <c r="K77" s="279">
        <f t="shared" si="2"/>
        <v>6.6333333333333329</v>
      </c>
      <c r="M77" s="304"/>
      <c r="N77" s="595"/>
      <c r="O77" s="595"/>
      <c r="P77" s="595"/>
      <c r="Q77" s="595"/>
      <c r="R77" s="596"/>
    </row>
    <row r="78" spans="1:18" x14ac:dyDescent="0.3">
      <c r="A78" s="102">
        <v>11</v>
      </c>
      <c r="B78" s="300" t="s">
        <v>637</v>
      </c>
      <c r="C78" s="301" t="s">
        <v>121</v>
      </c>
      <c r="D78" s="301" t="s">
        <v>589</v>
      </c>
      <c r="E78" s="302">
        <v>1</v>
      </c>
      <c r="F78" s="103" t="s">
        <v>356</v>
      </c>
      <c r="G78" s="277">
        <v>12</v>
      </c>
      <c r="H78" s="303"/>
      <c r="I78" s="79"/>
      <c r="J78" s="105">
        <f>'Ocorrências Mensais - FAT'!G103</f>
        <v>1</v>
      </c>
      <c r="K78" s="279">
        <f t="shared" si="2"/>
        <v>12</v>
      </c>
      <c r="M78" s="304"/>
      <c r="N78" s="595"/>
      <c r="O78" s="595"/>
      <c r="P78" s="595"/>
      <c r="Q78" s="595"/>
      <c r="R78" s="596"/>
    </row>
    <row r="79" spans="1:18" x14ac:dyDescent="0.3">
      <c r="A79" s="102">
        <v>12</v>
      </c>
      <c r="B79" s="300" t="s">
        <v>638</v>
      </c>
      <c r="C79" s="301" t="s">
        <v>107</v>
      </c>
      <c r="D79" s="301" t="s">
        <v>639</v>
      </c>
      <c r="E79" s="302">
        <v>2</v>
      </c>
      <c r="F79" s="103" t="s">
        <v>356</v>
      </c>
      <c r="G79" s="277">
        <v>8.23</v>
      </c>
      <c r="H79" s="303"/>
      <c r="I79" s="79"/>
      <c r="J79" s="105">
        <f>'Ocorrências Mensais - FAT'!G104</f>
        <v>2</v>
      </c>
      <c r="K79" s="279">
        <f t="shared" si="2"/>
        <v>16.46</v>
      </c>
      <c r="M79" s="304"/>
      <c r="N79" s="595"/>
      <c r="O79" s="595"/>
      <c r="P79" s="595"/>
      <c r="Q79" s="595"/>
      <c r="R79" s="596"/>
    </row>
    <row r="80" spans="1:18" ht="24" x14ac:dyDescent="0.3">
      <c r="A80" s="102">
        <v>13</v>
      </c>
      <c r="B80" s="300" t="s">
        <v>601</v>
      </c>
      <c r="C80" s="301" t="s">
        <v>602</v>
      </c>
      <c r="D80" s="301" t="s">
        <v>599</v>
      </c>
      <c r="E80" s="302">
        <v>1</v>
      </c>
      <c r="F80" s="103" t="s">
        <v>359</v>
      </c>
      <c r="G80" s="277">
        <v>60.16</v>
      </c>
      <c r="H80" s="303"/>
      <c r="I80" s="79"/>
      <c r="J80" s="105">
        <f>'Ocorrências Mensais - FAT'!G105</f>
        <v>0.5</v>
      </c>
      <c r="K80" s="279">
        <f t="shared" si="2"/>
        <v>30.08</v>
      </c>
      <c r="M80" s="304"/>
      <c r="N80" s="595"/>
      <c r="O80" s="595"/>
      <c r="P80" s="595"/>
      <c r="Q80" s="595"/>
      <c r="R80" s="596"/>
    </row>
    <row r="81" spans="1:18" ht="24" x14ac:dyDescent="0.3">
      <c r="A81" s="102">
        <v>14</v>
      </c>
      <c r="B81" s="300" t="s">
        <v>604</v>
      </c>
      <c r="C81" s="301" t="s">
        <v>107</v>
      </c>
      <c r="D81" s="301" t="s">
        <v>551</v>
      </c>
      <c r="E81" s="302">
        <v>1</v>
      </c>
      <c r="F81" s="103" t="s">
        <v>357</v>
      </c>
      <c r="G81" s="277">
        <v>16.46</v>
      </c>
      <c r="H81" s="303"/>
      <c r="I81" s="79"/>
      <c r="J81" s="105">
        <f>'Ocorrências Mensais - FAT'!G106</f>
        <v>0.16666666666666666</v>
      </c>
      <c r="K81" s="279">
        <f t="shared" si="2"/>
        <v>2.7433333333333332</v>
      </c>
      <c r="M81" s="304"/>
      <c r="N81" s="595"/>
      <c r="O81" s="595"/>
      <c r="P81" s="595"/>
      <c r="Q81" s="595"/>
      <c r="R81" s="596"/>
    </row>
    <row r="82" spans="1:18" x14ac:dyDescent="0.3">
      <c r="A82" s="102">
        <v>15</v>
      </c>
      <c r="B82" s="300" t="s">
        <v>640</v>
      </c>
      <c r="C82" s="301" t="s">
        <v>107</v>
      </c>
      <c r="D82" s="301" t="s">
        <v>641</v>
      </c>
      <c r="E82" s="302">
        <v>2</v>
      </c>
      <c r="F82" s="103" t="s">
        <v>357</v>
      </c>
      <c r="G82" s="277">
        <v>4.66</v>
      </c>
      <c r="H82" s="303"/>
      <c r="I82" s="79"/>
      <c r="J82" s="105">
        <f>'Ocorrências Mensais - FAT'!G107</f>
        <v>0.33333333333333331</v>
      </c>
      <c r="K82" s="279">
        <f t="shared" si="2"/>
        <v>1.5533333333333332</v>
      </c>
      <c r="M82" s="304"/>
      <c r="N82" s="595"/>
      <c r="O82" s="595"/>
      <c r="P82" s="595"/>
      <c r="Q82" s="595"/>
      <c r="R82" s="596"/>
    </row>
    <row r="83" spans="1:18" ht="16.2" thickBot="1" x14ac:dyDescent="0.35">
      <c r="A83" s="793" t="s">
        <v>115</v>
      </c>
      <c r="B83" s="793"/>
      <c r="C83" s="793"/>
      <c r="D83" s="793"/>
      <c r="E83" s="793"/>
      <c r="F83" s="793"/>
      <c r="G83" s="793"/>
      <c r="H83" s="291"/>
      <c r="I83" s="79"/>
      <c r="J83" s="305" t="s">
        <v>167</v>
      </c>
      <c r="K83" s="306">
        <f>SUM(K68:K82)</f>
        <v>269.745</v>
      </c>
    </row>
    <row r="85" spans="1:18" ht="18" x14ac:dyDescent="0.3">
      <c r="A85" s="794" t="s">
        <v>670</v>
      </c>
      <c r="B85" s="794"/>
      <c r="C85" s="794"/>
      <c r="D85" s="794"/>
      <c r="E85" s="794"/>
      <c r="F85" s="794"/>
      <c r="G85" s="794"/>
      <c r="H85" s="794"/>
      <c r="I85" s="79"/>
      <c r="J85" s="79"/>
    </row>
    <row r="86" spans="1:18" x14ac:dyDescent="0.3">
      <c r="A86" s="296"/>
      <c r="B86" s="78"/>
      <c r="C86" s="297"/>
      <c r="D86" s="297"/>
      <c r="E86" s="78"/>
      <c r="F86" s="78"/>
      <c r="G86" s="78"/>
      <c r="H86" s="298"/>
      <c r="I86" s="79"/>
      <c r="J86" s="79"/>
    </row>
    <row r="87" spans="1:18" ht="15" customHeight="1" x14ac:dyDescent="0.3">
      <c r="A87" s="795" t="s">
        <v>103</v>
      </c>
      <c r="B87" s="796" t="s">
        <v>667</v>
      </c>
      <c r="C87" s="796"/>
      <c r="D87" s="796"/>
      <c r="E87" s="269"/>
      <c r="F87" s="269"/>
      <c r="G87" s="269"/>
      <c r="H87" s="797" t="s">
        <v>349</v>
      </c>
      <c r="I87" s="79"/>
      <c r="J87" s="792" t="s">
        <v>350</v>
      </c>
      <c r="K87" s="792"/>
      <c r="M87" s="700" t="s">
        <v>351</v>
      </c>
      <c r="N87" s="700"/>
      <c r="O87" s="700"/>
      <c r="P87" s="700"/>
      <c r="Q87" s="700"/>
      <c r="R87" s="700"/>
    </row>
    <row r="88" spans="1:18" ht="55.2" x14ac:dyDescent="0.3">
      <c r="A88" s="795"/>
      <c r="B88" s="268" t="s">
        <v>669</v>
      </c>
      <c r="C88" s="270" t="s">
        <v>107</v>
      </c>
      <c r="D88" s="270" t="s">
        <v>367</v>
      </c>
      <c r="E88" s="268" t="s">
        <v>352</v>
      </c>
      <c r="F88" s="268" t="s">
        <v>113</v>
      </c>
      <c r="G88" s="270" t="s">
        <v>353</v>
      </c>
      <c r="H88" s="797"/>
      <c r="I88" s="79"/>
      <c r="J88" s="299" t="s">
        <v>111</v>
      </c>
      <c r="K88" s="299" t="s">
        <v>110</v>
      </c>
      <c r="M88" s="273" t="s">
        <v>354</v>
      </c>
      <c r="N88" s="73" t="s">
        <v>246</v>
      </c>
      <c r="O88" s="73" t="s">
        <v>247</v>
      </c>
      <c r="P88" s="73" t="s">
        <v>248</v>
      </c>
      <c r="Q88" s="73" t="s">
        <v>249</v>
      </c>
      <c r="R88" s="84" t="s">
        <v>250</v>
      </c>
    </row>
    <row r="89" spans="1:18" ht="37.5" customHeight="1" x14ac:dyDescent="0.3">
      <c r="A89" s="102">
        <v>1</v>
      </c>
      <c r="B89" s="300" t="s">
        <v>651</v>
      </c>
      <c r="C89" s="301" t="s">
        <v>654</v>
      </c>
      <c r="D89" s="301" t="s">
        <v>652</v>
      </c>
      <c r="E89" s="275">
        <v>2</v>
      </c>
      <c r="F89" s="87" t="s">
        <v>357</v>
      </c>
      <c r="G89" s="277">
        <v>31.68</v>
      </c>
      <c r="H89" s="303"/>
      <c r="I89" s="79"/>
      <c r="J89" s="255">
        <f>'Ocorrências Mensais - FAT'!G116</f>
        <v>0.33333333333333331</v>
      </c>
      <c r="K89" s="279">
        <f t="shared" ref="K89:K98" si="3">G89*J89</f>
        <v>10.559999999999999</v>
      </c>
      <c r="M89" s="280">
        <f>150/50*52</f>
        <v>156</v>
      </c>
      <c r="N89" s="281">
        <f>ROUND(IF(Dados!$J$62="SIM",M89*Dados!$N$62,M89),2)</f>
        <v>156</v>
      </c>
      <c r="O89" s="281">
        <f>ROUND(IF(Dados!$J$63="SIM",N89*Dados!$N$63,N89),2)</f>
        <v>156</v>
      </c>
      <c r="P89" s="281">
        <f>ROUND(IF(Dados!$J$64="SIM",O89*Dados!$N$64,O89),2)</f>
        <v>156</v>
      </c>
      <c r="Q89" s="281">
        <f>ROUND(IF(Dados!$J$65="SIM",P89*Dados!$N$65,P89),2)</f>
        <v>156</v>
      </c>
      <c r="R89" s="282">
        <f>ROUND(IF(Dados!$J$66="SIM",Q89*Dados!$N$66,Q89),2)</f>
        <v>156</v>
      </c>
    </row>
    <row r="90" spans="1:18" ht="48" customHeight="1" x14ac:dyDescent="0.3">
      <c r="A90" s="102">
        <v>2</v>
      </c>
      <c r="B90" s="300" t="s">
        <v>653</v>
      </c>
      <c r="C90" s="301" t="s">
        <v>654</v>
      </c>
      <c r="D90" s="301" t="s">
        <v>655</v>
      </c>
      <c r="E90" s="275">
        <v>1</v>
      </c>
      <c r="F90" s="87" t="s">
        <v>358</v>
      </c>
      <c r="G90" s="277">
        <v>97</v>
      </c>
      <c r="H90" s="303"/>
      <c r="I90" s="79"/>
      <c r="J90" s="255">
        <f>'Ocorrências Mensais - FAT'!G117</f>
        <v>0.33333333333333331</v>
      </c>
      <c r="K90" s="279">
        <f t="shared" si="3"/>
        <v>32.333333333333329</v>
      </c>
      <c r="M90" s="280">
        <v>36.11</v>
      </c>
      <c r="N90" s="281">
        <f>ROUND(IF(Dados!$J$62="SIM",M90*Dados!$N$62,M90),2)</f>
        <v>36.11</v>
      </c>
      <c r="O90" s="281">
        <f>ROUND(IF(Dados!$J$63="SIM",N90*Dados!$N$63,N90),2)</f>
        <v>36.11</v>
      </c>
      <c r="P90" s="281">
        <f>ROUND(IF(Dados!$J$64="SIM",O90*Dados!$N$64,O90),2)</f>
        <v>36.11</v>
      </c>
      <c r="Q90" s="281">
        <f>ROUND(IF(Dados!$J$65="SIM",P90*Dados!$N$65,P90),2)</f>
        <v>36.11</v>
      </c>
      <c r="R90" s="282">
        <f>ROUND(IF(Dados!$J$66="SIM",Q90*Dados!$N$66,Q90),2)</f>
        <v>36.11</v>
      </c>
    </row>
    <row r="91" spans="1:18" ht="24" x14ac:dyDescent="0.3">
      <c r="A91" s="102">
        <v>3</v>
      </c>
      <c r="B91" s="300" t="s">
        <v>656</v>
      </c>
      <c r="C91" s="301" t="s">
        <v>654</v>
      </c>
      <c r="D91" s="301" t="s">
        <v>657</v>
      </c>
      <c r="E91" s="275">
        <v>1</v>
      </c>
      <c r="F91" s="87" t="s">
        <v>358</v>
      </c>
      <c r="G91" s="277">
        <v>151.01</v>
      </c>
      <c r="H91" s="303"/>
      <c r="I91" s="79"/>
      <c r="J91" s="255">
        <f>'Ocorrências Mensais - FAT'!G118</f>
        <v>0.33333333333333331</v>
      </c>
      <c r="K91" s="279">
        <f t="shared" si="3"/>
        <v>50.336666666666659</v>
      </c>
      <c r="M91" s="280">
        <v>16.899999999999999</v>
      </c>
      <c r="N91" s="281">
        <f>ROUND(IF(Dados!$J$62="SIM",M91*Dados!$N$62,M91),2)</f>
        <v>16.899999999999999</v>
      </c>
      <c r="O91" s="281">
        <f>ROUND(IF(Dados!$J$63="SIM",N91*Dados!$N$63,N91),2)</f>
        <v>16.899999999999999</v>
      </c>
      <c r="P91" s="281">
        <f>ROUND(IF(Dados!$J$64="SIM",O91*Dados!$N$64,O91),2)</f>
        <v>16.899999999999999</v>
      </c>
      <c r="Q91" s="281">
        <f>ROUND(IF(Dados!$J$65="SIM",P91*Dados!$N$65,P91),2)</f>
        <v>16.899999999999999</v>
      </c>
      <c r="R91" s="282">
        <f>ROUND(IF(Dados!$J$66="SIM",Q91*Dados!$N$66,Q91),2)</f>
        <v>16.899999999999999</v>
      </c>
    </row>
    <row r="92" spans="1:18" x14ac:dyDescent="0.3">
      <c r="A92" s="102">
        <v>4</v>
      </c>
      <c r="B92" s="300" t="s">
        <v>658</v>
      </c>
      <c r="C92" s="301" t="s">
        <v>659</v>
      </c>
      <c r="D92" s="301" t="s">
        <v>660</v>
      </c>
      <c r="E92" s="275">
        <v>1</v>
      </c>
      <c r="F92" s="87" t="s">
        <v>366</v>
      </c>
      <c r="G92" s="277">
        <v>194.52</v>
      </c>
      <c r="H92" s="303"/>
      <c r="I92" s="79"/>
      <c r="J92" s="255">
        <f>'Ocorrências Mensais - FAT'!G119</f>
        <v>8.3333333333333329E-2</v>
      </c>
      <c r="K92" s="279">
        <f t="shared" si="3"/>
        <v>16.21</v>
      </c>
      <c r="M92" s="280">
        <v>5.42</v>
      </c>
      <c r="N92" s="281">
        <f>ROUND(IF(Dados!$J$62="SIM",M92*Dados!$N$62,M92),2)</f>
        <v>5.42</v>
      </c>
      <c r="O92" s="281">
        <f>ROUND(IF(Dados!$J$63="SIM",N92*Dados!$N$63,N92),2)</f>
        <v>5.42</v>
      </c>
      <c r="P92" s="281">
        <f>ROUND(IF(Dados!$J$64="SIM",O92*Dados!$N$64,O92),2)</f>
        <v>5.42</v>
      </c>
      <c r="Q92" s="281">
        <f>ROUND(IF(Dados!$J$65="SIM",P92*Dados!$N$65,P92),2)</f>
        <v>5.42</v>
      </c>
      <c r="R92" s="282">
        <f>ROUND(IF(Dados!$J$66="SIM",Q92*Dados!$N$66,Q92),2)</f>
        <v>5.42</v>
      </c>
    </row>
    <row r="93" spans="1:18" ht="24" x14ac:dyDescent="0.3">
      <c r="A93" s="102">
        <v>5</v>
      </c>
      <c r="B93" s="666" t="s">
        <v>769</v>
      </c>
      <c r="C93" s="301" t="s">
        <v>661</v>
      </c>
      <c r="D93" s="301"/>
      <c r="E93" s="275">
        <v>6</v>
      </c>
      <c r="F93" s="87" t="s">
        <v>366</v>
      </c>
      <c r="G93" s="277">
        <v>30.19</v>
      </c>
      <c r="H93" s="303"/>
      <c r="I93" s="79"/>
      <c r="J93" s="255">
        <f>'Ocorrências Mensais - FAT'!G120</f>
        <v>0.5</v>
      </c>
      <c r="K93" s="279">
        <f t="shared" si="3"/>
        <v>15.095000000000001</v>
      </c>
      <c r="M93" s="280">
        <v>4.9000000000000004</v>
      </c>
      <c r="N93" s="281">
        <f>ROUND(IF(Dados!$J$62="SIM",M93*Dados!$N$62,M93),2)</f>
        <v>4.9000000000000004</v>
      </c>
      <c r="O93" s="281">
        <f>ROUND(IF(Dados!$J$63="SIM",N93*Dados!$N$63,N93),2)</f>
        <v>4.9000000000000004</v>
      </c>
      <c r="P93" s="281">
        <f>ROUND(IF(Dados!$J$64="SIM",O93*Dados!$N$64,O93),2)</f>
        <v>4.9000000000000004</v>
      </c>
      <c r="Q93" s="281">
        <f>ROUND(IF(Dados!$J$65="SIM",P93*Dados!$N$65,P93),2)</f>
        <v>4.9000000000000004</v>
      </c>
      <c r="R93" s="282">
        <f>ROUND(IF(Dados!$J$66="SIM",Q93*Dados!$N$66,Q93),2)</f>
        <v>4.9000000000000004</v>
      </c>
    </row>
    <row r="94" spans="1:18" ht="24" x14ac:dyDescent="0.3">
      <c r="A94" s="102">
        <v>6</v>
      </c>
      <c r="B94" s="666" t="s">
        <v>770</v>
      </c>
      <c r="C94" s="301" t="s">
        <v>120</v>
      </c>
      <c r="D94" s="301" t="s">
        <v>579</v>
      </c>
      <c r="E94" s="275">
        <v>2</v>
      </c>
      <c r="F94" s="87" t="s">
        <v>357</v>
      </c>
      <c r="G94" s="277">
        <v>15.86</v>
      </c>
      <c r="H94" s="303"/>
      <c r="I94" s="79"/>
      <c r="J94" s="255">
        <f>'Ocorrências Mensais - FAT'!G121</f>
        <v>0.33333333333333331</v>
      </c>
      <c r="K94" s="279">
        <f t="shared" si="3"/>
        <v>5.2866666666666662</v>
      </c>
      <c r="M94" s="280">
        <v>17.79</v>
      </c>
      <c r="N94" s="281">
        <f>ROUND(IF(Dados!$J$62="SIM",M94*Dados!$N$62,M94),2)</f>
        <v>17.79</v>
      </c>
      <c r="O94" s="281">
        <f>ROUND(IF(Dados!$J$63="SIM",N94*Dados!$N$63,N94),2)</f>
        <v>17.79</v>
      </c>
      <c r="P94" s="281">
        <f>ROUND(IF(Dados!$J$64="SIM",O94*Dados!$N$64,O94),2)</f>
        <v>17.79</v>
      </c>
      <c r="Q94" s="281">
        <f>ROUND(IF(Dados!$J$65="SIM",P94*Dados!$N$65,P94),2)</f>
        <v>17.79</v>
      </c>
      <c r="R94" s="282">
        <f>ROUND(IF(Dados!$J$66="SIM",Q94*Dados!$N$66,Q94),2)</f>
        <v>17.79</v>
      </c>
    </row>
    <row r="95" spans="1:18" x14ac:dyDescent="0.3">
      <c r="A95" s="102">
        <v>7</v>
      </c>
      <c r="B95" s="666" t="s">
        <v>662</v>
      </c>
      <c r="C95" s="301" t="s">
        <v>120</v>
      </c>
      <c r="D95" s="301"/>
      <c r="E95" s="275">
        <v>5</v>
      </c>
      <c r="F95" s="87" t="s">
        <v>366</v>
      </c>
      <c r="G95" s="277">
        <v>3.6</v>
      </c>
      <c r="H95" s="303"/>
      <c r="I95" s="79"/>
      <c r="J95" s="255">
        <f>'Ocorrências Mensais - FAT'!G122</f>
        <v>0.41666666666666669</v>
      </c>
      <c r="K95" s="279">
        <f t="shared" si="3"/>
        <v>1.5</v>
      </c>
      <c r="M95" s="280">
        <v>12</v>
      </c>
      <c r="N95" s="281">
        <f>ROUND(IF(Dados!$J$62="SIM",M95*Dados!$N$62,M95),2)</f>
        <v>12</v>
      </c>
      <c r="O95" s="281">
        <f>ROUND(IF(Dados!$J$63="SIM",N95*Dados!$N$63,N95),2)</f>
        <v>12</v>
      </c>
      <c r="P95" s="281">
        <f>ROUND(IF(Dados!$J$64="SIM",O95*Dados!$N$64,O95),2)</f>
        <v>12</v>
      </c>
      <c r="Q95" s="281">
        <f>ROUND(IF(Dados!$J$65="SIM",P95*Dados!$N$65,P95),2)</f>
        <v>12</v>
      </c>
      <c r="R95" s="282">
        <f>ROUND(IF(Dados!$J$66="SIM",Q95*Dados!$N$66,Q95),2)</f>
        <v>12</v>
      </c>
    </row>
    <row r="96" spans="1:18" x14ac:dyDescent="0.3">
      <c r="A96" s="102">
        <v>8</v>
      </c>
      <c r="B96" s="666" t="s">
        <v>663</v>
      </c>
      <c r="C96" s="301" t="s">
        <v>120</v>
      </c>
      <c r="D96" s="301"/>
      <c r="E96" s="275">
        <v>2</v>
      </c>
      <c r="F96" s="87" t="s">
        <v>357</v>
      </c>
      <c r="G96" s="277">
        <v>34.43</v>
      </c>
      <c r="H96" s="303"/>
      <c r="I96" s="79"/>
      <c r="J96" s="255">
        <f>'Ocorrências Mensais - FAT'!G123</f>
        <v>0.33333333333333331</v>
      </c>
      <c r="K96" s="279">
        <f t="shared" si="3"/>
        <v>11.476666666666667</v>
      </c>
      <c r="M96" s="280">
        <v>8.35</v>
      </c>
      <c r="N96" s="281">
        <f>ROUND(IF(Dados!$J$62="SIM",M96*Dados!$N$62,M96),2)</f>
        <v>8.35</v>
      </c>
      <c r="O96" s="281">
        <f>ROUND(IF(Dados!$J$63="SIM",N96*Dados!$N$63,N96),2)</f>
        <v>8.35</v>
      </c>
      <c r="P96" s="281">
        <f>ROUND(IF(Dados!$J$64="SIM",O96*Dados!$N$64,O96),2)</f>
        <v>8.35</v>
      </c>
      <c r="Q96" s="281">
        <f>ROUND(IF(Dados!$J$65="SIM",P96*Dados!$N$65,P96),2)</f>
        <v>8.35</v>
      </c>
      <c r="R96" s="282">
        <f>ROUND(IF(Dados!$J$66="SIM",Q96*Dados!$N$66,Q96),2)</f>
        <v>8.35</v>
      </c>
    </row>
    <row r="97" spans="1:18" ht="24" x14ac:dyDescent="0.3">
      <c r="A97" s="102">
        <v>9</v>
      </c>
      <c r="B97" s="666" t="s">
        <v>664</v>
      </c>
      <c r="C97" s="301" t="s">
        <v>120</v>
      </c>
      <c r="D97" s="301"/>
      <c r="E97" s="275">
        <v>5</v>
      </c>
      <c r="F97" s="87" t="s">
        <v>366</v>
      </c>
      <c r="G97" s="277">
        <v>3.18</v>
      </c>
      <c r="H97" s="303"/>
      <c r="I97" s="79"/>
      <c r="J97" s="255">
        <f>'Ocorrências Mensais - FAT'!G124</f>
        <v>0.41666666666666669</v>
      </c>
      <c r="K97" s="279">
        <f t="shared" si="3"/>
        <v>1.3250000000000002</v>
      </c>
      <c r="M97" s="280">
        <v>18.899999999999999</v>
      </c>
      <c r="N97" s="281">
        <f>ROUND(IF(Dados!$J$62="SIM",M97*Dados!$N$62,M97),2)</f>
        <v>18.899999999999999</v>
      </c>
      <c r="O97" s="281">
        <f>ROUND(IF(Dados!$J$63="SIM",N97*Dados!$N$63,N97),2)</f>
        <v>18.899999999999999</v>
      </c>
      <c r="P97" s="281">
        <f>ROUND(IF(Dados!$J$64="SIM",O97*Dados!$N$64,O97),2)</f>
        <v>18.899999999999999</v>
      </c>
      <c r="Q97" s="281">
        <f>ROUND(IF(Dados!$J$65="SIM",P97*Dados!$N$65,P97),2)</f>
        <v>18.899999999999999</v>
      </c>
      <c r="R97" s="282">
        <f>ROUND(IF(Dados!$J$66="SIM",Q97*Dados!$N$66,Q97),2)</f>
        <v>18.899999999999999</v>
      </c>
    </row>
    <row r="98" spans="1:18" x14ac:dyDescent="0.3">
      <c r="A98" s="102">
        <v>10</v>
      </c>
      <c r="B98" s="666" t="s">
        <v>665</v>
      </c>
      <c r="C98" s="301" t="s">
        <v>120</v>
      </c>
      <c r="D98" s="301"/>
      <c r="E98" s="275">
        <v>2</v>
      </c>
      <c r="F98" s="87" t="s">
        <v>366</v>
      </c>
      <c r="G98" s="277">
        <v>2.4</v>
      </c>
      <c r="H98" s="303"/>
      <c r="I98" s="79"/>
      <c r="J98" s="255">
        <f>'Ocorrências Mensais - FAT'!G125</f>
        <v>0.16666666666666666</v>
      </c>
      <c r="K98" s="279">
        <f t="shared" si="3"/>
        <v>0.39999999999999997</v>
      </c>
      <c r="M98" s="280">
        <v>34.9</v>
      </c>
      <c r="N98" s="281">
        <f>ROUND(IF(Dados!$J$62="SIM",M98*Dados!$N$62,M98),2)</f>
        <v>34.9</v>
      </c>
      <c r="O98" s="281">
        <f>ROUND(IF(Dados!$J$63="SIM",N98*Dados!$N$63,N98),2)</f>
        <v>34.9</v>
      </c>
      <c r="P98" s="281">
        <f>ROUND(IF(Dados!$J$64="SIM",O98*Dados!$N$64,O98),2)</f>
        <v>34.9</v>
      </c>
      <c r="Q98" s="281">
        <f>ROUND(IF(Dados!$J$65="SIM",P98*Dados!$N$65,P98),2)</f>
        <v>34.9</v>
      </c>
      <c r="R98" s="282">
        <f>ROUND(IF(Dados!$J$66="SIM",Q98*Dados!$N$66,Q98),2)</f>
        <v>34.9</v>
      </c>
    </row>
    <row r="99" spans="1:18" ht="16.2" thickBot="1" x14ac:dyDescent="0.35">
      <c r="A99" s="793" t="s">
        <v>115</v>
      </c>
      <c r="B99" s="793"/>
      <c r="C99" s="793"/>
      <c r="D99" s="793"/>
      <c r="E99" s="793"/>
      <c r="F99" s="793"/>
      <c r="G99" s="793"/>
      <c r="H99" s="291"/>
      <c r="I99" s="79"/>
      <c r="J99" s="305" t="s">
        <v>167</v>
      </c>
      <c r="K99" s="306">
        <f>SUM(K89:K98)</f>
        <v>144.52333333333331</v>
      </c>
    </row>
    <row r="101" spans="1:18" ht="18" x14ac:dyDescent="0.3">
      <c r="A101" s="794" t="s">
        <v>671</v>
      </c>
      <c r="B101" s="794"/>
      <c r="C101" s="794"/>
      <c r="D101" s="794"/>
      <c r="E101" s="794"/>
      <c r="F101" s="794"/>
      <c r="G101" s="794"/>
      <c r="H101" s="794"/>
      <c r="I101" s="79"/>
      <c r="J101" s="79"/>
    </row>
    <row r="102" spans="1:18" x14ac:dyDescent="0.3">
      <c r="A102" s="296"/>
      <c r="B102" s="78"/>
      <c r="C102" s="297"/>
      <c r="D102" s="297"/>
      <c r="E102" s="78"/>
      <c r="F102" s="78"/>
      <c r="G102" s="78"/>
      <c r="H102" s="298"/>
      <c r="I102" s="79"/>
      <c r="J102" s="79"/>
    </row>
    <row r="103" spans="1:18" ht="15" customHeight="1" x14ac:dyDescent="0.3">
      <c r="A103" s="795" t="s">
        <v>103</v>
      </c>
      <c r="B103" s="796" t="s">
        <v>667</v>
      </c>
      <c r="C103" s="796"/>
      <c r="D103" s="796"/>
      <c r="E103" s="269"/>
      <c r="F103" s="269"/>
      <c r="G103" s="269"/>
      <c r="H103" s="797" t="s">
        <v>349</v>
      </c>
      <c r="I103" s="79"/>
      <c r="J103" s="792" t="s">
        <v>350</v>
      </c>
      <c r="K103" s="792"/>
      <c r="M103" s="700" t="s">
        <v>351</v>
      </c>
      <c r="N103" s="700"/>
      <c r="O103" s="700"/>
      <c r="P103" s="700"/>
      <c r="Q103" s="700"/>
      <c r="R103" s="700"/>
    </row>
    <row r="104" spans="1:18" ht="55.2" x14ac:dyDescent="0.3">
      <c r="A104" s="795"/>
      <c r="B104" s="268" t="s">
        <v>669</v>
      </c>
      <c r="C104" s="270" t="s">
        <v>107</v>
      </c>
      <c r="D104" s="270" t="s">
        <v>367</v>
      </c>
      <c r="E104" s="268" t="s">
        <v>352</v>
      </c>
      <c r="F104" s="268" t="s">
        <v>113</v>
      </c>
      <c r="G104" s="270" t="s">
        <v>353</v>
      </c>
      <c r="H104" s="797"/>
      <c r="I104" s="79"/>
      <c r="J104" s="299" t="s">
        <v>111</v>
      </c>
      <c r="K104" s="299" t="s">
        <v>110</v>
      </c>
      <c r="M104" s="273" t="s">
        <v>354</v>
      </c>
      <c r="N104" s="73" t="s">
        <v>246</v>
      </c>
      <c r="O104" s="73" t="s">
        <v>247</v>
      </c>
      <c r="P104" s="73" t="s">
        <v>248</v>
      </c>
      <c r="Q104" s="73" t="s">
        <v>249</v>
      </c>
      <c r="R104" s="84" t="s">
        <v>250</v>
      </c>
    </row>
    <row r="105" spans="1:18" ht="24" x14ac:dyDescent="0.3">
      <c r="A105" s="102">
        <v>1</v>
      </c>
      <c r="B105" s="300" t="s">
        <v>642</v>
      </c>
      <c r="C105" s="301" t="s">
        <v>120</v>
      </c>
      <c r="D105" s="301" t="s">
        <v>643</v>
      </c>
      <c r="E105" s="275">
        <v>10</v>
      </c>
      <c r="F105" s="87" t="s">
        <v>366</v>
      </c>
      <c r="G105" s="277">
        <v>31.74</v>
      </c>
      <c r="H105" s="303"/>
      <c r="I105" s="79"/>
      <c r="J105" s="255">
        <f>'Ocorrências Mensais - FAT'!G134</f>
        <v>0.83333333333333337</v>
      </c>
      <c r="K105" s="279">
        <f>G105*J105</f>
        <v>26.45</v>
      </c>
      <c r="M105" s="280">
        <v>16.78</v>
      </c>
      <c r="N105" s="281">
        <f>ROUND(IF(Dados!$J$62="SIM",M105*Dados!$N$62,M105),2)</f>
        <v>16.78</v>
      </c>
      <c r="O105" s="281">
        <f>ROUND(IF(Dados!$J$63="SIM",N105*Dados!$N$63,N105),2)</f>
        <v>16.78</v>
      </c>
      <c r="P105" s="281">
        <f>ROUND(IF(Dados!$J$64="SIM",O105*Dados!$N$64,O105),2)</f>
        <v>16.78</v>
      </c>
      <c r="Q105" s="281">
        <f>ROUND(IF(Dados!$J$65="SIM",P105*Dados!$N$65,P105),2)</f>
        <v>16.78</v>
      </c>
      <c r="R105" s="282">
        <f>ROUND(IF(Dados!$J$66="SIM",Q105*Dados!$N$66,Q105),2)</f>
        <v>16.78</v>
      </c>
    </row>
    <row r="106" spans="1:18" ht="24" x14ac:dyDescent="0.3">
      <c r="A106" s="102">
        <v>2</v>
      </c>
      <c r="B106" s="300" t="s">
        <v>644</v>
      </c>
      <c r="C106" s="301" t="s">
        <v>121</v>
      </c>
      <c r="D106" s="301" t="s">
        <v>643</v>
      </c>
      <c r="E106" s="665">
        <v>6</v>
      </c>
      <c r="F106" s="87" t="s">
        <v>356</v>
      </c>
      <c r="G106" s="277">
        <v>5.3</v>
      </c>
      <c r="H106" s="303"/>
      <c r="I106" s="79"/>
      <c r="J106" s="255">
        <f>'Ocorrências Mensais - FAT'!G135</f>
        <v>6</v>
      </c>
      <c r="K106" s="279">
        <f t="shared" ref="K106:K110" si="4">G106*J106</f>
        <v>31.799999999999997</v>
      </c>
      <c r="M106" s="280"/>
      <c r="N106" s="281"/>
      <c r="O106" s="281"/>
      <c r="P106" s="281"/>
      <c r="Q106" s="281"/>
      <c r="R106" s="282"/>
    </row>
    <row r="107" spans="1:18" ht="36" x14ac:dyDescent="0.3">
      <c r="A107" s="102">
        <v>3</v>
      </c>
      <c r="B107" s="300" t="s">
        <v>563</v>
      </c>
      <c r="C107" s="301" t="s">
        <v>121</v>
      </c>
      <c r="D107" s="301" t="s">
        <v>645</v>
      </c>
      <c r="E107" s="665">
        <v>1</v>
      </c>
      <c r="F107" s="87" t="s">
        <v>356</v>
      </c>
      <c r="G107" s="277">
        <v>6.4</v>
      </c>
      <c r="H107" s="303"/>
      <c r="I107" s="79"/>
      <c r="J107" s="255">
        <f>'Ocorrências Mensais - FAT'!G136</f>
        <v>1</v>
      </c>
      <c r="K107" s="279">
        <f t="shared" si="4"/>
        <v>6.4</v>
      </c>
      <c r="M107" s="280">
        <v>7.8</v>
      </c>
      <c r="N107" s="281">
        <f>ROUND(IF(Dados!$J$62="SIM",M107*Dados!$N$62,M107),2)</f>
        <v>7.8</v>
      </c>
      <c r="O107" s="281">
        <f>ROUND(IF(Dados!$J$63="SIM",N107*Dados!$N$63,N107),2)</f>
        <v>7.8</v>
      </c>
      <c r="P107" s="281">
        <f>ROUND(IF(Dados!$J$64="SIM",O107*Dados!$N$64,O107),2)</f>
        <v>7.8</v>
      </c>
      <c r="Q107" s="281">
        <f>ROUND(IF(Dados!$J$65="SIM",P107*Dados!$N$65,P107),2)</f>
        <v>7.8</v>
      </c>
      <c r="R107" s="282">
        <f>ROUND(IF(Dados!$J$66="SIM",Q107*Dados!$N$66,Q107),2)</f>
        <v>7.8</v>
      </c>
    </row>
    <row r="108" spans="1:18" ht="24" x14ac:dyDescent="0.3">
      <c r="A108" s="102">
        <v>4</v>
      </c>
      <c r="B108" s="300" t="s">
        <v>646</v>
      </c>
      <c r="C108" s="301" t="s">
        <v>107</v>
      </c>
      <c r="D108" s="301" t="s">
        <v>647</v>
      </c>
      <c r="E108" s="275">
        <v>10</v>
      </c>
      <c r="F108" s="87" t="s">
        <v>357</v>
      </c>
      <c r="G108" s="277">
        <v>11.15</v>
      </c>
      <c r="H108" s="303"/>
      <c r="I108" s="79"/>
      <c r="J108" s="255">
        <f>'Ocorrências Mensais - FAT'!G137</f>
        <v>1.6666666666666667</v>
      </c>
      <c r="K108" s="279">
        <f t="shared" si="4"/>
        <v>18.583333333333336</v>
      </c>
      <c r="M108" s="280"/>
      <c r="N108" s="281"/>
      <c r="O108" s="281"/>
      <c r="P108" s="281"/>
      <c r="Q108" s="281"/>
      <c r="R108" s="282"/>
    </row>
    <row r="109" spans="1:18" ht="36" x14ac:dyDescent="0.3">
      <c r="A109" s="102">
        <v>5</v>
      </c>
      <c r="B109" s="300" t="s">
        <v>648</v>
      </c>
      <c r="C109" s="301" t="s">
        <v>355</v>
      </c>
      <c r="D109" s="301" t="s">
        <v>649</v>
      </c>
      <c r="E109" s="275">
        <v>1</v>
      </c>
      <c r="F109" s="87" t="s">
        <v>358</v>
      </c>
      <c r="G109" s="277">
        <v>26.5</v>
      </c>
      <c r="H109" s="303"/>
      <c r="I109" s="79"/>
      <c r="J109" s="255">
        <f>'Ocorrências Mensais - FAT'!G138</f>
        <v>0.33333333333333331</v>
      </c>
      <c r="K109" s="279">
        <f t="shared" si="4"/>
        <v>8.8333333333333321</v>
      </c>
      <c r="M109" s="280">
        <v>24.15</v>
      </c>
      <c r="N109" s="281">
        <f>ROUND(IF(Dados!$J$62="SIM",M109*Dados!$N$62,M109),2)</f>
        <v>24.15</v>
      </c>
      <c r="O109" s="281">
        <f>ROUND(IF(Dados!$J$63="SIM",N109*Dados!$N$63,N109),2)</f>
        <v>24.15</v>
      </c>
      <c r="P109" s="281">
        <f>ROUND(IF(Dados!$J$64="SIM",O109*Dados!$N$64,O109),2)</f>
        <v>24.15</v>
      </c>
      <c r="Q109" s="281">
        <f>ROUND(IF(Dados!$J$65="SIM",P109*Dados!$N$65,P109),2)</f>
        <v>24.15</v>
      </c>
      <c r="R109" s="282">
        <f>ROUND(IF(Dados!$J$66="SIM",Q109*Dados!$N$66,Q109),2)</f>
        <v>24.15</v>
      </c>
    </row>
    <row r="110" spans="1:18" ht="24" x14ac:dyDescent="0.3">
      <c r="A110" s="102">
        <v>6</v>
      </c>
      <c r="B110" s="300" t="s">
        <v>650</v>
      </c>
      <c r="C110" s="301" t="s">
        <v>120</v>
      </c>
      <c r="D110" s="301" t="s">
        <v>645</v>
      </c>
      <c r="E110" s="275">
        <v>3</v>
      </c>
      <c r="F110" s="87" t="s">
        <v>356</v>
      </c>
      <c r="G110" s="277">
        <v>21.25</v>
      </c>
      <c r="H110" s="303"/>
      <c r="I110" s="79"/>
      <c r="J110" s="255">
        <f>'Ocorrências Mensais - FAT'!G139</f>
        <v>3</v>
      </c>
      <c r="K110" s="279">
        <f t="shared" si="4"/>
        <v>63.75</v>
      </c>
      <c r="M110" s="309">
        <v>8.44</v>
      </c>
      <c r="N110" s="307">
        <f>ROUND(IF(Dados!$J$62="SIM",M110*Dados!$N$62,M110),2)</f>
        <v>8.44</v>
      </c>
      <c r="O110" s="307">
        <f>ROUND(IF(Dados!$J$63="SIM",N110*Dados!$N$63,N110),2)</f>
        <v>8.44</v>
      </c>
      <c r="P110" s="307">
        <f>ROUND(IF(Dados!$J$64="SIM",O110*Dados!$N$64,O110),2)</f>
        <v>8.44</v>
      </c>
      <c r="Q110" s="307">
        <f>ROUND(IF(Dados!$J$65="SIM",P110*Dados!$N$65,P110),2)</f>
        <v>8.44</v>
      </c>
      <c r="R110" s="308">
        <f>ROUND(IF(Dados!$J$66="SIM",Q110*Dados!$N$66,Q110),2)</f>
        <v>8.44</v>
      </c>
    </row>
    <row r="111" spans="1:18" ht="15.6" x14ac:dyDescent="0.3">
      <c r="A111" s="793" t="s">
        <v>115</v>
      </c>
      <c r="B111" s="793"/>
      <c r="C111" s="793"/>
      <c r="D111" s="793"/>
      <c r="E111" s="793"/>
      <c r="F111" s="793"/>
      <c r="G111" s="793"/>
      <c r="H111" s="291"/>
      <c r="I111" s="79"/>
      <c r="J111" s="305" t="s">
        <v>167</v>
      </c>
      <c r="K111" s="306">
        <f>SUM(K105:K110)</f>
        <v>155.81666666666666</v>
      </c>
    </row>
  </sheetData>
  <sheetProtection algorithmName="SHA-512" hashValue="+/BwmSWYoovpNwIY+4RScn4J4BaTweunyK+Mp/B+DeDo9BEKlRTfd/2+jLE6wuTds4fJ4WZ8dqQ0u2l6Peo52w==" saltValue="6PrO9XE8aSQ44D2nfQ5c/Q==" spinCount="100000" sheet="1" objects="1" scenarios="1"/>
  <mergeCells count="29">
    <mergeCell ref="A4:H4"/>
    <mergeCell ref="A5:H5"/>
    <mergeCell ref="A6:A8"/>
    <mergeCell ref="B6:D7"/>
    <mergeCell ref="H6:H8"/>
    <mergeCell ref="J7:K7"/>
    <mergeCell ref="M7:R7"/>
    <mergeCell ref="A62:G62"/>
    <mergeCell ref="A64:H64"/>
    <mergeCell ref="A66:A67"/>
    <mergeCell ref="B66:D66"/>
    <mergeCell ref="H66:H67"/>
    <mergeCell ref="J66:K66"/>
    <mergeCell ref="M66:R66"/>
    <mergeCell ref="A83:G83"/>
    <mergeCell ref="A85:H85"/>
    <mergeCell ref="A87:A88"/>
    <mergeCell ref="B87:D87"/>
    <mergeCell ref="H87:H88"/>
    <mergeCell ref="J87:K87"/>
    <mergeCell ref="M87:R87"/>
    <mergeCell ref="J103:K103"/>
    <mergeCell ref="M103:R103"/>
    <mergeCell ref="A111:G111"/>
    <mergeCell ref="A99:G99"/>
    <mergeCell ref="A101:H101"/>
    <mergeCell ref="A103:A104"/>
    <mergeCell ref="B103:D103"/>
    <mergeCell ref="H103:H104"/>
  </mergeCells>
  <dataValidations disablePrompts="1" count="1">
    <dataValidation type="list" allowBlank="1" showInputMessage="1" showErrorMessage="1" sqref="F68:F82 F89:F98 F105:F110 F9:F61" xr:uid="{00000000-0002-0000-0500-000000000000}">
      <formula1>"Mensal,Bimestral,Trimestral,Quadrimestral,Semestral,Anual,Bienal"</formula1>
      <formula2>0</formula2>
    </dataValidation>
  </dataValidations>
  <pageMargins left="0.51180555555555596" right="0.51180555555555596" top="0.78749999999999998" bottom="0.78749999999999998" header="0.511811023622047" footer="0.511811023622047"/>
  <pageSetup paperSize="9" scale="4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FFFF99"/>
  </sheetPr>
  <dimension ref="A1:R64"/>
  <sheetViews>
    <sheetView showGridLines="0" zoomScaleNormal="100" workbookViewId="0">
      <selection activeCell="A54" sqref="A54:G54"/>
    </sheetView>
  </sheetViews>
  <sheetFormatPr defaultColWidth="9" defaultRowHeight="14.4" x14ac:dyDescent="0.3"/>
  <cols>
    <col min="1" max="1" width="14" style="310" customWidth="1"/>
    <col min="2" max="2" width="13.109375" style="311" customWidth="1"/>
    <col min="3" max="3" width="6.109375" style="312" customWidth="1"/>
    <col min="4" max="4" width="66.6640625" style="313" customWidth="1"/>
    <col min="5" max="5" width="8.88671875" style="314" customWidth="1"/>
    <col min="6" max="6" width="12.44140625" style="315" customWidth="1"/>
    <col min="7" max="7" width="12.44140625" style="316" customWidth="1"/>
    <col min="8" max="8" width="10.88671875" style="317" customWidth="1"/>
    <col min="11" max="11" width="11.5546875" hidden="1" customWidth="1"/>
    <col min="12" max="12" width="16.44140625" style="318" hidden="1" customWidth="1"/>
    <col min="13" max="17" width="11.33203125" style="318" hidden="1" customWidth="1"/>
    <col min="18" max="18" width="11.5546875" hidden="1" customWidth="1"/>
    <col min="257" max="257" width="13.33203125" customWidth="1"/>
    <col min="258" max="258" width="7.6640625" customWidth="1"/>
    <col min="259" max="259" width="6.109375" customWidth="1"/>
    <col min="260" max="260" width="56.109375" customWidth="1"/>
    <col min="261" max="261" width="9.33203125" customWidth="1"/>
    <col min="262" max="263" width="12.44140625" customWidth="1"/>
    <col min="264" max="264" width="10.88671875" customWidth="1"/>
    <col min="268" max="268" width="11.44140625" customWidth="1"/>
    <col min="269" max="273" width="11.33203125" customWidth="1"/>
    <col min="513" max="513" width="13.33203125" customWidth="1"/>
    <col min="514" max="514" width="7.6640625" customWidth="1"/>
    <col min="515" max="515" width="6.109375" customWidth="1"/>
    <col min="516" max="516" width="56.109375" customWidth="1"/>
    <col min="517" max="517" width="9.33203125" customWidth="1"/>
    <col min="518" max="519" width="12.44140625" customWidth="1"/>
    <col min="520" max="520" width="10.88671875" customWidth="1"/>
    <col min="524" max="524" width="11.44140625" customWidth="1"/>
    <col min="525" max="529" width="11.33203125" customWidth="1"/>
    <col min="769" max="769" width="13.33203125" customWidth="1"/>
    <col min="770" max="770" width="7.6640625" customWidth="1"/>
    <col min="771" max="771" width="6.109375" customWidth="1"/>
    <col min="772" max="772" width="56.109375" customWidth="1"/>
    <col min="773" max="773" width="9.33203125" customWidth="1"/>
    <col min="774" max="775" width="12.44140625" customWidth="1"/>
    <col min="776" max="776" width="10.88671875" customWidth="1"/>
    <col min="780" max="780" width="11.44140625" customWidth="1"/>
    <col min="781" max="785" width="11.33203125" customWidth="1"/>
  </cols>
  <sheetData>
    <row r="1" spans="1:18" s="314" customFormat="1" ht="18" customHeight="1" x14ac:dyDescent="0.3">
      <c r="A1" s="319"/>
      <c r="B1" s="320" t="str">
        <f>INSTRUÇÕES!B1</f>
        <v>Tribunal Regional Federal da 6ª Região</v>
      </c>
      <c r="C1" s="321"/>
      <c r="D1" s="322"/>
      <c r="E1" s="323"/>
      <c r="F1" s="324"/>
      <c r="G1" s="325"/>
      <c r="H1" s="317"/>
      <c r="L1" s="810" t="s">
        <v>351</v>
      </c>
      <c r="M1" s="810"/>
      <c r="N1" s="810"/>
      <c r="O1" s="810"/>
      <c r="P1" s="810"/>
      <c r="Q1" s="810"/>
    </row>
    <row r="2" spans="1:18" s="330" customFormat="1" ht="17.25" customHeight="1" x14ac:dyDescent="0.3">
      <c r="A2" s="326"/>
      <c r="B2" s="327" t="str">
        <f>INSTRUÇÕES!B2</f>
        <v>Seção Judiciária de Minas Gerais</v>
      </c>
      <c r="C2" s="328"/>
      <c r="D2" s="329"/>
      <c r="F2" s="312"/>
      <c r="G2" s="331"/>
      <c r="H2" s="332"/>
      <c r="L2" s="810"/>
      <c r="M2" s="810"/>
      <c r="N2" s="810"/>
      <c r="O2" s="810"/>
      <c r="P2" s="810"/>
      <c r="Q2" s="810"/>
    </row>
    <row r="3" spans="1:18" s="337" customFormat="1" ht="18" customHeight="1" x14ac:dyDescent="0.3">
      <c r="A3" s="333"/>
      <c r="B3" s="334" t="str">
        <f>INSTRUÇÕES!B3</f>
        <v>Subseção Judiciária de Uberlândia</v>
      </c>
      <c r="C3" s="335"/>
      <c r="D3" s="336"/>
      <c r="F3" s="338"/>
      <c r="G3" s="339"/>
      <c r="H3" s="340"/>
      <c r="L3" s="810"/>
      <c r="M3" s="810"/>
      <c r="N3" s="810"/>
      <c r="O3" s="810"/>
      <c r="P3" s="810"/>
      <c r="Q3" s="810"/>
    </row>
    <row r="4" spans="1:18" s="236" customFormat="1" ht="21.75" customHeight="1" x14ac:dyDescent="0.3">
      <c r="A4" s="781" t="s">
        <v>369</v>
      </c>
      <c r="B4" s="781"/>
      <c r="C4" s="781"/>
      <c r="D4" s="781"/>
      <c r="E4" s="781"/>
      <c r="F4" s="781"/>
      <c r="G4" s="781"/>
      <c r="H4" s="781"/>
      <c r="L4" s="810"/>
      <c r="M4" s="810"/>
      <c r="N4" s="810"/>
      <c r="O4" s="810"/>
      <c r="P4" s="810"/>
      <c r="Q4" s="810"/>
    </row>
    <row r="5" spans="1:18" s="314" customFormat="1" ht="27" customHeight="1" x14ac:dyDescent="0.3">
      <c r="A5" s="811" t="s">
        <v>339</v>
      </c>
      <c r="B5" s="811"/>
      <c r="C5" s="811"/>
      <c r="D5" s="811"/>
      <c r="E5" s="811"/>
      <c r="F5" s="811"/>
      <c r="G5" s="811"/>
      <c r="H5" s="811"/>
      <c r="L5" s="812" t="s">
        <v>354</v>
      </c>
      <c r="M5" s="701" t="s">
        <v>246</v>
      </c>
      <c r="N5" s="701" t="s">
        <v>247</v>
      </c>
      <c r="O5" s="701" t="s">
        <v>248</v>
      </c>
      <c r="P5" s="701" t="s">
        <v>249</v>
      </c>
      <c r="Q5" s="701" t="s">
        <v>250</v>
      </c>
    </row>
    <row r="6" spans="1:18" s="314" customFormat="1" ht="15.75" customHeight="1" x14ac:dyDescent="0.3">
      <c r="A6" s="813" t="s">
        <v>370</v>
      </c>
      <c r="B6" s="813"/>
      <c r="C6" s="813"/>
      <c r="D6" s="813"/>
      <c r="E6" s="813"/>
      <c r="F6" s="813"/>
      <c r="G6" s="813"/>
      <c r="H6" s="813"/>
      <c r="J6" s="330"/>
      <c r="L6" s="812"/>
      <c r="M6" s="701"/>
      <c r="N6" s="701"/>
      <c r="O6" s="701"/>
      <c r="P6" s="701"/>
      <c r="Q6" s="701"/>
    </row>
    <row r="7" spans="1:18" s="314" customFormat="1" ht="3" customHeight="1" x14ac:dyDescent="0.3">
      <c r="A7" s="342"/>
      <c r="B7" s="343"/>
      <c r="C7" s="312"/>
      <c r="D7" s="313"/>
      <c r="E7" s="343"/>
      <c r="F7" s="312"/>
      <c r="G7" s="331"/>
      <c r="H7" s="332"/>
      <c r="J7" s="330"/>
      <c r="L7" s="812"/>
      <c r="M7" s="701"/>
      <c r="N7" s="701"/>
      <c r="O7" s="701"/>
      <c r="P7" s="701"/>
      <c r="Q7" s="701"/>
    </row>
    <row r="8" spans="1:18" s="314" customFormat="1" ht="24" x14ac:dyDescent="0.3">
      <c r="A8" s="344" t="s">
        <v>371</v>
      </c>
      <c r="B8" s="345" t="s">
        <v>225</v>
      </c>
      <c r="C8" s="346" t="s">
        <v>372</v>
      </c>
      <c r="D8" s="345" t="s">
        <v>373</v>
      </c>
      <c r="E8" s="347" t="s">
        <v>374</v>
      </c>
      <c r="F8" s="348" t="s">
        <v>375</v>
      </c>
      <c r="G8" s="349" t="s">
        <v>376</v>
      </c>
      <c r="H8" s="350" t="s">
        <v>167</v>
      </c>
      <c r="J8" s="330"/>
      <c r="K8" s="330"/>
      <c r="L8" s="812"/>
      <c r="M8" s="701"/>
      <c r="N8" s="701"/>
      <c r="O8" s="701"/>
      <c r="P8" s="701"/>
      <c r="Q8" s="701"/>
      <c r="R8" s="170" t="s">
        <v>377</v>
      </c>
    </row>
    <row r="9" spans="1:18" s="330" customFormat="1" ht="60" x14ac:dyDescent="0.25">
      <c r="A9" s="649" t="s">
        <v>161</v>
      </c>
      <c r="B9" s="108" t="s">
        <v>378</v>
      </c>
      <c r="C9" s="351">
        <v>2</v>
      </c>
      <c r="D9" s="352" t="s">
        <v>386</v>
      </c>
      <c r="E9" s="353" t="s">
        <v>379</v>
      </c>
      <c r="F9" s="354">
        <f>C9*$A$11</f>
        <v>22</v>
      </c>
      <c r="G9" s="355">
        <v>79.95</v>
      </c>
      <c r="H9" s="251">
        <f t="shared" ref="H9:H11" si="0">ROUND(F9*G9,2)</f>
        <v>1758.9</v>
      </c>
      <c r="L9" s="356">
        <v>61.59</v>
      </c>
      <c r="M9" s="281">
        <f>ROUND(IF(Dados!$I$66="SIM",L9*Dados!$N$66,L9),2)</f>
        <v>61.59</v>
      </c>
      <c r="N9" s="281">
        <f>ROUND(IF(Dados!$I$67="SIM",M9*Dados!$N$67,M9),2)</f>
        <v>61.59</v>
      </c>
      <c r="O9" s="281">
        <f>ROUND(IF(Dados!$I$68="SIM",N9*Dados!$N$68,N9),2)</f>
        <v>61.59</v>
      </c>
      <c r="P9" s="281">
        <f>ROUND(IF(Dados!$I$69="SIM",O9*Dados!$N$69,O9),2)</f>
        <v>61.59</v>
      </c>
      <c r="Q9" s="281">
        <f>ROUND(IF(Dados!$I$70="SIM",P9*Dados!$N$70,P9),2)</f>
        <v>61.59</v>
      </c>
      <c r="R9" s="28">
        <f>IF(Dados!$D$73="INICIAL",L9,IF(Dados!$D$73="1º IPCA",M9,IF(Dados!$D$73="2º IPCA",N9,IF(Dados!$D$73="3º IPCA",O9,IF(Dados!$D$73="4º IPCA",P9,IF(Dados!$D$73="5º IPCA",Q9,))))))</f>
        <v>61.59</v>
      </c>
    </row>
    <row r="10" spans="1:18" s="330" customFormat="1" ht="36" x14ac:dyDescent="0.3">
      <c r="A10" s="357" t="s">
        <v>384</v>
      </c>
      <c r="B10" s="108" t="s">
        <v>380</v>
      </c>
      <c r="C10" s="351">
        <v>3</v>
      </c>
      <c r="D10" s="599" t="s">
        <v>702</v>
      </c>
      <c r="E10" s="353" t="s">
        <v>381</v>
      </c>
      <c r="F10" s="354">
        <f t="shared" ref="F10:F11" si="1">C10*$A$11</f>
        <v>33</v>
      </c>
      <c r="G10" s="355">
        <v>32.65</v>
      </c>
      <c r="H10" s="251">
        <f t="shared" si="0"/>
        <v>1077.45</v>
      </c>
      <c r="L10" s="356"/>
      <c r="M10" s="281"/>
      <c r="N10" s="281"/>
      <c r="O10" s="281"/>
      <c r="P10" s="281"/>
      <c r="Q10" s="281"/>
      <c r="R10" s="28"/>
    </row>
    <row r="11" spans="1:18" s="330" customFormat="1" ht="24" x14ac:dyDescent="0.25">
      <c r="A11" s="650">
        <f>Dados!B10+Dados!B12+Dados!B13</f>
        <v>11</v>
      </c>
      <c r="B11" s="108" t="s">
        <v>382</v>
      </c>
      <c r="C11" s="351">
        <v>1</v>
      </c>
      <c r="D11" s="284" t="s">
        <v>703</v>
      </c>
      <c r="E11" s="353" t="s">
        <v>383</v>
      </c>
      <c r="F11" s="354">
        <f t="shared" si="1"/>
        <v>11</v>
      </c>
      <c r="G11" s="355">
        <v>76.16</v>
      </c>
      <c r="H11" s="251">
        <f t="shared" si="0"/>
        <v>837.76</v>
      </c>
      <c r="L11" s="356">
        <v>50.85</v>
      </c>
      <c r="M11" s="281">
        <f>ROUND(IF(Dados!$I$66="SIM",L11*Dados!$N$66,L11),2)</f>
        <v>50.85</v>
      </c>
      <c r="N11" s="281">
        <f>ROUND(IF(Dados!$I$67="SIM",M11*Dados!$N$67,M11),2)</f>
        <v>50.85</v>
      </c>
      <c r="O11" s="281">
        <f>ROUND(IF(Dados!$I$68="SIM",N11*Dados!$N$68,N11),2)</f>
        <v>50.85</v>
      </c>
      <c r="P11" s="281">
        <f>ROUND(IF(Dados!$I$69="SIM",O11*Dados!$N$69,O11),2)</f>
        <v>50.85</v>
      </c>
      <c r="Q11" s="281">
        <f>ROUND(IF(Dados!$I$70="SIM",P11*Dados!$N$70,P11),2)</f>
        <v>50.85</v>
      </c>
      <c r="R11" s="28">
        <f>IF(Dados!$D$73="INICIAL",L11,IF(Dados!$D$73="1º IPCA",M11,IF(Dados!$D$73="2º IPCA",N11,IF(Dados!$D$73="3º IPCA",O11,IF(Dados!$D$73="4º IPCA",P11,IF(Dados!$D$73="5º IPCA",Q11,))))))</f>
        <v>50.85</v>
      </c>
    </row>
    <row r="12" spans="1:18" s="330" customFormat="1" x14ac:dyDescent="0.3">
      <c r="A12" s="805" t="s">
        <v>385</v>
      </c>
      <c r="B12" s="805"/>
      <c r="C12" s="805"/>
      <c r="D12" s="805"/>
      <c r="E12" s="805"/>
      <c r="F12" s="805"/>
      <c r="G12" s="805"/>
      <c r="H12" s="358">
        <f>SUM(H9:H11)</f>
        <v>3674.1100000000006</v>
      </c>
      <c r="L12" s="310"/>
      <c r="M12" s="310"/>
      <c r="N12" s="310"/>
      <c r="O12" s="310"/>
      <c r="P12" s="310"/>
      <c r="Q12" s="310"/>
    </row>
    <row r="13" spans="1:18" s="330" customFormat="1" ht="16.2" thickBot="1" x14ac:dyDescent="0.35">
      <c r="A13" s="801" t="s">
        <v>701</v>
      </c>
      <c r="B13" s="801"/>
      <c r="C13" s="801"/>
      <c r="D13" s="801"/>
      <c r="E13" s="801"/>
      <c r="F13" s="801"/>
      <c r="G13" s="359"/>
      <c r="H13" s="360">
        <f>ROUND(H12/$A$11/12,2)</f>
        <v>27.83</v>
      </c>
      <c r="L13" s="310"/>
      <c r="M13" s="310"/>
      <c r="N13" s="310"/>
      <c r="O13" s="310"/>
      <c r="P13" s="310"/>
      <c r="Q13" s="310"/>
    </row>
    <row r="14" spans="1:18" s="330" customFormat="1" ht="16.2" thickBot="1" x14ac:dyDescent="0.35">
      <c r="A14" s="651"/>
      <c r="B14" s="375"/>
      <c r="C14" s="375"/>
      <c r="D14" s="375"/>
      <c r="E14" s="375"/>
      <c r="F14" s="375"/>
      <c r="G14" s="378"/>
      <c r="H14" s="379"/>
      <c r="L14" s="310"/>
      <c r="M14" s="310"/>
      <c r="N14" s="310"/>
      <c r="O14" s="310"/>
      <c r="P14" s="310"/>
      <c r="Q14" s="310"/>
    </row>
    <row r="15" spans="1:18" s="330" customFormat="1" ht="24" x14ac:dyDescent="0.3">
      <c r="A15" s="344" t="s">
        <v>371</v>
      </c>
      <c r="B15" s="345" t="s">
        <v>225</v>
      </c>
      <c r="C15" s="346" t="s">
        <v>372</v>
      </c>
      <c r="D15" s="345" t="s">
        <v>373</v>
      </c>
      <c r="E15" s="347" t="s">
        <v>374</v>
      </c>
      <c r="F15" s="348" t="s">
        <v>375</v>
      </c>
      <c r="G15" s="349" t="s">
        <v>376</v>
      </c>
      <c r="H15" s="350" t="s">
        <v>167</v>
      </c>
      <c r="L15" s="310"/>
      <c r="M15" s="310"/>
      <c r="N15" s="310"/>
      <c r="O15" s="310"/>
      <c r="P15" s="310"/>
      <c r="Q15" s="310"/>
    </row>
    <row r="16" spans="1:18" s="330" customFormat="1" ht="60" x14ac:dyDescent="0.25">
      <c r="A16" s="802" t="s">
        <v>160</v>
      </c>
      <c r="B16" s="108" t="s">
        <v>378</v>
      </c>
      <c r="C16" s="351">
        <v>2</v>
      </c>
      <c r="D16" s="352" t="s">
        <v>386</v>
      </c>
      <c r="E16" s="353" t="s">
        <v>379</v>
      </c>
      <c r="F16" s="354">
        <f>C16*$A$20</f>
        <v>2</v>
      </c>
      <c r="G16" s="355">
        <v>79.95</v>
      </c>
      <c r="H16" s="251">
        <f t="shared" ref="H16:H20" si="2">ROUND(F16*G16,2)</f>
        <v>159.9</v>
      </c>
      <c r="L16" s="310"/>
      <c r="M16" s="310"/>
      <c r="N16" s="310"/>
      <c r="O16" s="310"/>
      <c r="P16" s="310"/>
      <c r="Q16" s="310"/>
    </row>
    <row r="17" spans="1:17" s="330" customFormat="1" ht="36" x14ac:dyDescent="0.3">
      <c r="A17" s="803"/>
      <c r="B17" s="108" t="s">
        <v>380</v>
      </c>
      <c r="C17" s="351">
        <v>3</v>
      </c>
      <c r="D17" s="599" t="s">
        <v>702</v>
      </c>
      <c r="E17" s="353" t="s">
        <v>381</v>
      </c>
      <c r="F17" s="354">
        <f t="shared" ref="F17:F20" si="3">C17*$A$20</f>
        <v>3</v>
      </c>
      <c r="G17" s="355">
        <v>32.65</v>
      </c>
      <c r="H17" s="251">
        <f t="shared" si="2"/>
        <v>97.95</v>
      </c>
      <c r="L17" s="310"/>
      <c r="M17" s="310"/>
      <c r="N17" s="310"/>
      <c r="O17" s="310"/>
      <c r="P17" s="310"/>
      <c r="Q17" s="310"/>
    </row>
    <row r="18" spans="1:17" s="330" customFormat="1" ht="60" x14ac:dyDescent="0.3">
      <c r="A18" s="804"/>
      <c r="B18" s="108" t="s">
        <v>698</v>
      </c>
      <c r="C18" s="351">
        <v>1</v>
      </c>
      <c r="D18" s="599" t="s">
        <v>704</v>
      </c>
      <c r="E18" s="353" t="s">
        <v>388</v>
      </c>
      <c r="F18" s="354">
        <f t="shared" si="3"/>
        <v>1</v>
      </c>
      <c r="G18" s="355">
        <v>13.47</v>
      </c>
      <c r="H18" s="251">
        <f t="shared" si="2"/>
        <v>13.47</v>
      </c>
      <c r="L18" s="310"/>
      <c r="M18" s="310"/>
      <c r="N18" s="310"/>
      <c r="O18" s="310"/>
      <c r="P18" s="310"/>
      <c r="Q18" s="310"/>
    </row>
    <row r="19" spans="1:17" s="330" customFormat="1" ht="36" x14ac:dyDescent="0.3">
      <c r="A19" s="357" t="s">
        <v>384</v>
      </c>
      <c r="B19" s="108" t="s">
        <v>705</v>
      </c>
      <c r="C19" s="351">
        <v>1</v>
      </c>
      <c r="D19" s="599" t="s">
        <v>706</v>
      </c>
      <c r="E19" s="353" t="s">
        <v>387</v>
      </c>
      <c r="F19" s="354">
        <f t="shared" si="3"/>
        <v>1</v>
      </c>
      <c r="G19" s="355">
        <v>26.72</v>
      </c>
      <c r="H19" s="251">
        <f t="shared" si="2"/>
        <v>26.72</v>
      </c>
      <c r="L19" s="310"/>
      <c r="M19" s="310"/>
      <c r="N19" s="310"/>
      <c r="O19" s="310"/>
      <c r="P19" s="310"/>
      <c r="Q19" s="310"/>
    </row>
    <row r="20" spans="1:17" s="330" customFormat="1" ht="24" x14ac:dyDescent="0.25">
      <c r="A20" s="650">
        <f>Dados!B11</f>
        <v>1</v>
      </c>
      <c r="B20" s="108" t="s">
        <v>382</v>
      </c>
      <c r="C20" s="351">
        <v>1</v>
      </c>
      <c r="D20" s="284" t="s">
        <v>703</v>
      </c>
      <c r="E20" s="353" t="s">
        <v>383</v>
      </c>
      <c r="F20" s="354">
        <f t="shared" si="3"/>
        <v>1</v>
      </c>
      <c r="G20" s="355">
        <v>76.16</v>
      </c>
      <c r="H20" s="251">
        <f t="shared" si="2"/>
        <v>76.16</v>
      </c>
      <c r="L20" s="310"/>
      <c r="M20" s="310"/>
      <c r="N20" s="310"/>
      <c r="O20" s="310"/>
      <c r="P20" s="310"/>
      <c r="Q20" s="310"/>
    </row>
    <row r="21" spans="1:17" s="330" customFormat="1" x14ac:dyDescent="0.3">
      <c r="A21" s="805" t="s">
        <v>385</v>
      </c>
      <c r="B21" s="805"/>
      <c r="C21" s="805"/>
      <c r="D21" s="805"/>
      <c r="E21" s="805"/>
      <c r="F21" s="805"/>
      <c r="G21" s="805"/>
      <c r="H21" s="358">
        <f>SUM(H16:H20)</f>
        <v>374.20000000000005</v>
      </c>
      <c r="L21" s="310"/>
      <c r="M21" s="310"/>
      <c r="N21" s="310"/>
      <c r="O21" s="310"/>
      <c r="P21" s="310"/>
      <c r="Q21" s="310"/>
    </row>
    <row r="22" spans="1:17" s="330" customFormat="1" ht="16.2" thickBot="1" x14ac:dyDescent="0.35">
      <c r="A22" s="801" t="s">
        <v>707</v>
      </c>
      <c r="B22" s="801"/>
      <c r="C22" s="801"/>
      <c r="D22" s="801"/>
      <c r="E22" s="801"/>
      <c r="F22" s="801"/>
      <c r="G22" s="359"/>
      <c r="H22" s="360">
        <f>ROUND(H21/$A$20/12,2)</f>
        <v>31.18</v>
      </c>
      <c r="L22" s="310"/>
      <c r="M22" s="310"/>
      <c r="N22" s="310"/>
      <c r="O22" s="310"/>
      <c r="P22" s="310"/>
      <c r="Q22" s="310"/>
    </row>
    <row r="23" spans="1:17" s="330" customFormat="1" ht="16.2" thickBot="1" x14ac:dyDescent="0.35">
      <c r="A23" s="651"/>
      <c r="B23" s="375"/>
      <c r="C23" s="375"/>
      <c r="D23" s="375"/>
      <c r="E23" s="375"/>
      <c r="F23" s="375"/>
      <c r="G23" s="378"/>
      <c r="H23" s="379"/>
      <c r="L23" s="310"/>
      <c r="M23" s="310"/>
      <c r="N23" s="310"/>
      <c r="O23" s="310"/>
      <c r="P23" s="310"/>
      <c r="Q23" s="310"/>
    </row>
    <row r="24" spans="1:17" s="330" customFormat="1" ht="24" x14ac:dyDescent="0.3">
      <c r="A24" s="344" t="s">
        <v>371</v>
      </c>
      <c r="B24" s="345" t="s">
        <v>225</v>
      </c>
      <c r="C24" s="346" t="s">
        <v>372</v>
      </c>
      <c r="D24" s="345" t="s">
        <v>373</v>
      </c>
      <c r="E24" s="347" t="s">
        <v>374</v>
      </c>
      <c r="F24" s="348" t="s">
        <v>375</v>
      </c>
      <c r="G24" s="349" t="s">
        <v>376</v>
      </c>
      <c r="H24" s="350" t="s">
        <v>167</v>
      </c>
      <c r="L24" s="310"/>
      <c r="M24" s="310"/>
      <c r="N24" s="310"/>
      <c r="O24" s="310"/>
      <c r="P24" s="310"/>
      <c r="Q24" s="310"/>
    </row>
    <row r="25" spans="1:17" s="330" customFormat="1" ht="60" x14ac:dyDescent="0.25">
      <c r="A25" s="802" t="s">
        <v>762</v>
      </c>
      <c r="B25" s="108" t="s">
        <v>378</v>
      </c>
      <c r="C25" s="351">
        <v>2</v>
      </c>
      <c r="D25" s="352" t="s">
        <v>386</v>
      </c>
      <c r="E25" s="353" t="s">
        <v>379</v>
      </c>
      <c r="F25" s="354">
        <f>C25*$A$29</f>
        <v>2</v>
      </c>
      <c r="G25" s="355">
        <v>79.95</v>
      </c>
      <c r="H25" s="251">
        <f t="shared" ref="H25:H29" si="4">ROUND(F25*G25,2)</f>
        <v>159.9</v>
      </c>
      <c r="L25" s="310"/>
      <c r="M25" s="310"/>
      <c r="N25" s="310"/>
      <c r="O25" s="310"/>
      <c r="P25" s="310"/>
      <c r="Q25" s="310"/>
    </row>
    <row r="26" spans="1:17" s="330" customFormat="1" ht="36" x14ac:dyDescent="0.3">
      <c r="A26" s="803"/>
      <c r="B26" s="108" t="s">
        <v>380</v>
      </c>
      <c r="C26" s="351">
        <v>3</v>
      </c>
      <c r="D26" s="599" t="s">
        <v>702</v>
      </c>
      <c r="E26" s="353" t="s">
        <v>381</v>
      </c>
      <c r="F26" s="354">
        <f t="shared" ref="F26:F29" si="5">C26*$A$29</f>
        <v>3</v>
      </c>
      <c r="G26" s="355">
        <v>32.65</v>
      </c>
      <c r="H26" s="251">
        <f t="shared" si="4"/>
        <v>97.95</v>
      </c>
      <c r="L26" s="310"/>
      <c r="M26" s="310"/>
      <c r="N26" s="310"/>
      <c r="O26" s="310"/>
      <c r="P26" s="310"/>
      <c r="Q26" s="310"/>
    </row>
    <row r="27" spans="1:17" s="330" customFormat="1" ht="60" x14ac:dyDescent="0.3">
      <c r="A27" s="804"/>
      <c r="B27" s="108" t="s">
        <v>698</v>
      </c>
      <c r="C27" s="351">
        <v>1</v>
      </c>
      <c r="D27" s="599" t="s">
        <v>704</v>
      </c>
      <c r="E27" s="353" t="s">
        <v>388</v>
      </c>
      <c r="F27" s="354">
        <f t="shared" si="5"/>
        <v>1</v>
      </c>
      <c r="G27" s="355">
        <v>13.47</v>
      </c>
      <c r="H27" s="251">
        <f t="shared" si="4"/>
        <v>13.47</v>
      </c>
      <c r="L27" s="310"/>
      <c r="M27" s="310"/>
      <c r="N27" s="310"/>
      <c r="O27" s="310"/>
      <c r="P27" s="310"/>
      <c r="Q27" s="310"/>
    </row>
    <row r="28" spans="1:17" s="330" customFormat="1" ht="36" x14ac:dyDescent="0.3">
      <c r="A28" s="357" t="s">
        <v>384</v>
      </c>
      <c r="B28" s="108" t="s">
        <v>705</v>
      </c>
      <c r="C28" s="351">
        <v>1</v>
      </c>
      <c r="D28" s="599" t="s">
        <v>706</v>
      </c>
      <c r="E28" s="353" t="s">
        <v>387</v>
      </c>
      <c r="F28" s="354">
        <f t="shared" si="5"/>
        <v>1</v>
      </c>
      <c r="G28" s="355">
        <v>26.72</v>
      </c>
      <c r="H28" s="251">
        <f t="shared" si="4"/>
        <v>26.72</v>
      </c>
      <c r="L28" s="310"/>
      <c r="M28" s="310"/>
      <c r="N28" s="310"/>
      <c r="O28" s="310"/>
      <c r="P28" s="310"/>
      <c r="Q28" s="310"/>
    </row>
    <row r="29" spans="1:17" s="330" customFormat="1" ht="24" x14ac:dyDescent="0.25">
      <c r="A29" s="650">
        <f>Dados!B14</f>
        <v>1</v>
      </c>
      <c r="B29" s="108" t="s">
        <v>382</v>
      </c>
      <c r="C29" s="351">
        <v>1</v>
      </c>
      <c r="D29" s="284" t="s">
        <v>703</v>
      </c>
      <c r="E29" s="353" t="s">
        <v>383</v>
      </c>
      <c r="F29" s="354">
        <f t="shared" si="5"/>
        <v>1</v>
      </c>
      <c r="G29" s="355">
        <v>76.16</v>
      </c>
      <c r="H29" s="251">
        <f t="shared" si="4"/>
        <v>76.16</v>
      </c>
      <c r="L29" s="310"/>
      <c r="M29" s="310"/>
      <c r="N29" s="310"/>
      <c r="O29" s="310"/>
      <c r="P29" s="310"/>
      <c r="Q29" s="310"/>
    </row>
    <row r="30" spans="1:17" s="330" customFormat="1" x14ac:dyDescent="0.3">
      <c r="A30" s="805" t="s">
        <v>385</v>
      </c>
      <c r="B30" s="805"/>
      <c r="C30" s="805"/>
      <c r="D30" s="805"/>
      <c r="E30" s="805"/>
      <c r="F30" s="805"/>
      <c r="G30" s="805"/>
      <c r="H30" s="358">
        <f>SUM(H25:H29)</f>
        <v>374.20000000000005</v>
      </c>
      <c r="L30" s="310"/>
      <c r="M30" s="310"/>
      <c r="N30" s="310"/>
      <c r="O30" s="310"/>
      <c r="P30" s="310"/>
      <c r="Q30" s="310"/>
    </row>
    <row r="31" spans="1:17" s="330" customFormat="1" ht="16.2" thickBot="1" x14ac:dyDescent="0.35">
      <c r="A31" s="801" t="s">
        <v>708</v>
      </c>
      <c r="B31" s="801"/>
      <c r="C31" s="801"/>
      <c r="D31" s="801"/>
      <c r="E31" s="801"/>
      <c r="F31" s="801"/>
      <c r="G31" s="359"/>
      <c r="H31" s="360">
        <f>ROUND(H30/$A$29/12,2)</f>
        <v>31.18</v>
      </c>
      <c r="L31" s="310"/>
      <c r="M31" s="310"/>
      <c r="N31" s="310"/>
      <c r="O31" s="310"/>
      <c r="P31" s="310"/>
      <c r="Q31" s="310"/>
    </row>
    <row r="32" spans="1:17" s="330" customFormat="1" ht="26.25" customHeight="1" thickBot="1" x14ac:dyDescent="0.35">
      <c r="A32" s="361"/>
      <c r="B32" s="341"/>
      <c r="C32" s="362"/>
      <c r="D32" s="363"/>
      <c r="E32" s="364"/>
      <c r="F32" s="362"/>
      <c r="G32" s="365"/>
      <c r="H32" s="366"/>
      <c r="L32" s="310"/>
      <c r="M32" s="310"/>
      <c r="N32" s="310"/>
      <c r="O32" s="310"/>
      <c r="P32" s="310"/>
      <c r="Q32" s="310"/>
    </row>
    <row r="33" spans="1:18" s="330" customFormat="1" ht="25.5" customHeight="1" x14ac:dyDescent="0.3">
      <c r="A33" s="344" t="s">
        <v>371</v>
      </c>
      <c r="B33" s="345" t="s">
        <v>225</v>
      </c>
      <c r="C33" s="346" t="s">
        <v>372</v>
      </c>
      <c r="D33" s="345" t="s">
        <v>373</v>
      </c>
      <c r="E33" s="347" t="s">
        <v>374</v>
      </c>
      <c r="F33" s="348" t="s">
        <v>375</v>
      </c>
      <c r="G33" s="349" t="s">
        <v>376</v>
      </c>
      <c r="H33" s="350" t="s">
        <v>167</v>
      </c>
      <c r="L33" s="367" t="s">
        <v>354</v>
      </c>
      <c r="M33" s="368" t="s">
        <v>246</v>
      </c>
      <c r="N33" s="368" t="s">
        <v>247</v>
      </c>
      <c r="O33" s="368" t="s">
        <v>248</v>
      </c>
      <c r="P33" s="368" t="s">
        <v>249</v>
      </c>
      <c r="Q33" s="368" t="s">
        <v>250</v>
      </c>
    </row>
    <row r="34" spans="1:18" s="330" customFormat="1" ht="216" customHeight="1" x14ac:dyDescent="0.3">
      <c r="A34" s="649" t="s">
        <v>532</v>
      </c>
      <c r="B34" s="108" t="s">
        <v>378</v>
      </c>
      <c r="C34" s="369">
        <v>2</v>
      </c>
      <c r="D34" s="599" t="s">
        <v>755</v>
      </c>
      <c r="E34" s="353" t="s">
        <v>387</v>
      </c>
      <c r="F34" s="370">
        <f>C34*$A$36</f>
        <v>26</v>
      </c>
      <c r="G34" s="371">
        <v>94.78</v>
      </c>
      <c r="H34" s="251">
        <f>ROUND(F34*G34,2)</f>
        <v>2464.2800000000002</v>
      </c>
      <c r="L34" s="367"/>
      <c r="M34" s="368"/>
      <c r="N34" s="368"/>
      <c r="O34" s="368"/>
      <c r="P34" s="368"/>
      <c r="Q34" s="368"/>
    </row>
    <row r="35" spans="1:18" s="330" customFormat="1" ht="231" customHeight="1" x14ac:dyDescent="0.3">
      <c r="A35" s="602" t="s">
        <v>384</v>
      </c>
      <c r="B35" s="108" t="s">
        <v>380</v>
      </c>
      <c r="C35" s="369">
        <v>3</v>
      </c>
      <c r="D35" s="599" t="s">
        <v>756</v>
      </c>
      <c r="E35" s="353" t="s">
        <v>696</v>
      </c>
      <c r="F35" s="370">
        <f>C35*$A$36</f>
        <v>39</v>
      </c>
      <c r="G35" s="371">
        <v>102.59</v>
      </c>
      <c r="H35" s="251">
        <f>ROUND(F35*G35,2)</f>
        <v>4001.01</v>
      </c>
      <c r="L35" s="367"/>
      <c r="M35" s="368"/>
      <c r="N35" s="368"/>
      <c r="O35" s="368"/>
      <c r="P35" s="368"/>
      <c r="Q35" s="368"/>
    </row>
    <row r="36" spans="1:18" s="330" customFormat="1" ht="90" customHeight="1" x14ac:dyDescent="0.3">
      <c r="A36" s="650">
        <f>Dados!B7+Dados!B8</f>
        <v>13</v>
      </c>
      <c r="B36" s="108" t="s">
        <v>382</v>
      </c>
      <c r="C36" s="369">
        <v>1</v>
      </c>
      <c r="D36" s="598" t="s">
        <v>757</v>
      </c>
      <c r="E36" s="372" t="s">
        <v>387</v>
      </c>
      <c r="F36" s="370">
        <f>C36*$A$36</f>
        <v>13</v>
      </c>
      <c r="G36" s="373">
        <v>102.17</v>
      </c>
      <c r="H36" s="251">
        <f>ROUND(F36*G36,2)</f>
        <v>1328.21</v>
      </c>
      <c r="L36" s="356">
        <v>16.41</v>
      </c>
      <c r="M36" s="281">
        <f>ROUND(IF(Dados!$I$66="SIM",L36*Dados!$N$66,L36),2)</f>
        <v>16.41</v>
      </c>
      <c r="N36" s="281">
        <f>ROUND(IF(Dados!$I$67="SIM",M36*Dados!$N$67,M36),2)</f>
        <v>16.41</v>
      </c>
      <c r="O36" s="281">
        <f>ROUND(IF(Dados!$I$68="SIM",N36*Dados!$N$68,N36),2)</f>
        <v>16.41</v>
      </c>
      <c r="P36" s="281">
        <f>ROUND(IF(Dados!$I$69="SIM",O36*Dados!$N$69,O36),2)</f>
        <v>16.41</v>
      </c>
      <c r="Q36" s="281">
        <f>ROUND(IF(Dados!$I$70="SIM",P36*Dados!$N$70,P36),2)</f>
        <v>16.41</v>
      </c>
      <c r="R36" s="28">
        <f>IF(Dados!$D$73="INICIAL",L36,IF(Dados!$D$73="1º IPCA",M36,IF(Dados!$D$73="2º IPCA",N36,IF(Dados!$D$73="3º IPCA",O36,IF(Dados!$D$73="4º IPCA",P36,IF(Dados!$D$73="5º IPCA",Q36,))))))</f>
        <v>16.41</v>
      </c>
    </row>
    <row r="37" spans="1:18" s="330" customFormat="1" ht="17.25" customHeight="1" x14ac:dyDescent="0.3">
      <c r="A37" s="809" t="s">
        <v>385</v>
      </c>
      <c r="B37" s="809"/>
      <c r="C37" s="809"/>
      <c r="D37" s="809"/>
      <c r="E37" s="809"/>
      <c r="F37" s="809"/>
      <c r="G37" s="809"/>
      <c r="H37" s="374">
        <f>SUM(H33:H36)</f>
        <v>7793.5000000000009</v>
      </c>
      <c r="L37" s="310"/>
      <c r="M37" s="310"/>
      <c r="N37" s="310"/>
      <c r="O37" s="310"/>
      <c r="P37" s="310"/>
      <c r="Q37" s="310"/>
    </row>
    <row r="38" spans="1:18" s="330" customFormat="1" ht="16.2" thickBot="1" x14ac:dyDescent="0.35">
      <c r="A38" s="801" t="s">
        <v>709</v>
      </c>
      <c r="B38" s="801"/>
      <c r="C38" s="801"/>
      <c r="D38" s="801"/>
      <c r="E38" s="801"/>
      <c r="F38" s="801"/>
      <c r="G38" s="359"/>
      <c r="H38" s="360">
        <f>ROUND(H37/$A$36/12,2)</f>
        <v>49.96</v>
      </c>
      <c r="L38" s="310"/>
      <c r="M38" s="310"/>
      <c r="N38" s="310"/>
      <c r="O38" s="310"/>
      <c r="P38" s="310"/>
      <c r="Q38" s="310"/>
    </row>
    <row r="39" spans="1:18" ht="24.75" customHeight="1" thickBot="1" x14ac:dyDescent="0.35">
      <c r="A39" s="238"/>
      <c r="B39" s="375"/>
      <c r="C39" s="376"/>
      <c r="D39" s="377"/>
      <c r="E39" s="375"/>
      <c r="F39" s="376"/>
      <c r="G39" s="378"/>
      <c r="H39" s="379"/>
    </row>
    <row r="40" spans="1:18" ht="31.5" customHeight="1" x14ac:dyDescent="0.3">
      <c r="A40" s="344" t="s">
        <v>371</v>
      </c>
      <c r="B40" s="345" t="s">
        <v>225</v>
      </c>
      <c r="C40" s="346" t="s">
        <v>372</v>
      </c>
      <c r="D40" s="345" t="s">
        <v>373</v>
      </c>
      <c r="E40" s="347" t="s">
        <v>374</v>
      </c>
      <c r="F40" s="348" t="s">
        <v>375</v>
      </c>
      <c r="G40" s="349" t="s">
        <v>376</v>
      </c>
      <c r="H40" s="350" t="s">
        <v>167</v>
      </c>
    </row>
    <row r="41" spans="1:18" ht="219" customHeight="1" x14ac:dyDescent="0.3">
      <c r="A41" s="806" t="s">
        <v>533</v>
      </c>
      <c r="B41" s="381" t="s">
        <v>378</v>
      </c>
      <c r="C41" s="351">
        <v>2</v>
      </c>
      <c r="D41" s="600" t="s">
        <v>755</v>
      </c>
      <c r="E41" s="382" t="s">
        <v>387</v>
      </c>
      <c r="F41" s="354">
        <f>C41*$A$45</f>
        <v>2</v>
      </c>
      <c r="G41" s="371">
        <v>94.78</v>
      </c>
      <c r="H41" s="251">
        <f>ROUND(F41*G41,2)</f>
        <v>189.56</v>
      </c>
    </row>
    <row r="42" spans="1:18" ht="204.6" x14ac:dyDescent="0.3">
      <c r="A42" s="806"/>
      <c r="B42" s="381" t="s">
        <v>380</v>
      </c>
      <c r="C42" s="351">
        <v>3</v>
      </c>
      <c r="D42" s="248" t="s">
        <v>756</v>
      </c>
      <c r="E42" s="382" t="s">
        <v>388</v>
      </c>
      <c r="F42" s="354">
        <f>C42*$A$45</f>
        <v>3</v>
      </c>
      <c r="G42" s="371">
        <v>102.59</v>
      </c>
      <c r="H42" s="251">
        <f>ROUND(F42*G42,2)</f>
        <v>307.77</v>
      </c>
    </row>
    <row r="43" spans="1:18" ht="84.75" customHeight="1" x14ac:dyDescent="0.3">
      <c r="A43" s="807" t="s">
        <v>389</v>
      </c>
      <c r="B43" s="381" t="s">
        <v>382</v>
      </c>
      <c r="C43" s="351">
        <v>1</v>
      </c>
      <c r="D43" s="600" t="s">
        <v>757</v>
      </c>
      <c r="E43" s="382" t="s">
        <v>387</v>
      </c>
      <c r="F43" s="354">
        <f>C43*$A$45</f>
        <v>1</v>
      </c>
      <c r="G43" s="371">
        <v>102.17</v>
      </c>
      <c r="H43" s="251">
        <f>ROUND(F43*G43,2)</f>
        <v>102.17</v>
      </c>
    </row>
    <row r="44" spans="1:18" x14ac:dyDescent="0.3">
      <c r="A44" s="807"/>
      <c r="B44" s="383" t="s">
        <v>700</v>
      </c>
      <c r="C44" s="384">
        <v>2</v>
      </c>
      <c r="D44" s="385" t="s">
        <v>699</v>
      </c>
      <c r="E44" s="386" t="s">
        <v>387</v>
      </c>
      <c r="F44" s="354">
        <f>C44*$A$45</f>
        <v>2</v>
      </c>
      <c r="G44" s="387">
        <v>41.84</v>
      </c>
      <c r="H44" s="251">
        <f>ROUND(F44*G44,2)</f>
        <v>83.68</v>
      </c>
    </row>
    <row r="45" spans="1:18" ht="27.6" x14ac:dyDescent="0.3">
      <c r="A45" s="652">
        <f>Dados!B16</f>
        <v>1</v>
      </c>
      <c r="B45" s="383" t="s">
        <v>698</v>
      </c>
      <c r="C45" s="388">
        <v>2</v>
      </c>
      <c r="D45" s="601" t="s">
        <v>697</v>
      </c>
      <c r="E45" s="388" t="s">
        <v>388</v>
      </c>
      <c r="F45" s="354">
        <f>C45*$A$45</f>
        <v>2</v>
      </c>
      <c r="G45" s="387">
        <v>45.35</v>
      </c>
      <c r="H45" s="251">
        <f>ROUND(F45*G45,2)</f>
        <v>90.7</v>
      </c>
    </row>
    <row r="46" spans="1:18" ht="18.75" customHeight="1" thickBot="1" x14ac:dyDescent="0.35">
      <c r="A46" s="808" t="s">
        <v>385</v>
      </c>
      <c r="B46" s="808"/>
      <c r="C46" s="808"/>
      <c r="D46" s="808"/>
      <c r="E46" s="808"/>
      <c r="F46" s="808"/>
      <c r="G46" s="808"/>
      <c r="H46" s="380">
        <f>SUM(H41:H45)</f>
        <v>773.88000000000011</v>
      </c>
    </row>
    <row r="47" spans="1:18" ht="16.2" thickBot="1" x14ac:dyDescent="0.35">
      <c r="A47" s="801" t="s">
        <v>710</v>
      </c>
      <c r="B47" s="801"/>
      <c r="C47" s="801"/>
      <c r="D47" s="801"/>
      <c r="E47" s="801"/>
      <c r="F47" s="801"/>
      <c r="G47" s="359"/>
      <c r="H47" s="360">
        <f>ROUND(H46/A45/12,2)</f>
        <v>64.489999999999995</v>
      </c>
    </row>
    <row r="48" spans="1:18" ht="26.25" customHeight="1" thickBot="1" x14ac:dyDescent="0.35">
      <c r="A48" s="238"/>
      <c r="B48" s="375"/>
      <c r="C48" s="376"/>
      <c r="D48" s="377"/>
      <c r="E48" s="375"/>
      <c r="F48" s="376"/>
      <c r="G48" s="378"/>
      <c r="H48" s="379"/>
    </row>
    <row r="49" spans="1:8" ht="30.75" customHeight="1" x14ac:dyDescent="0.3">
      <c r="A49" s="344" t="s">
        <v>371</v>
      </c>
      <c r="B49" s="345" t="s">
        <v>225</v>
      </c>
      <c r="C49" s="346" t="s">
        <v>372</v>
      </c>
      <c r="D49" s="345" t="s">
        <v>373</v>
      </c>
      <c r="E49" s="347" t="s">
        <v>374</v>
      </c>
      <c r="F49" s="348" t="s">
        <v>375</v>
      </c>
      <c r="G49" s="349" t="s">
        <v>376</v>
      </c>
      <c r="H49" s="350" t="s">
        <v>167</v>
      </c>
    </row>
    <row r="50" spans="1:8" ht="216.75" customHeight="1" x14ac:dyDescent="0.3">
      <c r="A50" s="806" t="s">
        <v>158</v>
      </c>
      <c r="B50" s="108" t="s">
        <v>378</v>
      </c>
      <c r="C50" s="369">
        <v>2</v>
      </c>
      <c r="D50" s="599" t="s">
        <v>755</v>
      </c>
      <c r="E50" s="353" t="s">
        <v>387</v>
      </c>
      <c r="F50" s="370">
        <f>C50*$A$53</f>
        <v>4</v>
      </c>
      <c r="G50" s="371">
        <v>94.78</v>
      </c>
      <c r="H50" s="251">
        <f>ROUND(F50*G50,2)</f>
        <v>379.12</v>
      </c>
    </row>
    <row r="51" spans="1:8" ht="231" customHeight="1" x14ac:dyDescent="0.3">
      <c r="A51" s="806"/>
      <c r="B51" s="108" t="s">
        <v>380</v>
      </c>
      <c r="C51" s="369">
        <v>3</v>
      </c>
      <c r="D51" s="599" t="s">
        <v>756</v>
      </c>
      <c r="E51" s="353" t="s">
        <v>696</v>
      </c>
      <c r="F51" s="370">
        <f t="shared" ref="F51:F53" si="6">C51*$A$53</f>
        <v>6</v>
      </c>
      <c r="G51" s="371">
        <v>102.59</v>
      </c>
      <c r="H51" s="251">
        <f>ROUND(F51*G51,2)</f>
        <v>615.54</v>
      </c>
    </row>
    <row r="52" spans="1:8" ht="90.75" customHeight="1" x14ac:dyDescent="0.3">
      <c r="A52" s="357" t="s">
        <v>384</v>
      </c>
      <c r="B52" s="108" t="s">
        <v>382</v>
      </c>
      <c r="C52" s="369">
        <v>1</v>
      </c>
      <c r="D52" s="598" t="s">
        <v>757</v>
      </c>
      <c r="E52" s="372" t="s">
        <v>387</v>
      </c>
      <c r="F52" s="370">
        <f t="shared" si="6"/>
        <v>2</v>
      </c>
      <c r="G52" s="373">
        <v>102.17</v>
      </c>
      <c r="H52" s="251">
        <f>ROUND(F52*G52,2)</f>
        <v>204.34</v>
      </c>
    </row>
    <row r="53" spans="1:8" ht="15.6" x14ac:dyDescent="0.3">
      <c r="A53" s="652">
        <f>Dados!B9</f>
        <v>2</v>
      </c>
      <c r="B53" s="108" t="s">
        <v>700</v>
      </c>
      <c r="C53" s="369">
        <v>2</v>
      </c>
      <c r="D53" s="389" t="s">
        <v>699</v>
      </c>
      <c r="E53" s="372" t="s">
        <v>387</v>
      </c>
      <c r="F53" s="370">
        <f t="shared" si="6"/>
        <v>4</v>
      </c>
      <c r="G53" s="371">
        <v>41.84</v>
      </c>
      <c r="H53" s="251">
        <f>ROUND(F53*G53,2)</f>
        <v>167.36</v>
      </c>
    </row>
    <row r="54" spans="1:8" x14ac:dyDescent="0.3">
      <c r="A54" s="808" t="s">
        <v>385</v>
      </c>
      <c r="B54" s="808"/>
      <c r="C54" s="808"/>
      <c r="D54" s="808"/>
      <c r="E54" s="808"/>
      <c r="F54" s="808"/>
      <c r="G54" s="808"/>
      <c r="H54" s="380">
        <f>SUM(H50:H53)</f>
        <v>1366.3600000000001</v>
      </c>
    </row>
    <row r="55" spans="1:8" ht="15.6" x14ac:dyDescent="0.3">
      <c r="A55" s="801" t="s">
        <v>390</v>
      </c>
      <c r="B55" s="801"/>
      <c r="C55" s="801"/>
      <c r="D55" s="801"/>
      <c r="E55" s="801"/>
      <c r="F55" s="801"/>
      <c r="G55" s="359"/>
      <c r="H55" s="360">
        <f>ROUND(H54/A53/12,2)</f>
        <v>56.93</v>
      </c>
    </row>
    <row r="56" spans="1:8" ht="23.25" customHeight="1" x14ac:dyDescent="0.3">
      <c r="A56" s="239"/>
      <c r="B56" s="375"/>
      <c r="C56" s="376"/>
      <c r="D56" s="377"/>
      <c r="E56" s="375"/>
      <c r="F56" s="376"/>
      <c r="G56" s="378"/>
      <c r="H56" s="379"/>
    </row>
    <row r="57" spans="1:8" ht="33" customHeight="1" x14ac:dyDescent="0.3">
      <c r="A57" s="344" t="s">
        <v>371</v>
      </c>
      <c r="B57" s="345" t="s">
        <v>225</v>
      </c>
      <c r="C57" s="346" t="s">
        <v>372</v>
      </c>
      <c r="D57" s="345" t="s">
        <v>373</v>
      </c>
      <c r="E57" s="347" t="s">
        <v>374</v>
      </c>
      <c r="F57" s="348" t="s">
        <v>375</v>
      </c>
      <c r="G57" s="349" t="s">
        <v>376</v>
      </c>
      <c r="H57" s="350" t="s">
        <v>167</v>
      </c>
    </row>
    <row r="58" spans="1:8" ht="230.25" customHeight="1" x14ac:dyDescent="0.3">
      <c r="A58" s="802" t="s">
        <v>391</v>
      </c>
      <c r="B58" s="108" t="s">
        <v>378</v>
      </c>
      <c r="C58" s="369">
        <v>2</v>
      </c>
      <c r="D58" s="284" t="s">
        <v>755</v>
      </c>
      <c r="E58" s="372" t="s">
        <v>387</v>
      </c>
      <c r="F58" s="354">
        <f>C58*$A$62</f>
        <v>2</v>
      </c>
      <c r="G58" s="371">
        <v>94.78</v>
      </c>
      <c r="H58" s="251">
        <f>ROUND(F58*G58,2)</f>
        <v>189.56</v>
      </c>
    </row>
    <row r="59" spans="1:8" ht="231" customHeight="1" x14ac:dyDescent="0.3">
      <c r="A59" s="803"/>
      <c r="B59" s="372" t="s">
        <v>380</v>
      </c>
      <c r="C59" s="369">
        <v>3</v>
      </c>
      <c r="D59" s="599" t="s">
        <v>756</v>
      </c>
      <c r="E59" s="372" t="s">
        <v>388</v>
      </c>
      <c r="F59" s="354">
        <f>C59*$A$62</f>
        <v>3</v>
      </c>
      <c r="G59" s="371">
        <v>102.59</v>
      </c>
      <c r="H59" s="251">
        <f>ROUND(F59*G59,2)</f>
        <v>307.77</v>
      </c>
    </row>
    <row r="60" spans="1:8" x14ac:dyDescent="0.3">
      <c r="A60" s="804"/>
      <c r="B60" s="372" t="s">
        <v>700</v>
      </c>
      <c r="C60" s="369">
        <v>2</v>
      </c>
      <c r="D60" s="599" t="s">
        <v>699</v>
      </c>
      <c r="E60" s="372" t="s">
        <v>388</v>
      </c>
      <c r="F60" s="354">
        <f>C60*$A$62</f>
        <v>2</v>
      </c>
      <c r="G60" s="371">
        <v>41.84</v>
      </c>
      <c r="H60" s="251">
        <f>ROUND(F60*G60,2)</f>
        <v>83.68</v>
      </c>
    </row>
    <row r="61" spans="1:8" ht="27.6" x14ac:dyDescent="0.3">
      <c r="A61" s="357" t="s">
        <v>384</v>
      </c>
      <c r="B61" s="372" t="s">
        <v>698</v>
      </c>
      <c r="C61" s="369">
        <v>2</v>
      </c>
      <c r="D61" s="284" t="s">
        <v>697</v>
      </c>
      <c r="E61" s="372" t="s">
        <v>388</v>
      </c>
      <c r="F61" s="354">
        <f>C61*$A$62</f>
        <v>2</v>
      </c>
      <c r="G61" s="371">
        <v>45.35</v>
      </c>
      <c r="H61" s="251">
        <f>ROUND(F61*G61,2)</f>
        <v>90.7</v>
      </c>
    </row>
    <row r="62" spans="1:8" ht="72" customHeight="1" x14ac:dyDescent="0.3">
      <c r="A62" s="652">
        <f>Dados!B15</f>
        <v>1</v>
      </c>
      <c r="B62" s="108" t="s">
        <v>382</v>
      </c>
      <c r="C62" s="369">
        <v>1</v>
      </c>
      <c r="D62" s="599" t="s">
        <v>758</v>
      </c>
      <c r="E62" s="372" t="s">
        <v>387</v>
      </c>
      <c r="F62" s="354">
        <f>C62*$A$62</f>
        <v>1</v>
      </c>
      <c r="G62" s="371">
        <v>102.17</v>
      </c>
      <c r="H62" s="251">
        <f>ROUND(F62*G62,2)</f>
        <v>102.17</v>
      </c>
    </row>
    <row r="63" spans="1:8" x14ac:dyDescent="0.3">
      <c r="A63" s="808" t="s">
        <v>385</v>
      </c>
      <c r="B63" s="808"/>
      <c r="C63" s="808"/>
      <c r="D63" s="808"/>
      <c r="E63" s="808"/>
      <c r="F63" s="808"/>
      <c r="G63" s="808"/>
      <c r="H63" s="380">
        <f>SUM(H58:H62)</f>
        <v>773.88</v>
      </c>
    </row>
    <row r="64" spans="1:8" ht="15.6" x14ac:dyDescent="0.3">
      <c r="A64" s="801" t="s">
        <v>392</v>
      </c>
      <c r="B64" s="801"/>
      <c r="C64" s="801"/>
      <c r="D64" s="801"/>
      <c r="E64" s="801"/>
      <c r="F64" s="801"/>
      <c r="G64" s="359"/>
      <c r="H64" s="360">
        <f>ROUND(H63/A62/12,2)</f>
        <v>64.489999999999995</v>
      </c>
    </row>
  </sheetData>
  <sheetProtection algorithmName="SHA-512" hashValue="2ZFdxqxSIkyepnQq+qMTkCRkQi0qrzQtRPcRsGsTCmDeI6xYmCkbzjxQ99xMV4R5sZ4CwmJu3FOsvBmAP6c3NQ==" saltValue="RqSIBfu3E0mOfRWcvsXYzA==" spinCount="100000" sheet="1" objects="1" scenarios="1"/>
  <mergeCells count="30">
    <mergeCell ref="A12:G12"/>
    <mergeCell ref="A13:F13"/>
    <mergeCell ref="L1:Q4"/>
    <mergeCell ref="A4:H4"/>
    <mergeCell ref="A5:H5"/>
    <mergeCell ref="L5:L8"/>
    <mergeCell ref="M5:M8"/>
    <mergeCell ref="N5:N8"/>
    <mergeCell ref="O5:O8"/>
    <mergeCell ref="P5:P8"/>
    <mergeCell ref="Q5:Q8"/>
    <mergeCell ref="A6:H6"/>
    <mergeCell ref="A63:G63"/>
    <mergeCell ref="A64:F64"/>
    <mergeCell ref="A50:A51"/>
    <mergeCell ref="A54:G54"/>
    <mergeCell ref="A55:F55"/>
    <mergeCell ref="A31:F31"/>
    <mergeCell ref="A58:A60"/>
    <mergeCell ref="A21:G21"/>
    <mergeCell ref="A22:F22"/>
    <mergeCell ref="A16:A18"/>
    <mergeCell ref="A25:A27"/>
    <mergeCell ref="A30:G30"/>
    <mergeCell ref="A41:A42"/>
    <mergeCell ref="A43:A44"/>
    <mergeCell ref="A46:G46"/>
    <mergeCell ref="A47:F47"/>
    <mergeCell ref="A37:G37"/>
    <mergeCell ref="A38:F38"/>
  </mergeCells>
  <pageMargins left="0.51180555555555596" right="0.51180555555555596" top="0.78749999999999998" bottom="0.78749999999999998" header="0.511811023622047" footer="0.511811023622047"/>
  <pageSetup paperSize="9" scale="63"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9">
    <tabColor theme="8"/>
  </sheetPr>
  <dimension ref="A1:AMJ29"/>
  <sheetViews>
    <sheetView showGridLines="0" tabSelected="1" zoomScale="85" zoomScaleNormal="85" workbookViewId="0">
      <selection activeCell="B19" sqref="B19"/>
    </sheetView>
  </sheetViews>
  <sheetFormatPr defaultColWidth="9.109375" defaultRowHeight="14.4" x14ac:dyDescent="0.3"/>
  <cols>
    <col min="1" max="1" width="11.109375" style="26" customWidth="1"/>
    <col min="2" max="2" width="42.109375" style="26" customWidth="1"/>
    <col min="3" max="3" width="7.109375" style="26" customWidth="1"/>
    <col min="4" max="4" width="6.6640625" style="26" customWidth="1"/>
    <col min="5" max="5" width="10.109375" style="26" customWidth="1"/>
    <col min="6" max="6" width="12.5546875" style="26" customWidth="1"/>
    <col min="7" max="7" width="12.33203125" style="26" customWidth="1"/>
    <col min="8" max="8" width="8.88671875" style="26" customWidth="1"/>
    <col min="9" max="9" width="10" style="26" customWidth="1"/>
    <col min="10" max="10" width="13.6640625" style="26" customWidth="1"/>
    <col min="11" max="11" width="9.6640625" style="26" customWidth="1"/>
    <col min="12" max="12" width="10.5546875" style="26" customWidth="1"/>
    <col min="13" max="13" width="12.33203125" style="26" customWidth="1"/>
    <col min="14" max="14" width="7.44140625" style="26" customWidth="1"/>
    <col min="15" max="15" width="9" style="26" customWidth="1"/>
    <col min="16" max="16" width="12" style="26" customWidth="1"/>
    <col min="17" max="17" width="9.5546875" style="26" customWidth="1"/>
    <col min="18" max="18" width="10.109375" style="26" customWidth="1"/>
    <col min="19" max="19" width="16.109375" style="26" customWidth="1"/>
    <col min="20" max="20" width="10.44140625" style="26" customWidth="1"/>
    <col min="21" max="21" width="8.6640625" style="26" customWidth="1"/>
    <col min="22" max="22" width="7.6640625" style="26" customWidth="1"/>
    <col min="23" max="23" width="19.6640625" style="26" customWidth="1"/>
    <col min="24" max="24" width="9.109375" style="26"/>
    <col min="25" max="25" width="11.5546875" style="26" customWidth="1"/>
    <col min="26" max="259" width="9.109375" style="26"/>
    <col min="260" max="260" width="13.109375" style="26" customWidth="1"/>
    <col min="261" max="261" width="38.44140625" style="26" customWidth="1"/>
    <col min="262" max="262" width="7.109375" style="26" customWidth="1"/>
    <col min="263" max="263" width="6.6640625" style="26" customWidth="1"/>
    <col min="264" max="264" width="10.109375" style="26" customWidth="1"/>
    <col min="265" max="265" width="12.5546875" style="26" customWidth="1"/>
    <col min="266" max="266" width="12.33203125" style="26" customWidth="1"/>
    <col min="267" max="267" width="13.44140625" style="26" customWidth="1"/>
    <col min="268" max="268" width="12.109375" style="26" customWidth="1"/>
    <col min="269" max="269" width="13.6640625" style="26" customWidth="1"/>
    <col min="270" max="270" width="11.33203125" style="26" customWidth="1"/>
    <col min="271" max="271" width="15.5546875" style="26" customWidth="1"/>
    <col min="272" max="272" width="12.33203125" style="26" customWidth="1"/>
    <col min="273" max="273" width="7.44140625" style="26" customWidth="1"/>
    <col min="274" max="274" width="13.33203125" style="26" customWidth="1"/>
    <col min="275" max="275" width="14" style="26" customWidth="1"/>
    <col min="276" max="276" width="12.109375" style="26" customWidth="1"/>
    <col min="277" max="278" width="10.109375" style="26" customWidth="1"/>
    <col min="279" max="279" width="16.44140625" style="26" customWidth="1"/>
    <col min="280" max="515" width="9.109375" style="26"/>
    <col min="516" max="516" width="13.109375" style="26" customWidth="1"/>
    <col min="517" max="517" width="38.44140625" style="26" customWidth="1"/>
    <col min="518" max="518" width="7.109375" style="26" customWidth="1"/>
    <col min="519" max="519" width="6.6640625" style="26" customWidth="1"/>
    <col min="520" max="520" width="10.109375" style="26" customWidth="1"/>
    <col min="521" max="521" width="12.5546875" style="26" customWidth="1"/>
    <col min="522" max="522" width="12.33203125" style="26" customWidth="1"/>
    <col min="523" max="523" width="13.44140625" style="26" customWidth="1"/>
    <col min="524" max="524" width="12.109375" style="26" customWidth="1"/>
    <col min="525" max="525" width="13.6640625" style="26" customWidth="1"/>
    <col min="526" max="526" width="11.33203125" style="26" customWidth="1"/>
    <col min="527" max="527" width="15.5546875" style="26" customWidth="1"/>
    <col min="528" max="528" width="12.33203125" style="26" customWidth="1"/>
    <col min="529" max="529" width="7.44140625" style="26" customWidth="1"/>
    <col min="530" max="530" width="13.33203125" style="26" customWidth="1"/>
    <col min="531" max="531" width="14" style="26" customWidth="1"/>
    <col min="532" max="532" width="12.109375" style="26" customWidth="1"/>
    <col min="533" max="534" width="10.109375" style="26" customWidth="1"/>
    <col min="535" max="535" width="16.44140625" style="26" customWidth="1"/>
    <col min="536" max="771" width="9.109375" style="26"/>
    <col min="772" max="772" width="13.109375" style="26" customWidth="1"/>
    <col min="773" max="773" width="38.44140625" style="26" customWidth="1"/>
    <col min="774" max="774" width="7.109375" style="26" customWidth="1"/>
    <col min="775" max="775" width="6.6640625" style="26" customWidth="1"/>
    <col min="776" max="776" width="10.109375" style="26" customWidth="1"/>
    <col min="777" max="777" width="12.5546875" style="26" customWidth="1"/>
    <col min="778" max="778" width="12.33203125" style="26" customWidth="1"/>
    <col min="779" max="779" width="13.44140625" style="26" customWidth="1"/>
    <col min="780" max="780" width="12.109375" style="26" customWidth="1"/>
    <col min="781" max="781" width="13.6640625" style="26" customWidth="1"/>
    <col min="782" max="782" width="11.33203125" style="26" customWidth="1"/>
    <col min="783" max="783" width="15.5546875" style="26" customWidth="1"/>
    <col min="784" max="784" width="12.33203125" style="26" customWidth="1"/>
    <col min="785" max="785" width="7.44140625" style="26" customWidth="1"/>
    <col min="786" max="786" width="13.33203125" style="26" customWidth="1"/>
    <col min="787" max="787" width="14" style="26" customWidth="1"/>
    <col min="788" max="788" width="12.109375" style="26" customWidth="1"/>
    <col min="789" max="790" width="10.109375" style="26" customWidth="1"/>
    <col min="791" max="791" width="16.44140625" style="26" customWidth="1"/>
    <col min="792" max="1024" width="9.109375" style="26"/>
  </cols>
  <sheetData>
    <row r="1" spans="1:1024" x14ac:dyDescent="0.3">
      <c r="A1" s="29"/>
      <c r="B1" s="390" t="str">
        <f>INSTRUÇÕES!B1</f>
        <v>Tribunal Regional Federal da 6ª Região</v>
      </c>
      <c r="C1" s="391"/>
      <c r="D1" s="391"/>
      <c r="E1" s="391"/>
      <c r="F1" s="391"/>
      <c r="G1" s="391"/>
      <c r="H1" s="391"/>
      <c r="I1" s="391"/>
      <c r="J1" s="392"/>
      <c r="K1" s="392"/>
      <c r="L1" s="392"/>
      <c r="M1" s="392"/>
      <c r="N1" s="392"/>
      <c r="O1" s="392"/>
      <c r="P1" s="392"/>
      <c r="Q1" s="392"/>
      <c r="R1" s="392"/>
      <c r="S1" s="392"/>
      <c r="T1" s="392"/>
      <c r="U1" s="392"/>
      <c r="V1" s="392"/>
      <c r="W1" s="393"/>
    </row>
    <row r="2" spans="1:1024" x14ac:dyDescent="0.3">
      <c r="A2" s="394"/>
      <c r="B2" s="113" t="str">
        <f>INSTRUÇÕES!B2</f>
        <v>Seção Judiciária de Minas Gerais</v>
      </c>
      <c r="C2" s="4"/>
      <c r="D2" s="4"/>
      <c r="E2" s="4"/>
      <c r="F2" s="4"/>
      <c r="G2" s="4"/>
      <c r="H2" s="4"/>
      <c r="I2" s="4"/>
      <c r="W2" s="395"/>
    </row>
    <row r="3" spans="1:1024" s="398" customFormat="1" ht="19.5" customHeight="1" x14ac:dyDescent="0.3">
      <c r="A3" s="32"/>
      <c r="B3" s="234" t="str">
        <f>INSTRUÇÕES!B3</f>
        <v>Subseção Judiciária de Uberlândia</v>
      </c>
      <c r="C3" s="396"/>
      <c r="D3" s="396"/>
      <c r="E3" s="396"/>
      <c r="F3" s="396"/>
      <c r="G3" s="396"/>
      <c r="H3" s="396"/>
      <c r="I3" s="396"/>
      <c r="J3" s="36"/>
      <c r="K3" s="36"/>
      <c r="L3" s="36"/>
      <c r="M3" s="36"/>
      <c r="N3" s="36"/>
      <c r="O3" s="36"/>
      <c r="P3" s="36"/>
      <c r="Q3" s="36"/>
      <c r="R3" s="36"/>
      <c r="S3" s="36"/>
      <c r="T3" s="36"/>
      <c r="U3" s="36"/>
      <c r="V3" s="36"/>
      <c r="W3" s="397"/>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row>
    <row r="4" spans="1:1024" s="399" customFormat="1" ht="23.25" customHeight="1" x14ac:dyDescent="0.3">
      <c r="A4" s="685" t="s">
        <v>393</v>
      </c>
      <c r="B4" s="685"/>
      <c r="C4" s="685"/>
      <c r="D4" s="685"/>
      <c r="E4" s="685"/>
      <c r="F4" s="685"/>
      <c r="G4" s="685"/>
      <c r="H4" s="685"/>
      <c r="I4" s="685"/>
      <c r="J4" s="685"/>
      <c r="K4" s="685"/>
      <c r="L4" s="685"/>
      <c r="M4" s="685"/>
      <c r="N4" s="685"/>
      <c r="O4" s="685"/>
      <c r="P4" s="685"/>
      <c r="Q4" s="685"/>
      <c r="R4" s="685"/>
      <c r="S4" s="685"/>
      <c r="T4" s="685"/>
      <c r="U4" s="685"/>
      <c r="V4" s="685"/>
      <c r="W4" s="685"/>
    </row>
    <row r="5" spans="1:1024" s="118" customFormat="1" ht="21" customHeight="1" x14ac:dyDescent="0.3">
      <c r="A5" s="686" t="str">
        <f>"PREÇO MENSAL GLOBAL - "&amp;B3</f>
        <v>PREÇO MENSAL GLOBAL - Subseção Judiciária de Uberlândia</v>
      </c>
      <c r="B5" s="686"/>
      <c r="C5" s="686"/>
      <c r="D5" s="686"/>
      <c r="E5" s="686"/>
      <c r="F5" s="686"/>
      <c r="G5" s="686"/>
      <c r="H5" s="686"/>
      <c r="I5" s="686"/>
      <c r="J5" s="686"/>
      <c r="K5" s="686"/>
      <c r="L5" s="686"/>
      <c r="M5" s="686"/>
      <c r="N5" s="686"/>
      <c r="O5" s="686"/>
      <c r="P5" s="686"/>
      <c r="Q5" s="686"/>
      <c r="R5" s="686"/>
      <c r="S5" s="686"/>
      <c r="T5" s="686"/>
      <c r="U5" s="686"/>
      <c r="V5" s="686"/>
      <c r="W5" s="686"/>
    </row>
    <row r="6" spans="1:1024" s="28" customFormat="1" ht="23.25" customHeight="1" x14ac:dyDescent="0.3">
      <c r="A6" s="687" t="str">
        <f>Dados!A4</f>
        <v>Sindicato utilizado - SEAC/MG x SINDEACO/MG. Vigência: 01/01/2025 à 31/12/2025. Sendo a data base da categoria 01º Janeiro. Com número de registro no MTE MG001252/2025.</v>
      </c>
      <c r="B6" s="687"/>
      <c r="C6" s="687"/>
      <c r="D6" s="687"/>
      <c r="E6" s="687"/>
      <c r="F6" s="687"/>
      <c r="G6" s="687"/>
      <c r="H6" s="687"/>
      <c r="I6" s="687"/>
      <c r="J6" s="687"/>
      <c r="K6" s="687"/>
      <c r="L6" s="687"/>
      <c r="M6" s="687"/>
      <c r="N6" s="687"/>
      <c r="O6" s="687"/>
      <c r="P6" s="687"/>
      <c r="Q6" s="687"/>
      <c r="R6" s="687"/>
      <c r="S6" s="687"/>
      <c r="T6" s="687"/>
      <c r="U6" s="687"/>
      <c r="V6" s="687"/>
      <c r="W6" s="687"/>
    </row>
    <row r="7" spans="1:1024" s="40" customFormat="1" ht="26.25" customHeight="1" x14ac:dyDescent="0.3">
      <c r="A7" s="400"/>
      <c r="B7" s="401"/>
      <c r="C7" s="401"/>
      <c r="D7" s="401"/>
      <c r="E7" s="402"/>
      <c r="F7" s="402"/>
      <c r="G7" s="402"/>
      <c r="H7" s="403" t="s">
        <v>394</v>
      </c>
      <c r="I7" s="404"/>
      <c r="J7" s="404"/>
      <c r="K7" s="402"/>
      <c r="L7" s="402"/>
      <c r="M7" s="402"/>
      <c r="N7" s="402"/>
      <c r="O7" s="402"/>
      <c r="P7" s="402"/>
      <c r="Q7" s="402"/>
      <c r="R7" s="402"/>
      <c r="S7" s="688" t="s">
        <v>395</v>
      </c>
      <c r="T7" s="688"/>
      <c r="U7" s="688"/>
      <c r="V7" s="688"/>
      <c r="W7" s="688"/>
    </row>
    <row r="8" spans="1:1024" s="40" customFormat="1" ht="27.75" customHeight="1" x14ac:dyDescent="0.3">
      <c r="A8" s="689" t="s">
        <v>396</v>
      </c>
      <c r="B8" s="690" t="s">
        <v>397</v>
      </c>
      <c r="C8" s="690"/>
      <c r="D8" s="691" t="s">
        <v>88</v>
      </c>
      <c r="E8" s="691"/>
      <c r="F8" s="691"/>
      <c r="G8" s="691"/>
      <c r="H8" s="691"/>
      <c r="I8" s="691"/>
      <c r="J8" s="691"/>
      <c r="K8" s="691"/>
      <c r="L8" s="691"/>
      <c r="M8" s="691"/>
      <c r="N8" s="691"/>
      <c r="O8" s="691"/>
      <c r="P8" s="691"/>
      <c r="Q8" s="691"/>
      <c r="R8" s="691"/>
      <c r="S8" s="691"/>
      <c r="T8" s="691"/>
      <c r="U8" s="691"/>
      <c r="V8" s="691"/>
      <c r="W8" s="692" t="s">
        <v>398</v>
      </c>
    </row>
    <row r="9" spans="1:1024" s="40" customFormat="1" ht="36.75" customHeight="1" x14ac:dyDescent="0.3">
      <c r="A9" s="689"/>
      <c r="B9" s="690"/>
      <c r="C9" s="690"/>
      <c r="D9" s="693" t="s">
        <v>399</v>
      </c>
      <c r="E9" s="693"/>
      <c r="F9" s="693"/>
      <c r="G9" s="693" t="s">
        <v>400</v>
      </c>
      <c r="H9" s="693"/>
      <c r="I9" s="693"/>
      <c r="J9" s="694" t="s">
        <v>401</v>
      </c>
      <c r="K9" s="694"/>
      <c r="L9" s="694"/>
      <c r="M9" s="694"/>
      <c r="N9" s="694"/>
      <c r="O9" s="694"/>
      <c r="P9" s="695" t="s">
        <v>402</v>
      </c>
      <c r="Q9" s="695"/>
      <c r="R9" s="695"/>
      <c r="S9" s="405" t="s">
        <v>403</v>
      </c>
      <c r="T9" s="696" t="s">
        <v>404</v>
      </c>
      <c r="U9" s="696"/>
      <c r="V9" s="696"/>
      <c r="W9" s="692"/>
    </row>
    <row r="10" spans="1:1024" s="40" customFormat="1" ht="27.75" customHeight="1" x14ac:dyDescent="0.3">
      <c r="A10" s="689"/>
      <c r="B10" s="690"/>
      <c r="C10" s="690"/>
      <c r="D10" s="697" t="s">
        <v>405</v>
      </c>
      <c r="E10" s="697"/>
      <c r="F10" s="697"/>
      <c r="G10" s="698" t="s">
        <v>406</v>
      </c>
      <c r="H10" s="699" t="s">
        <v>407</v>
      </c>
      <c r="I10" s="699"/>
      <c r="J10" s="681" t="s">
        <v>408</v>
      </c>
      <c r="K10" s="681"/>
      <c r="L10" s="681"/>
      <c r="M10" s="682" t="s">
        <v>409</v>
      </c>
      <c r="N10" s="682"/>
      <c r="O10" s="682"/>
      <c r="P10" s="683" t="s">
        <v>410</v>
      </c>
      <c r="Q10" s="683"/>
      <c r="R10" s="683"/>
      <c r="S10" s="684" t="s">
        <v>411</v>
      </c>
      <c r="T10" s="683" t="s">
        <v>412</v>
      </c>
      <c r="U10" s="683"/>
      <c r="V10" s="683"/>
      <c r="W10" s="692"/>
    </row>
    <row r="11" spans="1:1024" s="40" customFormat="1" ht="42" thickBot="1" x14ac:dyDescent="0.35">
      <c r="A11" s="689"/>
      <c r="B11" s="406" t="s">
        <v>70</v>
      </c>
      <c r="C11" s="407" t="s">
        <v>71</v>
      </c>
      <c r="D11" s="408" t="s">
        <v>69</v>
      </c>
      <c r="E11" s="409" t="s">
        <v>413</v>
      </c>
      <c r="F11" s="410" t="s">
        <v>414</v>
      </c>
      <c r="G11" s="698"/>
      <c r="H11" s="411" t="s">
        <v>415</v>
      </c>
      <c r="I11" s="412" t="s">
        <v>416</v>
      </c>
      <c r="J11" s="413" t="s">
        <v>417</v>
      </c>
      <c r="K11" s="411" t="s">
        <v>78</v>
      </c>
      <c r="L11" s="412" t="s">
        <v>418</v>
      </c>
      <c r="M11" s="414" t="s">
        <v>419</v>
      </c>
      <c r="N11" s="411" t="s">
        <v>79</v>
      </c>
      <c r="O11" s="415" t="s">
        <v>420</v>
      </c>
      <c r="P11" s="416" t="s">
        <v>421</v>
      </c>
      <c r="Q11" s="417" t="s">
        <v>422</v>
      </c>
      <c r="R11" s="412" t="s">
        <v>423</v>
      </c>
      <c r="S11" s="684"/>
      <c r="T11" s="418" t="s">
        <v>424</v>
      </c>
      <c r="U11" s="419" t="s">
        <v>425</v>
      </c>
      <c r="V11" s="420" t="s">
        <v>426</v>
      </c>
      <c r="W11" s="692"/>
    </row>
    <row r="12" spans="1:1024" s="57" customFormat="1" ht="15.6" x14ac:dyDescent="0.3">
      <c r="A12" s="677" t="s">
        <v>157</v>
      </c>
      <c r="B12" s="421" t="str">
        <f>Dados!C7</f>
        <v>Assistente Administrativo</v>
      </c>
      <c r="C12" s="422">
        <f>Dados!D7</f>
        <v>150</v>
      </c>
      <c r="D12" s="423">
        <f>Dados!B7</f>
        <v>10</v>
      </c>
      <c r="E12" s="424">
        <f>'Assistente Administrativo 150'!F45</f>
        <v>4445.5</v>
      </c>
      <c r="F12" s="425">
        <f t="shared" ref="F12:F21" si="0">ROUND((D12*E12),2)</f>
        <v>44455</v>
      </c>
      <c r="G12" s="426">
        <f>'Assistente Administrativo 150'!I45</f>
        <v>189.43</v>
      </c>
      <c r="H12" s="427">
        <f>'Ocorrências Mensais - FAT'!F11+'Ocorrências Mensais - FAT'!H11</f>
        <v>0</v>
      </c>
      <c r="I12" s="590">
        <f>(ROUND(G12/Dados!$G$40*H12,2)-(G12/'Ocorrências Mensais - FAT'!$E$5*'Ocorrências Mensais - FAT'!G11))</f>
        <v>0</v>
      </c>
      <c r="J12" s="429">
        <f>'Assistente Administrativo 150'!G45</f>
        <v>4445.5</v>
      </c>
      <c r="K12" s="430">
        <f>'Ocorrências Mensais - FAT'!K11</f>
        <v>0</v>
      </c>
      <c r="L12" s="428">
        <f>J12/'Ocorrências Mensais - FAT'!$E$5*K12</f>
        <v>0</v>
      </c>
      <c r="M12" s="429">
        <f>'Custo Substituto'!$F$34</f>
        <v>3828.2700000000004</v>
      </c>
      <c r="N12" s="430">
        <f>'Ocorrências Mensais - FAT'!L11</f>
        <v>0</v>
      </c>
      <c r="O12" s="428">
        <f>M12/'Ocorrências Mensais - FAT'!$E$5*N12</f>
        <v>0</v>
      </c>
      <c r="P12" s="431">
        <f>'Assistente Administrativo 150'!H45</f>
        <v>484.79</v>
      </c>
      <c r="Q12" s="431">
        <f>'Ocorrências Mensais - FAT'!M11</f>
        <v>0</v>
      </c>
      <c r="R12" s="428">
        <f>ROUND((P12/Dados!$G$43*Q12),2)</f>
        <v>0</v>
      </c>
      <c r="S12" s="428">
        <f t="shared" ref="S12:S21" si="1">I12+L12+O12+R12</f>
        <v>0</v>
      </c>
      <c r="T12" s="431"/>
      <c r="U12" s="431"/>
      <c r="V12" s="431"/>
      <c r="W12" s="432">
        <f t="shared" ref="W12:W21" si="2">ROUND((F12-S12+V12),2)</f>
        <v>44455</v>
      </c>
      <c r="Y12" s="58"/>
    </row>
    <row r="13" spans="1:1024" s="57" customFormat="1" ht="15.6" x14ac:dyDescent="0.3">
      <c r="A13" s="678"/>
      <c r="B13" s="421" t="str">
        <f>Dados!C8</f>
        <v>Assistente Administrativo</v>
      </c>
      <c r="C13" s="422">
        <v>200</v>
      </c>
      <c r="D13" s="423">
        <f>Dados!B8</f>
        <v>3</v>
      </c>
      <c r="E13" s="424">
        <f>'Assistente Administrativo 200'!F45</f>
        <v>5620.32</v>
      </c>
      <c r="F13" s="425">
        <f t="shared" si="0"/>
        <v>16860.96</v>
      </c>
      <c r="G13" s="433">
        <f>'Assistente Administrativo 200'!I45</f>
        <v>148.07</v>
      </c>
      <c r="H13" s="427">
        <f>'Ocorrências Mensais - FAT'!F12+'Ocorrências Mensais - FAT'!H12</f>
        <v>0</v>
      </c>
      <c r="I13" s="590">
        <f>(ROUND(G13/Dados!$G$40*H13,2)-(G13/'Ocorrências Mensais - FAT'!$E$5*'Ocorrências Mensais - FAT'!G12))</f>
        <v>0</v>
      </c>
      <c r="J13" s="429">
        <f>'Assistente Administrativo 200'!G45</f>
        <v>5620.32</v>
      </c>
      <c r="K13" s="430">
        <f>'Ocorrências Mensais - FAT'!K12</f>
        <v>0</v>
      </c>
      <c r="L13" s="428">
        <f>J13/'Ocorrências Mensais - FAT'!$E$5*K13</f>
        <v>0</v>
      </c>
      <c r="M13" s="429">
        <v>3533.49</v>
      </c>
      <c r="N13" s="430">
        <f>'Ocorrências Mensais - FAT'!L12</f>
        <v>0</v>
      </c>
      <c r="O13" s="428">
        <f>M13/'Ocorrências Mensais - FAT'!$E$5*N13</f>
        <v>0</v>
      </c>
      <c r="P13" s="431">
        <f>'Assistente Administrativo 200'!H45</f>
        <v>484.79</v>
      </c>
      <c r="Q13" s="431">
        <f>'Ocorrências Mensais - FAT'!M12</f>
        <v>0</v>
      </c>
      <c r="R13" s="428">
        <f>ROUND((P13/Dados!$G$43*Q13),2)</f>
        <v>0</v>
      </c>
      <c r="S13" s="428">
        <f t="shared" si="1"/>
        <v>0</v>
      </c>
      <c r="T13" s="431"/>
      <c r="U13" s="431"/>
      <c r="V13" s="431"/>
      <c r="W13" s="432">
        <f t="shared" si="2"/>
        <v>16860.96</v>
      </c>
    </row>
    <row r="14" spans="1:1024" s="57" customFormat="1" ht="15.6" x14ac:dyDescent="0.3">
      <c r="A14" s="679"/>
      <c r="B14" s="421" t="str">
        <f>Dados!C9</f>
        <v>Recepcionista</v>
      </c>
      <c r="C14" s="422">
        <f>Dados!D9</f>
        <v>150</v>
      </c>
      <c r="D14" s="423">
        <f>Dados!B9</f>
        <v>2</v>
      </c>
      <c r="E14" s="424">
        <f>'Recepcionista 150'!F45</f>
        <v>5041.54</v>
      </c>
      <c r="F14" s="425">
        <f t="shared" si="0"/>
        <v>10083.08</v>
      </c>
      <c r="G14" s="434">
        <f>'Recepcionista 150'!I45</f>
        <v>168.75</v>
      </c>
      <c r="H14" s="427">
        <f>'Ocorrências Mensais - FAT'!F13+'Ocorrências Mensais - FAT'!H13</f>
        <v>0</v>
      </c>
      <c r="I14" s="590">
        <f>(ROUND(G14/Dados!$G$40*H14,2)-(G14/'Ocorrências Mensais - FAT'!$E$5*'Ocorrências Mensais - FAT'!G13))</f>
        <v>0</v>
      </c>
      <c r="J14" s="435">
        <f>'Recepcionista 150'!G45</f>
        <v>5041.54</v>
      </c>
      <c r="K14" s="430">
        <f>'Ocorrências Mensais - FAT'!K13</f>
        <v>0</v>
      </c>
      <c r="L14" s="428">
        <f>J14/'Ocorrências Mensais - FAT'!$E$5*K14</f>
        <v>0</v>
      </c>
      <c r="M14" s="435">
        <f>'Custo Substituto'!H34</f>
        <v>4333.25</v>
      </c>
      <c r="N14" s="430">
        <f>'Ocorrências Mensais - FAT'!L13</f>
        <v>0</v>
      </c>
      <c r="O14" s="428">
        <f>M14/'Ocorrências Mensais - FAT'!$E$5*N14</f>
        <v>0</v>
      </c>
      <c r="P14" s="431">
        <f>'Recepcionista 150'!H45</f>
        <v>484.79</v>
      </c>
      <c r="Q14" s="431">
        <f>'Ocorrências Mensais - FAT'!M13</f>
        <v>0</v>
      </c>
      <c r="R14" s="428">
        <f>ROUND((P14/Dados!$G$43*Q14),2)</f>
        <v>0</v>
      </c>
      <c r="S14" s="428">
        <f t="shared" si="1"/>
        <v>0</v>
      </c>
      <c r="T14" s="428"/>
      <c r="U14" s="428"/>
      <c r="V14" s="428"/>
      <c r="W14" s="432">
        <f t="shared" si="2"/>
        <v>10083.08</v>
      </c>
      <c r="Y14" s="58"/>
    </row>
    <row r="15" spans="1:1024" s="40" customFormat="1" ht="15.6" x14ac:dyDescent="0.3">
      <c r="A15" s="680" t="s">
        <v>159</v>
      </c>
      <c r="B15" s="436" t="str">
        <f>Dados!C10</f>
        <v>Servente de Limpeza insalubridade (20%)</v>
      </c>
      <c r="C15" s="437">
        <f>Dados!D10</f>
        <v>200</v>
      </c>
      <c r="D15" s="423">
        <f>Dados!B10</f>
        <v>1</v>
      </c>
      <c r="E15" s="438">
        <f>'Servente Limpeza - Insal. (20%)'!F46</f>
        <v>6108.74</v>
      </c>
      <c r="F15" s="439">
        <f t="shared" si="0"/>
        <v>6108.74</v>
      </c>
      <c r="G15" s="440">
        <f>'Servente Limpeza - Insal. (20%)'!I46</f>
        <v>203.37</v>
      </c>
      <c r="H15" s="441">
        <f>'Ocorrências Mensais - FAT'!F14+'Ocorrências Mensais - FAT'!H14</f>
        <v>0</v>
      </c>
      <c r="I15" s="590">
        <f>(ROUND(G15/Dados!$G$40*H15,2)-(G15/'Ocorrências Mensais - FAT'!$E$5*'Ocorrências Mensais - FAT'!G14))</f>
        <v>0</v>
      </c>
      <c r="J15" s="443">
        <f>'Servente Limpeza - Insal. (20%)'!G46</f>
        <v>4822.72</v>
      </c>
      <c r="K15" s="444">
        <f>'Ocorrências Mensais - FAT'!K14</f>
        <v>0</v>
      </c>
      <c r="L15" s="442">
        <f>J15/'Ocorrências Mensais - FAT'!$E$5*K15</f>
        <v>0</v>
      </c>
      <c r="M15" s="443">
        <f>'Custo Substituto'!J34</f>
        <v>4169.53</v>
      </c>
      <c r="N15" s="444">
        <f>'Ocorrências Mensais - FAT'!L14</f>
        <v>0</v>
      </c>
      <c r="O15" s="442">
        <f>M15/'Ocorrências Mensais - FAT'!$E$5*N15</f>
        <v>0</v>
      </c>
      <c r="P15" s="445">
        <f>'Servente Limpeza - Insal. (20%)'!H46</f>
        <v>490.31</v>
      </c>
      <c r="Q15" s="445">
        <f>'Ocorrências Mensais - FAT'!M14</f>
        <v>0</v>
      </c>
      <c r="R15" s="442">
        <f>ROUND((P15/Dados!$G$43*Q15),2)</f>
        <v>0</v>
      </c>
      <c r="S15" s="442">
        <f t="shared" si="1"/>
        <v>0</v>
      </c>
      <c r="T15" s="446"/>
      <c r="U15" s="446"/>
      <c r="V15" s="446"/>
      <c r="W15" s="447">
        <f t="shared" si="2"/>
        <v>6108.74</v>
      </c>
    </row>
    <row r="16" spans="1:1024" s="40" customFormat="1" ht="15.6" x14ac:dyDescent="0.3">
      <c r="A16" s="678"/>
      <c r="B16" s="436" t="str">
        <f>Dados!C11</f>
        <v>Limpador de Vidro</v>
      </c>
      <c r="C16" s="437">
        <f>Dados!D11</f>
        <v>200</v>
      </c>
      <c r="D16" s="423">
        <f>Dados!B11</f>
        <v>1</v>
      </c>
      <c r="E16" s="438">
        <f>'Limpador de Vidro'!F46</f>
        <v>4456.57</v>
      </c>
      <c r="F16" s="439">
        <f t="shared" si="0"/>
        <v>4456.57</v>
      </c>
      <c r="G16" s="440">
        <f>'Limpador de Vidro'!I46</f>
        <v>192.55</v>
      </c>
      <c r="H16" s="441">
        <f>'Ocorrências Mensais - FAT'!F15+'Ocorrências Mensais - FAT'!H15</f>
        <v>0</v>
      </c>
      <c r="I16" s="590">
        <f>(ROUND(G16/Dados!$G$40*H16,2)-(G16/'Ocorrências Mensais - FAT'!$E$5*'Ocorrências Mensais - FAT'!G15))</f>
        <v>0</v>
      </c>
      <c r="J16" s="443">
        <f>'Limpador de Vidro'!G46</f>
        <v>4456.57</v>
      </c>
      <c r="K16" s="444">
        <f>'Ocorrências Mensais - FAT'!K15</f>
        <v>0</v>
      </c>
      <c r="L16" s="442">
        <f>J16/'Ocorrências Mensais - FAT'!$E$5*K16</f>
        <v>0</v>
      </c>
      <c r="M16" s="443">
        <f>'Custo Substituto'!K34</f>
        <v>3848.4300000000003</v>
      </c>
      <c r="N16" s="444">
        <f>'Ocorrências Mensais - FAT'!L15</f>
        <v>0</v>
      </c>
      <c r="O16" s="442">
        <f>M16/'Ocorrências Mensais - FAT'!$E$5*N16</f>
        <v>0</v>
      </c>
      <c r="P16" s="445">
        <f>'Limpador de Vidro'!H46</f>
        <v>490.31</v>
      </c>
      <c r="Q16" s="445">
        <f>'Ocorrências Mensais - FAT'!M15</f>
        <v>0</v>
      </c>
      <c r="R16" s="442">
        <f>ROUND((P16/Dados!$G$43*Q16),2)</f>
        <v>0</v>
      </c>
      <c r="S16" s="442">
        <f t="shared" si="1"/>
        <v>0</v>
      </c>
      <c r="T16" s="446"/>
      <c r="U16" s="446"/>
      <c r="V16" s="446"/>
      <c r="W16" s="447">
        <f t="shared" si="2"/>
        <v>4456.57</v>
      </c>
    </row>
    <row r="17" spans="1:1024" s="40" customFormat="1" ht="15.6" x14ac:dyDescent="0.3">
      <c r="A17" s="678"/>
      <c r="B17" s="436" t="str">
        <f>Dados!C12</f>
        <v>Servente de Limpeza</v>
      </c>
      <c r="C17" s="437">
        <f>Dados!D12</f>
        <v>200</v>
      </c>
      <c r="D17" s="423">
        <f>Dados!B12</f>
        <v>8</v>
      </c>
      <c r="E17" s="438">
        <f>'Servente Limpeza 200h'!$F$46</f>
        <v>5431.61</v>
      </c>
      <c r="F17" s="439">
        <f t="shared" si="0"/>
        <v>43452.88</v>
      </c>
      <c r="G17" s="440">
        <f>'Servente Limpeza 200h'!$I$46</f>
        <v>203.37</v>
      </c>
      <c r="H17" s="441">
        <f>'Ocorrências Mensais - FAT'!F16+'Ocorrências Mensais - FAT'!H16</f>
        <v>0</v>
      </c>
      <c r="I17" s="590">
        <f>(ROUND(G17/Dados!$G$40*H17,2)-(G17/'Ocorrências Mensais - FAT'!$E$5*'Ocorrências Mensais - FAT'!G16))</f>
        <v>0</v>
      </c>
      <c r="J17" s="443">
        <f>'Servente Limpeza 200h'!$G$46</f>
        <v>4145.59</v>
      </c>
      <c r="K17" s="444">
        <f>'Ocorrências Mensais - FAT'!K16</f>
        <v>0</v>
      </c>
      <c r="L17" s="442">
        <f>J17/'Ocorrências Mensais - FAT'!$E$5*K17</f>
        <v>0</v>
      </c>
      <c r="M17" s="443">
        <f>'Custo Substituto'!L34</f>
        <v>3584.33</v>
      </c>
      <c r="N17" s="444">
        <f>'Ocorrências Mensais - FAT'!L16</f>
        <v>0</v>
      </c>
      <c r="O17" s="442">
        <f>M17/'Ocorrências Mensais - FAT'!$E$5*N17</f>
        <v>0</v>
      </c>
      <c r="P17" s="445">
        <f>'Servente Limpeza 200h'!$H$46</f>
        <v>490.31</v>
      </c>
      <c r="Q17" s="445">
        <f>'Ocorrências Mensais - FAT'!M16</f>
        <v>0</v>
      </c>
      <c r="R17" s="442">
        <f>ROUND((P17/Dados!$G$43*Q17),2)</f>
        <v>0</v>
      </c>
      <c r="S17" s="442">
        <f t="shared" si="1"/>
        <v>0</v>
      </c>
      <c r="T17" s="428">
        <f>'Servente Limpeza - Insal (40%)'!$J$47</f>
        <v>45.14</v>
      </c>
      <c r="U17" s="428">
        <f>'Ocorrências Mensais - FAT'!N16</f>
        <v>0</v>
      </c>
      <c r="V17" s="428">
        <f>T17*U17</f>
        <v>0</v>
      </c>
      <c r="W17" s="447">
        <f t="shared" si="2"/>
        <v>43452.88</v>
      </c>
    </row>
    <row r="18" spans="1:1024" s="40" customFormat="1" ht="15.6" x14ac:dyDescent="0.3">
      <c r="A18" s="678"/>
      <c r="B18" s="436" t="str">
        <f>Dados!C13</f>
        <v>Servente de Limpeza insalubridade (40%)</v>
      </c>
      <c r="C18" s="437">
        <f>Dados!D13</f>
        <v>200</v>
      </c>
      <c r="D18" s="423">
        <f>Dados!B13</f>
        <v>2</v>
      </c>
      <c r="E18" s="438">
        <f>'Servente Limpeza - Insal (40%)'!$F$46</f>
        <v>6785.88</v>
      </c>
      <c r="F18" s="439">
        <f t="shared" si="0"/>
        <v>13571.76</v>
      </c>
      <c r="G18" s="440">
        <f>'Servente Limpeza - Insal (40%)'!$I$46</f>
        <v>203.37</v>
      </c>
      <c r="H18" s="441">
        <f>'Ocorrências Mensais - FAT'!F17+'Ocorrências Mensais - FAT'!H17</f>
        <v>0</v>
      </c>
      <c r="I18" s="590">
        <f>(ROUND(G18/Dados!$G$40*H18,2)-(G18/'Ocorrências Mensais - FAT'!$E$5*'Ocorrências Mensais - FAT'!G17))</f>
        <v>0</v>
      </c>
      <c r="J18" s="443">
        <f>'Servente Limpeza - Insal (40%)'!$G$46</f>
        <v>5499.86</v>
      </c>
      <c r="K18" s="444">
        <f>'Ocorrências Mensais - FAT'!K17</f>
        <v>0</v>
      </c>
      <c r="L18" s="442">
        <f>J18/'Ocorrências Mensais - FAT'!$E$5*K18</f>
        <v>0</v>
      </c>
      <c r="M18" s="443">
        <f>'Custo Substituto'!M34</f>
        <v>4755.04</v>
      </c>
      <c r="N18" s="444">
        <f>'Ocorrências Mensais - FAT'!L17</f>
        <v>0</v>
      </c>
      <c r="O18" s="442">
        <f>M18/'Ocorrências Mensais - FAT'!$E$5*N18</f>
        <v>0</v>
      </c>
      <c r="P18" s="445">
        <f>'Servente Limpeza - Insal (40%)'!$H$46</f>
        <v>490.31</v>
      </c>
      <c r="Q18" s="445">
        <f>'Ocorrências Mensais - FAT'!M17</f>
        <v>0</v>
      </c>
      <c r="R18" s="442">
        <f>ROUND((P18/Dados!$G$43*Q18),2)</f>
        <v>0</v>
      </c>
      <c r="S18" s="442">
        <f t="shared" si="1"/>
        <v>0</v>
      </c>
      <c r="T18" s="446"/>
      <c r="U18" s="446"/>
      <c r="V18" s="446"/>
      <c r="W18" s="447">
        <f t="shared" si="2"/>
        <v>13571.76</v>
      </c>
    </row>
    <row r="19" spans="1:1024" s="74" customFormat="1" ht="28.8" x14ac:dyDescent="0.3">
      <c r="A19" s="678"/>
      <c r="B19" s="609" t="str">
        <f>Dados!C14</f>
        <v>Zelador acúmulo de função Lavador de Carro e Jardineiro</v>
      </c>
      <c r="C19" s="437">
        <f>Dados!D14</f>
        <v>200</v>
      </c>
      <c r="D19" s="423">
        <f>Dados!B14</f>
        <v>1</v>
      </c>
      <c r="E19" s="438">
        <f>'Zelador acúmulo Lavador Jardin.'!$F$46</f>
        <v>6354.55</v>
      </c>
      <c r="F19" s="439">
        <f t="shared" si="0"/>
        <v>6354.55</v>
      </c>
      <c r="G19" s="440">
        <f>'Zelador acúmulo Lavador Jardin.'!$I$46</f>
        <v>147.22999999999999</v>
      </c>
      <c r="H19" s="441">
        <f>'Ocorrências Mensais - FAT'!F18+'Ocorrências Mensais - FAT'!H18</f>
        <v>0</v>
      </c>
      <c r="I19" s="590">
        <f>(ROUND(G19/Dados!$G$40*H19,2)-(G19/'Ocorrências Mensais - FAT'!$E$5*'Ocorrências Mensais - FAT'!G18))</f>
        <v>0</v>
      </c>
      <c r="J19" s="443">
        <f>'Zelador acúmulo Lavador Jardin.'!$G$46</f>
        <v>5974.81</v>
      </c>
      <c r="K19" s="444">
        <f>'Ocorrências Mensais - FAT'!K18</f>
        <v>0</v>
      </c>
      <c r="L19" s="442">
        <f>J19/'Ocorrências Mensais - FAT'!$E$5*K19</f>
        <v>0</v>
      </c>
      <c r="M19" s="443">
        <f>'Custo Substituto'!N34</f>
        <v>5110.66</v>
      </c>
      <c r="N19" s="444">
        <f>'Ocorrências Mensais - FAT'!L18</f>
        <v>0</v>
      </c>
      <c r="O19" s="442">
        <f>M19/'Ocorrências Mensais - FAT'!$E$5*N19</f>
        <v>0</v>
      </c>
      <c r="P19" s="445">
        <f>'Zelador acúmulo Lavador Jardin.'!$H$46</f>
        <v>490.31</v>
      </c>
      <c r="Q19" s="445">
        <f>'Ocorrências Mensais - FAT'!M18</f>
        <v>0</v>
      </c>
      <c r="R19" s="442">
        <f>ROUND((P19/Dados!$G$43*Q19),2)</f>
        <v>0</v>
      </c>
      <c r="S19" s="442">
        <f t="shared" si="1"/>
        <v>0</v>
      </c>
      <c r="T19" s="446"/>
      <c r="U19" s="446"/>
      <c r="V19" s="446"/>
      <c r="W19" s="447">
        <f t="shared" si="2"/>
        <v>6354.55</v>
      </c>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s="40"/>
      <c r="AMJ19" s="40"/>
    </row>
    <row r="20" spans="1:1024" s="62" customFormat="1" ht="15.6" x14ac:dyDescent="0.3">
      <c r="A20" s="679"/>
      <c r="B20" s="436" t="str">
        <f>Dados!C15</f>
        <v>Encarregado Geral</v>
      </c>
      <c r="C20" s="437">
        <f>Dados!D15</f>
        <v>200</v>
      </c>
      <c r="D20" s="423">
        <f>Dados!B15</f>
        <v>1</v>
      </c>
      <c r="E20" s="438">
        <f>'Encarregado Geral'!F45</f>
        <v>5709.52</v>
      </c>
      <c r="F20" s="439">
        <f t="shared" si="0"/>
        <v>5709.52</v>
      </c>
      <c r="G20" s="440">
        <f>'Encarregado Geral'!I45</f>
        <v>145.57</v>
      </c>
      <c r="H20" s="441">
        <f>'Ocorrências Mensais - FAT'!F19+'Ocorrências Mensais - FAT'!H19</f>
        <v>0</v>
      </c>
      <c r="I20" s="590">
        <f>(ROUND(G20/Dados!$G$40*H20,2)-(G20/'Ocorrências Mensais - FAT'!$E$5*'Ocorrências Mensais - FAT'!G19))</f>
        <v>0</v>
      </c>
      <c r="J20" s="443">
        <f>'Encarregado Geral'!G45</f>
        <v>5709.52</v>
      </c>
      <c r="K20" s="444">
        <f>'Ocorrências Mensais - FAT'!K19</f>
        <v>0</v>
      </c>
      <c r="L20" s="442">
        <f>J20/'Ocorrências Mensais - FAT'!$E$5*K20</f>
        <v>0</v>
      </c>
      <c r="M20" s="443">
        <f>'Custo Substituto'!O34</f>
        <v>4899.46</v>
      </c>
      <c r="N20" s="444">
        <f>'Ocorrências Mensais - FAT'!L19</f>
        <v>0</v>
      </c>
      <c r="O20" s="442">
        <f>M20/'Ocorrências Mensais - FAT'!$E$5*N20</f>
        <v>0</v>
      </c>
      <c r="P20" s="445">
        <f>'Encarregado Geral'!H45</f>
        <v>484.79</v>
      </c>
      <c r="Q20" s="445">
        <f>'Ocorrências Mensais - FAT'!M19</f>
        <v>0</v>
      </c>
      <c r="R20" s="442">
        <f>ROUND((P20/Dados!$G$43*Q20),2)</f>
        <v>0</v>
      </c>
      <c r="S20" s="442">
        <f t="shared" si="1"/>
        <v>0</v>
      </c>
      <c r="T20" s="446"/>
      <c r="U20" s="446"/>
      <c r="V20" s="446"/>
      <c r="W20" s="447">
        <f t="shared" si="2"/>
        <v>5709.52</v>
      </c>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40"/>
      <c r="MU20" s="40"/>
      <c r="MV20" s="40"/>
      <c r="MW20" s="40"/>
      <c r="MX20" s="40"/>
      <c r="MY20" s="40"/>
      <c r="MZ20" s="40"/>
      <c r="NA20" s="40"/>
      <c r="NB20" s="40"/>
      <c r="NC20" s="40"/>
      <c r="ND20" s="40"/>
      <c r="NE20" s="40"/>
      <c r="NF20" s="40"/>
      <c r="NG20" s="40"/>
      <c r="NH20" s="40"/>
      <c r="NI20" s="40"/>
      <c r="NJ20" s="40"/>
      <c r="NK20" s="40"/>
      <c r="NL20" s="40"/>
      <c r="NM20" s="40"/>
      <c r="NN20" s="40"/>
      <c r="NO20" s="40"/>
      <c r="NP20" s="40"/>
      <c r="NQ20" s="40"/>
      <c r="NR20" s="40"/>
      <c r="NS20" s="40"/>
      <c r="NT20" s="40"/>
      <c r="NU20" s="40"/>
      <c r="NV20" s="40"/>
      <c r="NW20" s="40"/>
      <c r="NX20" s="40"/>
      <c r="NY20" s="40"/>
      <c r="NZ20" s="40"/>
      <c r="OA20" s="40"/>
      <c r="OB20" s="40"/>
      <c r="OC20" s="40"/>
      <c r="OD20" s="40"/>
      <c r="OE20" s="40"/>
      <c r="OF20" s="40"/>
      <c r="OG20" s="40"/>
      <c r="OH20" s="40"/>
      <c r="OI20" s="40"/>
      <c r="OJ20" s="40"/>
      <c r="OK20" s="40"/>
      <c r="OL20" s="40"/>
      <c r="OM20" s="40"/>
      <c r="ON20" s="40"/>
      <c r="OO20" s="40"/>
      <c r="OP20" s="40"/>
      <c r="OQ20" s="40"/>
      <c r="OR20" s="40"/>
      <c r="OS20" s="40"/>
      <c r="OT20" s="40"/>
      <c r="OU20" s="40"/>
      <c r="OV20" s="40"/>
      <c r="OW20" s="40"/>
      <c r="OX20" s="40"/>
      <c r="OY20" s="40"/>
      <c r="OZ20" s="40"/>
      <c r="PA20" s="40"/>
      <c r="PB20" s="40"/>
      <c r="PC20" s="40"/>
      <c r="PD20" s="40"/>
      <c r="PE20" s="40"/>
      <c r="PF20" s="40"/>
      <c r="PG20" s="40"/>
      <c r="PH20" s="40"/>
      <c r="PI20" s="40"/>
      <c r="PJ20" s="40"/>
      <c r="PK20" s="40"/>
      <c r="PL20" s="40"/>
      <c r="PM20" s="40"/>
      <c r="PN20" s="40"/>
      <c r="PO20" s="40"/>
      <c r="PP20" s="40"/>
      <c r="PQ20" s="40"/>
      <c r="PR20" s="40"/>
      <c r="PS20" s="40"/>
      <c r="PT20" s="40"/>
      <c r="PU20" s="40"/>
      <c r="PV20" s="40"/>
      <c r="PW20" s="40"/>
      <c r="PX20" s="40"/>
      <c r="PY20" s="40"/>
      <c r="PZ20" s="40"/>
      <c r="QA20" s="40"/>
      <c r="QB20" s="40"/>
      <c r="QC20" s="40"/>
      <c r="QD20" s="40"/>
      <c r="QE20" s="40"/>
      <c r="QF20" s="40"/>
      <c r="QG20" s="40"/>
      <c r="QH20" s="40"/>
      <c r="QI20" s="40"/>
      <c r="QJ20" s="40"/>
      <c r="QK20" s="40"/>
      <c r="QL20" s="40"/>
      <c r="QM20" s="40"/>
      <c r="QN20" s="40"/>
      <c r="QO20" s="40"/>
      <c r="QP20" s="40"/>
      <c r="QQ20" s="40"/>
      <c r="QR20" s="40"/>
      <c r="QS20" s="40"/>
      <c r="QT20" s="40"/>
      <c r="QU20" s="40"/>
      <c r="QV20" s="40"/>
      <c r="QW20" s="40"/>
      <c r="QX20" s="40"/>
      <c r="QY20" s="40"/>
      <c r="QZ20" s="40"/>
      <c r="RA20" s="40"/>
      <c r="RB20" s="40"/>
      <c r="RC20" s="40"/>
      <c r="RD20" s="40"/>
      <c r="RE20" s="40"/>
      <c r="RF20" s="40"/>
      <c r="RG20" s="40"/>
      <c r="RH20" s="40"/>
      <c r="RI20" s="40"/>
      <c r="RJ20" s="40"/>
      <c r="RK20" s="40"/>
      <c r="RL20" s="40"/>
      <c r="RM20" s="40"/>
      <c r="RN20" s="40"/>
      <c r="RO20" s="40"/>
      <c r="RP20" s="40"/>
      <c r="RQ20" s="40"/>
      <c r="RR20" s="40"/>
      <c r="RS20" s="40"/>
      <c r="RT20" s="40"/>
      <c r="RU20" s="40"/>
      <c r="RV20" s="40"/>
      <c r="RW20" s="40"/>
      <c r="RX20" s="40"/>
      <c r="RY20" s="40"/>
      <c r="RZ20" s="40"/>
      <c r="SA20" s="40"/>
      <c r="SB20" s="40"/>
      <c r="SC20" s="40"/>
      <c r="SD20" s="40"/>
      <c r="SE20" s="40"/>
      <c r="SF20" s="40"/>
      <c r="SG20" s="40"/>
      <c r="SH20" s="40"/>
      <c r="SI20" s="40"/>
      <c r="SJ20" s="40"/>
      <c r="SK20" s="40"/>
      <c r="SL20" s="40"/>
      <c r="SM20" s="40"/>
      <c r="SN20" s="40"/>
      <c r="SO20" s="40"/>
      <c r="SP20" s="40"/>
      <c r="SQ20" s="40"/>
      <c r="SR20" s="40"/>
      <c r="SS20" s="40"/>
      <c r="ST20" s="40"/>
      <c r="SU20" s="40"/>
      <c r="SV20" s="40"/>
      <c r="SW20" s="40"/>
      <c r="SX20" s="40"/>
      <c r="SY20" s="40"/>
      <c r="SZ20" s="40"/>
      <c r="TA20" s="40"/>
      <c r="TB20" s="40"/>
      <c r="TC20" s="40"/>
      <c r="TD20" s="40"/>
      <c r="TE20" s="40"/>
      <c r="TF20" s="40"/>
      <c r="TG20" s="40"/>
      <c r="TH20" s="40"/>
      <c r="TI20" s="40"/>
      <c r="TJ20" s="40"/>
      <c r="TK20" s="40"/>
      <c r="TL20" s="40"/>
      <c r="TM20" s="40"/>
      <c r="TN20" s="40"/>
      <c r="TO20" s="40"/>
      <c r="TP20" s="40"/>
      <c r="TQ20" s="40"/>
      <c r="TR20" s="40"/>
      <c r="TS20" s="40"/>
      <c r="TT20" s="40"/>
      <c r="TU20" s="40"/>
      <c r="TV20" s="40"/>
      <c r="TW20" s="40"/>
      <c r="TX20" s="40"/>
      <c r="TY20" s="40"/>
      <c r="TZ20" s="40"/>
      <c r="UA20" s="40"/>
      <c r="UB20" s="40"/>
      <c r="UC20" s="40"/>
      <c r="UD20" s="40"/>
      <c r="UE20" s="40"/>
      <c r="UF20" s="40"/>
      <c r="UG20" s="40"/>
      <c r="UH20" s="40"/>
      <c r="UI20" s="40"/>
      <c r="UJ20" s="40"/>
      <c r="UK20" s="40"/>
      <c r="UL20" s="40"/>
      <c r="UM20" s="40"/>
      <c r="UN20" s="40"/>
      <c r="UO20" s="40"/>
      <c r="UP20" s="40"/>
      <c r="UQ20" s="40"/>
      <c r="UR20" s="40"/>
      <c r="US20" s="40"/>
      <c r="UT20" s="40"/>
      <c r="UU20" s="40"/>
      <c r="UV20" s="40"/>
      <c r="UW20" s="40"/>
      <c r="UX20" s="40"/>
      <c r="UY20" s="40"/>
      <c r="UZ20" s="40"/>
      <c r="VA20" s="40"/>
      <c r="VB20" s="40"/>
      <c r="VC20" s="40"/>
      <c r="VD20" s="40"/>
      <c r="VE20" s="40"/>
      <c r="VF20" s="40"/>
      <c r="VG20" s="40"/>
      <c r="VH20" s="40"/>
      <c r="VI20" s="40"/>
      <c r="VJ20" s="40"/>
      <c r="VK20" s="40"/>
      <c r="VL20" s="40"/>
      <c r="VM20" s="40"/>
      <c r="VN20" s="40"/>
      <c r="VO20" s="40"/>
      <c r="VP20" s="40"/>
      <c r="VQ20" s="40"/>
      <c r="VR20" s="40"/>
      <c r="VS20" s="40"/>
      <c r="VT20" s="40"/>
      <c r="VU20" s="40"/>
      <c r="VV20" s="40"/>
      <c r="VW20" s="40"/>
      <c r="VX20" s="40"/>
      <c r="VY20" s="40"/>
      <c r="VZ20" s="40"/>
      <c r="WA20" s="40"/>
      <c r="WB20" s="40"/>
      <c r="WC20" s="40"/>
      <c r="WD20" s="40"/>
      <c r="WE20" s="40"/>
      <c r="WF20" s="40"/>
      <c r="WG20" s="40"/>
      <c r="WH20" s="40"/>
      <c r="WI20" s="40"/>
      <c r="WJ20" s="40"/>
      <c r="WK20" s="40"/>
      <c r="WL20" s="40"/>
      <c r="WM20" s="40"/>
      <c r="WN20" s="40"/>
      <c r="WO20" s="40"/>
      <c r="WP20" s="40"/>
      <c r="WQ20" s="40"/>
      <c r="WR20" s="40"/>
      <c r="WS20" s="40"/>
      <c r="WT20" s="40"/>
      <c r="WU20" s="40"/>
      <c r="WV20" s="40"/>
      <c r="WW20" s="40"/>
      <c r="WX20" s="40"/>
      <c r="WY20" s="40"/>
      <c r="WZ20" s="40"/>
      <c r="XA20" s="40"/>
      <c r="XB20" s="40"/>
      <c r="XC20" s="40"/>
      <c r="XD20" s="40"/>
      <c r="XE20" s="40"/>
      <c r="XF20" s="40"/>
      <c r="XG20" s="40"/>
      <c r="XH20" s="40"/>
      <c r="XI20" s="40"/>
      <c r="XJ20" s="40"/>
      <c r="XK20" s="40"/>
      <c r="XL20" s="40"/>
      <c r="XM20" s="40"/>
      <c r="XN20" s="40"/>
      <c r="XO20" s="40"/>
      <c r="XP20" s="40"/>
      <c r="XQ20" s="40"/>
      <c r="XR20" s="40"/>
      <c r="XS20" s="40"/>
      <c r="XT20" s="40"/>
      <c r="XU20" s="40"/>
      <c r="XV20" s="40"/>
      <c r="XW20" s="40"/>
      <c r="XX20" s="40"/>
      <c r="XY20" s="40"/>
      <c r="XZ20" s="40"/>
      <c r="YA20" s="40"/>
      <c r="YB20" s="40"/>
      <c r="YC20" s="40"/>
      <c r="YD20" s="40"/>
      <c r="YE20" s="40"/>
      <c r="YF20" s="40"/>
      <c r="YG20" s="40"/>
      <c r="YH20" s="40"/>
      <c r="YI20" s="40"/>
      <c r="YJ20" s="40"/>
      <c r="YK20" s="40"/>
      <c r="YL20" s="40"/>
      <c r="YM20" s="40"/>
      <c r="YN20" s="40"/>
      <c r="YO20" s="40"/>
      <c r="YP20" s="40"/>
      <c r="YQ20" s="40"/>
      <c r="YR20" s="40"/>
      <c r="YS20" s="40"/>
      <c r="YT20" s="40"/>
      <c r="YU20" s="40"/>
      <c r="YV20" s="40"/>
      <c r="YW20" s="40"/>
      <c r="YX20" s="40"/>
      <c r="YY20" s="40"/>
      <c r="YZ20" s="40"/>
      <c r="ZA20" s="40"/>
      <c r="ZB20" s="40"/>
      <c r="ZC20" s="40"/>
      <c r="ZD20" s="40"/>
      <c r="ZE20" s="40"/>
      <c r="ZF20" s="40"/>
      <c r="ZG20" s="40"/>
      <c r="ZH20" s="40"/>
      <c r="ZI20" s="40"/>
      <c r="ZJ20" s="40"/>
      <c r="ZK20" s="40"/>
      <c r="ZL20" s="40"/>
      <c r="ZM20" s="40"/>
      <c r="ZN20" s="40"/>
      <c r="ZO20" s="40"/>
      <c r="ZP20" s="40"/>
      <c r="ZQ20" s="40"/>
      <c r="ZR20" s="40"/>
      <c r="ZS20" s="40"/>
      <c r="ZT20" s="40"/>
      <c r="ZU20" s="40"/>
      <c r="ZV20" s="40"/>
      <c r="ZW20" s="40"/>
      <c r="ZX20" s="40"/>
      <c r="ZY20" s="40"/>
      <c r="ZZ20" s="40"/>
      <c r="AAA20" s="40"/>
      <c r="AAB20" s="40"/>
      <c r="AAC20" s="40"/>
      <c r="AAD20" s="40"/>
      <c r="AAE20" s="40"/>
      <c r="AAF20" s="40"/>
      <c r="AAG20" s="40"/>
      <c r="AAH20" s="40"/>
      <c r="AAI20" s="40"/>
      <c r="AAJ20" s="40"/>
      <c r="AAK20" s="40"/>
      <c r="AAL20" s="40"/>
      <c r="AAM20" s="40"/>
      <c r="AAN20" s="40"/>
      <c r="AAO20" s="40"/>
      <c r="AAP20" s="40"/>
      <c r="AAQ20" s="40"/>
      <c r="AAR20" s="40"/>
      <c r="AAS20" s="40"/>
      <c r="AAT20" s="40"/>
      <c r="AAU20" s="40"/>
      <c r="AAV20" s="40"/>
      <c r="AAW20" s="40"/>
      <c r="AAX20" s="40"/>
      <c r="AAY20" s="40"/>
      <c r="AAZ20" s="40"/>
      <c r="ABA20" s="40"/>
      <c r="ABB20" s="40"/>
      <c r="ABC20" s="40"/>
      <c r="ABD20" s="40"/>
      <c r="ABE20" s="40"/>
      <c r="ABF20" s="40"/>
      <c r="ABG20" s="40"/>
      <c r="ABH20" s="40"/>
      <c r="ABI20" s="40"/>
      <c r="ABJ20" s="40"/>
      <c r="ABK20" s="40"/>
      <c r="ABL20" s="40"/>
      <c r="ABM20" s="40"/>
      <c r="ABN20" s="40"/>
      <c r="ABO20" s="40"/>
      <c r="ABP20" s="40"/>
      <c r="ABQ20" s="40"/>
      <c r="ABR20" s="40"/>
      <c r="ABS20" s="40"/>
      <c r="ABT20" s="40"/>
      <c r="ABU20" s="40"/>
      <c r="ABV20" s="40"/>
      <c r="ABW20" s="40"/>
      <c r="ABX20" s="40"/>
      <c r="ABY20" s="40"/>
      <c r="ABZ20" s="40"/>
      <c r="ACA20" s="40"/>
      <c r="ACB20" s="40"/>
      <c r="ACC20" s="40"/>
      <c r="ACD20" s="40"/>
      <c r="ACE20" s="40"/>
      <c r="ACF20" s="40"/>
      <c r="ACG20" s="40"/>
      <c r="ACH20" s="40"/>
      <c r="ACI20" s="40"/>
      <c r="ACJ20" s="40"/>
      <c r="ACK20" s="40"/>
      <c r="ACL20" s="40"/>
      <c r="ACM20" s="40"/>
      <c r="ACN20" s="40"/>
      <c r="ACO20" s="40"/>
      <c r="ACP20" s="40"/>
      <c r="ACQ20" s="40"/>
      <c r="ACR20" s="40"/>
      <c r="ACS20" s="40"/>
      <c r="ACT20" s="40"/>
      <c r="ACU20" s="40"/>
      <c r="ACV20" s="40"/>
      <c r="ACW20" s="40"/>
      <c r="ACX20" s="40"/>
      <c r="ACY20" s="40"/>
      <c r="ACZ20" s="40"/>
      <c r="ADA20" s="40"/>
      <c r="ADB20" s="40"/>
      <c r="ADC20" s="40"/>
      <c r="ADD20" s="40"/>
      <c r="ADE20" s="40"/>
      <c r="ADF20" s="40"/>
      <c r="ADG20" s="40"/>
      <c r="ADH20" s="40"/>
      <c r="ADI20" s="40"/>
      <c r="ADJ20" s="40"/>
      <c r="ADK20" s="40"/>
      <c r="ADL20" s="40"/>
      <c r="ADM20" s="40"/>
      <c r="ADN20" s="40"/>
      <c r="ADO20" s="40"/>
      <c r="ADP20" s="40"/>
      <c r="ADQ20" s="40"/>
      <c r="ADR20" s="40"/>
      <c r="ADS20" s="40"/>
      <c r="ADT20" s="40"/>
      <c r="ADU20" s="40"/>
      <c r="ADV20" s="40"/>
      <c r="ADW20" s="40"/>
      <c r="ADX20" s="40"/>
      <c r="ADY20" s="40"/>
      <c r="ADZ20" s="40"/>
      <c r="AEA20" s="40"/>
      <c r="AEB20" s="40"/>
      <c r="AEC20" s="40"/>
      <c r="AED20" s="40"/>
      <c r="AEE20" s="40"/>
      <c r="AEF20" s="40"/>
      <c r="AEG20" s="40"/>
      <c r="AEH20" s="40"/>
      <c r="AEI20" s="40"/>
      <c r="AEJ20" s="40"/>
      <c r="AEK20" s="40"/>
      <c r="AEL20" s="40"/>
      <c r="AEM20" s="40"/>
      <c r="AEN20" s="40"/>
      <c r="AEO20" s="40"/>
      <c r="AEP20" s="40"/>
      <c r="AEQ20" s="40"/>
      <c r="AER20" s="40"/>
      <c r="AES20" s="40"/>
      <c r="AET20" s="40"/>
      <c r="AEU20" s="40"/>
      <c r="AEV20" s="40"/>
      <c r="AEW20" s="40"/>
      <c r="AEX20" s="40"/>
      <c r="AEY20" s="40"/>
      <c r="AEZ20" s="40"/>
      <c r="AFA20" s="40"/>
      <c r="AFB20" s="40"/>
      <c r="AFC20" s="40"/>
      <c r="AFD20" s="40"/>
      <c r="AFE20" s="40"/>
      <c r="AFF20" s="40"/>
      <c r="AFG20" s="40"/>
      <c r="AFH20" s="40"/>
      <c r="AFI20" s="40"/>
      <c r="AFJ20" s="40"/>
      <c r="AFK20" s="40"/>
      <c r="AFL20" s="40"/>
      <c r="AFM20" s="40"/>
      <c r="AFN20" s="40"/>
      <c r="AFO20" s="40"/>
      <c r="AFP20" s="40"/>
      <c r="AFQ20" s="40"/>
      <c r="AFR20" s="40"/>
      <c r="AFS20" s="40"/>
      <c r="AFT20" s="40"/>
      <c r="AFU20" s="40"/>
      <c r="AFV20" s="40"/>
      <c r="AFW20" s="40"/>
      <c r="AFX20" s="40"/>
      <c r="AFY20" s="40"/>
      <c r="AFZ20" s="40"/>
      <c r="AGA20" s="40"/>
      <c r="AGB20" s="40"/>
      <c r="AGC20" s="40"/>
      <c r="AGD20" s="40"/>
      <c r="AGE20" s="40"/>
      <c r="AGF20" s="40"/>
      <c r="AGG20" s="40"/>
      <c r="AGH20" s="40"/>
      <c r="AGI20" s="40"/>
      <c r="AGJ20" s="40"/>
      <c r="AGK20" s="40"/>
      <c r="AGL20" s="40"/>
      <c r="AGM20" s="40"/>
      <c r="AGN20" s="40"/>
      <c r="AGO20" s="40"/>
      <c r="AGP20" s="40"/>
      <c r="AGQ20" s="40"/>
      <c r="AGR20" s="40"/>
      <c r="AGS20" s="40"/>
      <c r="AGT20" s="40"/>
      <c r="AGU20" s="40"/>
      <c r="AGV20" s="40"/>
      <c r="AGW20" s="40"/>
      <c r="AGX20" s="40"/>
      <c r="AGY20" s="40"/>
      <c r="AGZ20" s="40"/>
      <c r="AHA20" s="40"/>
      <c r="AHB20" s="40"/>
      <c r="AHC20" s="40"/>
      <c r="AHD20" s="40"/>
      <c r="AHE20" s="40"/>
      <c r="AHF20" s="40"/>
      <c r="AHG20" s="40"/>
      <c r="AHH20" s="40"/>
      <c r="AHI20" s="40"/>
      <c r="AHJ20" s="40"/>
      <c r="AHK20" s="40"/>
      <c r="AHL20" s="40"/>
      <c r="AHM20" s="40"/>
      <c r="AHN20" s="40"/>
      <c r="AHO20" s="40"/>
      <c r="AHP20" s="40"/>
      <c r="AHQ20" s="40"/>
      <c r="AHR20" s="40"/>
      <c r="AHS20" s="40"/>
      <c r="AHT20" s="40"/>
      <c r="AHU20" s="40"/>
      <c r="AHV20" s="40"/>
      <c r="AHW20" s="40"/>
      <c r="AHX20" s="40"/>
      <c r="AHY20" s="40"/>
      <c r="AHZ20" s="40"/>
      <c r="AIA20" s="40"/>
      <c r="AIB20" s="40"/>
      <c r="AIC20" s="40"/>
      <c r="AID20" s="40"/>
      <c r="AIE20" s="40"/>
      <c r="AIF20" s="40"/>
      <c r="AIG20" s="40"/>
      <c r="AIH20" s="40"/>
      <c r="AII20" s="40"/>
      <c r="AIJ20" s="40"/>
      <c r="AIK20" s="40"/>
      <c r="AIL20" s="40"/>
      <c r="AIM20" s="40"/>
      <c r="AIN20" s="40"/>
      <c r="AIO20" s="40"/>
      <c r="AIP20" s="40"/>
      <c r="AIQ20" s="40"/>
      <c r="AIR20" s="40"/>
      <c r="AIS20" s="40"/>
      <c r="AIT20" s="40"/>
      <c r="AIU20" s="40"/>
      <c r="AIV20" s="40"/>
      <c r="AIW20" s="40"/>
      <c r="AIX20" s="40"/>
      <c r="AIY20" s="40"/>
      <c r="AIZ20" s="40"/>
      <c r="AJA20" s="40"/>
      <c r="AJB20" s="40"/>
      <c r="AJC20" s="40"/>
      <c r="AJD20" s="40"/>
      <c r="AJE20" s="40"/>
      <c r="AJF20" s="40"/>
      <c r="AJG20" s="40"/>
      <c r="AJH20" s="40"/>
      <c r="AJI20" s="40"/>
      <c r="AJJ20" s="40"/>
      <c r="AJK20" s="40"/>
      <c r="AJL20" s="40"/>
      <c r="AJM20" s="40"/>
      <c r="AJN20" s="40"/>
      <c r="AJO20" s="40"/>
      <c r="AJP20" s="40"/>
      <c r="AJQ20" s="40"/>
      <c r="AJR20" s="40"/>
      <c r="AJS20" s="40"/>
      <c r="AJT20" s="40"/>
      <c r="AJU20" s="40"/>
      <c r="AJV20" s="40"/>
      <c r="AJW20" s="40"/>
      <c r="AJX20" s="40"/>
      <c r="AJY20" s="40"/>
      <c r="AJZ20" s="40"/>
      <c r="AKA20" s="40"/>
      <c r="AKB20" s="40"/>
      <c r="AKC20" s="40"/>
      <c r="AKD20" s="40"/>
      <c r="AKE20" s="40"/>
      <c r="AKF20" s="40"/>
      <c r="AKG20" s="40"/>
      <c r="AKH20" s="40"/>
      <c r="AKI20" s="40"/>
      <c r="AKJ20" s="40"/>
      <c r="AKK20" s="40"/>
      <c r="AKL20" s="40"/>
      <c r="AKM20" s="40"/>
      <c r="AKN20" s="40"/>
      <c r="AKO20" s="40"/>
      <c r="AKP20" s="40"/>
      <c r="AKQ20" s="40"/>
      <c r="AKR20" s="40"/>
      <c r="AKS20" s="40"/>
      <c r="AKT20" s="40"/>
      <c r="AKU20" s="40"/>
      <c r="AKV20" s="40"/>
      <c r="AKW20" s="40"/>
      <c r="AKX20" s="40"/>
      <c r="AKY20" s="40"/>
      <c r="AKZ20" s="40"/>
      <c r="ALA20" s="40"/>
      <c r="ALB20" s="40"/>
      <c r="ALC20" s="40"/>
      <c r="ALD20" s="40"/>
      <c r="ALE20" s="40"/>
      <c r="ALF20" s="40"/>
      <c r="ALG20" s="40"/>
      <c r="ALH20" s="40"/>
      <c r="ALI20" s="40"/>
      <c r="ALJ20" s="40"/>
      <c r="ALK20" s="40"/>
      <c r="ALL20" s="40"/>
      <c r="ALM20" s="40"/>
      <c r="ALN20" s="40"/>
      <c r="ALO20" s="40"/>
      <c r="ALP20" s="40"/>
      <c r="ALQ20" s="40"/>
      <c r="ALR20" s="40"/>
      <c r="ALS20" s="40"/>
      <c r="ALT20" s="40"/>
      <c r="ALU20" s="40"/>
      <c r="ALV20" s="40"/>
      <c r="ALW20" s="40"/>
      <c r="ALX20" s="40"/>
      <c r="ALY20" s="40"/>
      <c r="ALZ20" s="40"/>
      <c r="AMA20" s="40"/>
      <c r="AMB20" s="40"/>
      <c r="AMC20" s="40"/>
      <c r="AMD20" s="40"/>
      <c r="AME20" s="40"/>
      <c r="AMF20" s="40"/>
      <c r="AMG20" s="40"/>
      <c r="AMH20" s="40"/>
      <c r="AMI20" s="40"/>
      <c r="AMJ20" s="40"/>
    </row>
    <row r="21" spans="1:1024" s="62" customFormat="1" ht="16.2" thickBot="1" x14ac:dyDescent="0.35">
      <c r="A21" s="127" t="s">
        <v>164</v>
      </c>
      <c r="B21" s="448" t="str">
        <f>Dados!C16</f>
        <v>Copeira</v>
      </c>
      <c r="C21" s="449">
        <f>Dados!D16</f>
        <v>200</v>
      </c>
      <c r="D21" s="423">
        <f>Dados!B16</f>
        <v>1</v>
      </c>
      <c r="E21" s="450">
        <f>'Copeira 200'!F46</f>
        <v>4521.01</v>
      </c>
      <c r="F21" s="451">
        <f t="shared" si="0"/>
        <v>4521.01</v>
      </c>
      <c r="G21" s="452">
        <f>'Copeira 200'!I46</f>
        <v>203.37</v>
      </c>
      <c r="H21" s="441">
        <f>'Ocorrências Mensais - FAT'!F20+'Ocorrências Mensais - FAT'!H20</f>
        <v>0</v>
      </c>
      <c r="I21" s="590">
        <f>(ROUND(G21/Dados!$G$40*H21,2)-(G21/'Ocorrências Mensais - FAT'!$E$5*'Ocorrências Mensais - FAT'!G20))</f>
        <v>0</v>
      </c>
      <c r="J21" s="452">
        <f>'Copeira 200'!G46</f>
        <v>4179.95</v>
      </c>
      <c r="K21" s="444">
        <f>'Ocorrências Mensais - FAT'!K20</f>
        <v>0</v>
      </c>
      <c r="L21" s="442">
        <f>J21/'Ocorrências Mensais - FAT'!$E$5*K21</f>
        <v>0</v>
      </c>
      <c r="M21" s="452">
        <f>'Custo Substituto'!I34</f>
        <v>3584.33</v>
      </c>
      <c r="N21" s="444">
        <f>'Ocorrências Mensais - FAT'!L20</f>
        <v>0</v>
      </c>
      <c r="O21" s="442">
        <f>M21/'Ocorrências Mensais - FAT'!$E$5*N21</f>
        <v>0</v>
      </c>
      <c r="P21" s="445">
        <f>'Copeira 200'!H46</f>
        <v>490.31</v>
      </c>
      <c r="Q21" s="445">
        <f>'Ocorrências Mensais - FAT'!M20</f>
        <v>0</v>
      </c>
      <c r="R21" s="442">
        <f>ROUND((P21/Dados!$G$43*Q21),2)</f>
        <v>0</v>
      </c>
      <c r="S21" s="442">
        <f t="shared" si="1"/>
        <v>0</v>
      </c>
      <c r="T21" s="446"/>
      <c r="U21" s="446"/>
      <c r="V21" s="446"/>
      <c r="W21" s="453">
        <f t="shared" si="2"/>
        <v>4521.01</v>
      </c>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c r="AHK21" s="40"/>
      <c r="AHL21" s="40"/>
      <c r="AHM21" s="40"/>
      <c r="AHN21" s="40"/>
      <c r="AHO21" s="40"/>
      <c r="AHP21" s="40"/>
      <c r="AHQ21" s="40"/>
      <c r="AHR21" s="40"/>
      <c r="AHS21" s="40"/>
      <c r="AHT21" s="40"/>
      <c r="AHU21" s="40"/>
      <c r="AHV21" s="40"/>
      <c r="AHW21" s="40"/>
      <c r="AHX21" s="40"/>
      <c r="AHY21" s="40"/>
      <c r="AHZ21" s="40"/>
      <c r="AIA21" s="40"/>
      <c r="AIB21" s="40"/>
      <c r="AIC21" s="40"/>
      <c r="AID21" s="40"/>
      <c r="AIE21" s="40"/>
      <c r="AIF21" s="40"/>
      <c r="AIG21" s="40"/>
      <c r="AIH21" s="40"/>
      <c r="AII21" s="40"/>
      <c r="AIJ21" s="40"/>
      <c r="AIK21" s="40"/>
      <c r="AIL21" s="40"/>
      <c r="AIM21" s="40"/>
      <c r="AIN21" s="40"/>
      <c r="AIO21" s="40"/>
      <c r="AIP21" s="40"/>
      <c r="AIQ21" s="40"/>
      <c r="AIR21" s="40"/>
      <c r="AIS21" s="40"/>
      <c r="AIT21" s="40"/>
      <c r="AIU21" s="40"/>
      <c r="AIV21" s="40"/>
      <c r="AIW21" s="40"/>
      <c r="AIX21" s="40"/>
      <c r="AIY21" s="40"/>
      <c r="AIZ21" s="40"/>
      <c r="AJA21" s="40"/>
      <c r="AJB21" s="40"/>
      <c r="AJC21" s="40"/>
      <c r="AJD21" s="40"/>
      <c r="AJE21" s="40"/>
      <c r="AJF21" s="40"/>
      <c r="AJG21" s="40"/>
      <c r="AJH21" s="40"/>
      <c r="AJI21" s="40"/>
      <c r="AJJ21" s="40"/>
      <c r="AJK21" s="40"/>
      <c r="AJL21" s="40"/>
      <c r="AJM21" s="40"/>
      <c r="AJN21" s="40"/>
      <c r="AJO21" s="40"/>
      <c r="AJP21" s="40"/>
      <c r="AJQ21" s="40"/>
      <c r="AJR21" s="40"/>
      <c r="AJS21" s="40"/>
      <c r="AJT21" s="40"/>
      <c r="AJU21" s="40"/>
      <c r="AJV21" s="40"/>
      <c r="AJW21" s="40"/>
      <c r="AJX21" s="40"/>
      <c r="AJY21" s="40"/>
      <c r="AJZ21" s="40"/>
      <c r="AKA21" s="40"/>
      <c r="AKB21" s="40"/>
      <c r="AKC21" s="40"/>
      <c r="AKD21" s="40"/>
      <c r="AKE21" s="40"/>
      <c r="AKF21" s="40"/>
      <c r="AKG21" s="40"/>
      <c r="AKH21" s="40"/>
      <c r="AKI21" s="40"/>
      <c r="AKJ21" s="40"/>
      <c r="AKK21" s="40"/>
      <c r="AKL21" s="40"/>
      <c r="AKM21" s="40"/>
      <c r="AKN21" s="40"/>
      <c r="AKO21" s="40"/>
      <c r="AKP21" s="40"/>
      <c r="AKQ21" s="40"/>
      <c r="AKR21" s="40"/>
      <c r="AKS21" s="40"/>
      <c r="AKT21" s="40"/>
      <c r="AKU21" s="40"/>
      <c r="AKV21" s="40"/>
      <c r="AKW21" s="40"/>
      <c r="AKX21" s="40"/>
      <c r="AKY21" s="40"/>
      <c r="AKZ21" s="40"/>
      <c r="ALA21" s="40"/>
      <c r="ALB21" s="40"/>
      <c r="ALC21" s="40"/>
      <c r="ALD21" s="40"/>
      <c r="ALE21" s="40"/>
      <c r="ALF21" s="40"/>
      <c r="ALG21" s="40"/>
      <c r="ALH21" s="40"/>
      <c r="ALI21" s="40"/>
      <c r="ALJ21" s="40"/>
      <c r="ALK21" s="40"/>
      <c r="ALL21" s="40"/>
      <c r="ALM21" s="40"/>
      <c r="ALN21" s="40"/>
      <c r="ALO21" s="40"/>
      <c r="ALP21" s="40"/>
      <c r="ALQ21" s="40"/>
      <c r="ALR21" s="40"/>
      <c r="ALS21" s="40"/>
      <c r="ALT21" s="40"/>
      <c r="ALU21" s="40"/>
      <c r="ALV21" s="40"/>
      <c r="ALW21" s="40"/>
      <c r="ALX21" s="40"/>
      <c r="ALY21" s="40"/>
      <c r="ALZ21" s="40"/>
      <c r="AMA21" s="40"/>
      <c r="AMB21" s="40"/>
      <c r="AMC21" s="40"/>
      <c r="AMD21" s="40"/>
      <c r="AME21" s="40"/>
      <c r="AMF21" s="40"/>
      <c r="AMG21" s="40"/>
      <c r="AMH21" s="40"/>
      <c r="AMI21" s="40"/>
      <c r="AMJ21" s="40"/>
    </row>
    <row r="22" spans="1:1024" s="466" customFormat="1" ht="21.75" customHeight="1" thickBot="1" x14ac:dyDescent="0.35">
      <c r="A22" s="675" t="s">
        <v>427</v>
      </c>
      <c r="B22" s="675"/>
      <c r="C22" s="675"/>
      <c r="D22" s="454">
        <f>SUM(D12:D21)</f>
        <v>30</v>
      </c>
      <c r="E22" s="455"/>
      <c r="F22" s="456">
        <f>SUM(F12:F21)</f>
        <v>155574.07</v>
      </c>
      <c r="G22" s="457"/>
      <c r="H22" s="455">
        <f t="shared" ref="H22:O22" si="3">SUM(H12:H21)</f>
        <v>0</v>
      </c>
      <c r="I22" s="458">
        <f t="shared" si="3"/>
        <v>0</v>
      </c>
      <c r="J22" s="459">
        <f t="shared" si="3"/>
        <v>49896.37999999999</v>
      </c>
      <c r="K22" s="455">
        <f t="shared" si="3"/>
        <v>0</v>
      </c>
      <c r="L22" s="458">
        <f t="shared" si="3"/>
        <v>0</v>
      </c>
      <c r="M22" s="460">
        <f t="shared" si="3"/>
        <v>41646.79</v>
      </c>
      <c r="N22" s="455">
        <f t="shared" si="3"/>
        <v>0</v>
      </c>
      <c r="O22" s="461">
        <f t="shared" si="3"/>
        <v>0</v>
      </c>
      <c r="P22" s="461"/>
      <c r="Q22" s="461">
        <f>SUM(Q12:Q21)</f>
        <v>0</v>
      </c>
      <c r="R22" s="461">
        <f>SUM(R12:R21)</f>
        <v>0</v>
      </c>
      <c r="S22" s="462">
        <f>SUM(S12:S21)</f>
        <v>0</v>
      </c>
      <c r="T22" s="462"/>
      <c r="U22" s="461">
        <f>SUM(U12:U21)</f>
        <v>0</v>
      </c>
      <c r="V22" s="463">
        <f>SUM(V12:V21)</f>
        <v>0</v>
      </c>
      <c r="W22" s="464">
        <f>SUM(W12:W21)</f>
        <v>155574.07</v>
      </c>
      <c r="X22" s="465" t="s">
        <v>428</v>
      </c>
      <c r="Y22" s="465"/>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c r="IV22" s="74"/>
      <c r="IW22" s="74"/>
      <c r="IX22" s="74"/>
      <c r="IY22" s="74"/>
      <c r="IZ22" s="74"/>
      <c r="JA22" s="74"/>
      <c r="JB22" s="74"/>
      <c r="JC22" s="74"/>
      <c r="JD22" s="74"/>
      <c r="JE22" s="74"/>
      <c r="JF22" s="74"/>
      <c r="JG22" s="74"/>
      <c r="JH22" s="74"/>
      <c r="JI22" s="74"/>
      <c r="JJ22" s="74"/>
      <c r="JK22" s="74"/>
      <c r="JL22" s="74"/>
      <c r="JM22" s="74"/>
      <c r="JN22" s="74"/>
      <c r="JO22" s="74"/>
      <c r="JP22" s="74"/>
      <c r="JQ22" s="74"/>
      <c r="JR22" s="74"/>
      <c r="JS22" s="74"/>
      <c r="JT22" s="74"/>
      <c r="JU22" s="74"/>
      <c r="JV22" s="74"/>
      <c r="JW22" s="74"/>
      <c r="JX22" s="74"/>
      <c r="JY22" s="74"/>
      <c r="JZ22" s="74"/>
      <c r="KA22" s="74"/>
      <c r="KB22" s="74"/>
      <c r="KC22" s="74"/>
      <c r="KD22" s="74"/>
      <c r="KE22" s="74"/>
      <c r="KF22" s="74"/>
      <c r="KG22" s="74"/>
      <c r="KH22" s="74"/>
      <c r="KI22" s="74"/>
      <c r="KJ22" s="74"/>
      <c r="KK22" s="74"/>
      <c r="KL22" s="74"/>
      <c r="KM22" s="74"/>
      <c r="KN22" s="74"/>
      <c r="KO22" s="74"/>
      <c r="KP22" s="74"/>
      <c r="KQ22" s="74"/>
      <c r="KR22" s="74"/>
      <c r="KS22" s="74"/>
      <c r="KT22" s="74"/>
      <c r="KU22" s="74"/>
      <c r="KV22" s="74"/>
      <c r="KW22" s="74"/>
      <c r="KX22" s="74"/>
      <c r="KY22" s="74"/>
      <c r="KZ22" s="74"/>
      <c r="LA22" s="74"/>
      <c r="LB22" s="74"/>
      <c r="LC22" s="74"/>
      <c r="LD22" s="74"/>
      <c r="LE22" s="74"/>
      <c r="LF22" s="74"/>
      <c r="LG22" s="74"/>
      <c r="LH22" s="74"/>
      <c r="LI22" s="74"/>
      <c r="LJ22" s="74"/>
      <c r="LK22" s="74"/>
      <c r="LL22" s="74"/>
      <c r="LM22" s="74"/>
      <c r="LN22" s="74"/>
      <c r="LO22" s="74"/>
      <c r="LP22" s="74"/>
      <c r="LQ22" s="74"/>
      <c r="LR22" s="74"/>
      <c r="LS22" s="74"/>
      <c r="LT22" s="74"/>
      <c r="LU22" s="74"/>
      <c r="LV22" s="74"/>
      <c r="LW22" s="74"/>
      <c r="LX22" s="74"/>
      <c r="LY22" s="74"/>
      <c r="LZ22" s="74"/>
      <c r="MA22" s="74"/>
      <c r="MB22" s="74"/>
      <c r="MC22" s="74"/>
      <c r="MD22" s="74"/>
      <c r="ME22" s="74"/>
      <c r="MF22" s="74"/>
      <c r="MG22" s="74"/>
      <c r="MH22" s="74"/>
      <c r="MI22" s="74"/>
      <c r="MJ22" s="74"/>
      <c r="MK22" s="74"/>
      <c r="ML22" s="74"/>
      <c r="MM22" s="74"/>
      <c r="MN22" s="74"/>
      <c r="MO22" s="74"/>
      <c r="MP22" s="74"/>
      <c r="MQ22" s="74"/>
      <c r="MR22" s="74"/>
      <c r="MS22" s="74"/>
      <c r="MT22" s="74"/>
      <c r="MU22" s="74"/>
      <c r="MV22" s="74"/>
      <c r="MW22" s="74"/>
      <c r="MX22" s="74"/>
      <c r="MY22" s="74"/>
      <c r="MZ22" s="74"/>
      <c r="NA22" s="74"/>
      <c r="NB22" s="74"/>
      <c r="NC22" s="74"/>
      <c r="ND22" s="74"/>
      <c r="NE22" s="74"/>
      <c r="NF22" s="74"/>
      <c r="NG22" s="74"/>
      <c r="NH22" s="74"/>
      <c r="NI22" s="74"/>
      <c r="NJ22" s="74"/>
      <c r="NK22" s="74"/>
      <c r="NL22" s="74"/>
      <c r="NM22" s="74"/>
      <c r="NN22" s="74"/>
      <c r="NO22" s="74"/>
      <c r="NP22" s="74"/>
      <c r="NQ22" s="74"/>
      <c r="NR22" s="74"/>
      <c r="NS22" s="74"/>
      <c r="NT22" s="74"/>
      <c r="NU22" s="74"/>
      <c r="NV22" s="74"/>
      <c r="NW22" s="74"/>
      <c r="NX22" s="74"/>
      <c r="NY22" s="74"/>
      <c r="NZ22" s="74"/>
      <c r="OA22" s="74"/>
      <c r="OB22" s="74"/>
      <c r="OC22" s="74"/>
      <c r="OD22" s="74"/>
      <c r="OE22" s="74"/>
      <c r="OF22" s="74"/>
      <c r="OG22" s="74"/>
      <c r="OH22" s="74"/>
      <c r="OI22" s="74"/>
      <c r="OJ22" s="74"/>
      <c r="OK22" s="74"/>
      <c r="OL22" s="74"/>
      <c r="OM22" s="74"/>
      <c r="ON22" s="74"/>
      <c r="OO22" s="74"/>
      <c r="OP22" s="74"/>
      <c r="OQ22" s="74"/>
      <c r="OR22" s="74"/>
      <c r="OS22" s="74"/>
      <c r="OT22" s="74"/>
      <c r="OU22" s="74"/>
      <c r="OV22" s="74"/>
      <c r="OW22" s="74"/>
      <c r="OX22" s="74"/>
      <c r="OY22" s="74"/>
      <c r="OZ22" s="74"/>
      <c r="PA22" s="74"/>
      <c r="PB22" s="74"/>
      <c r="PC22" s="74"/>
      <c r="PD22" s="74"/>
      <c r="PE22" s="74"/>
      <c r="PF22" s="74"/>
      <c r="PG22" s="74"/>
      <c r="PH22" s="74"/>
      <c r="PI22" s="74"/>
      <c r="PJ22" s="74"/>
      <c r="PK22" s="74"/>
      <c r="PL22" s="74"/>
      <c r="PM22" s="74"/>
      <c r="PN22" s="74"/>
      <c r="PO22" s="74"/>
      <c r="PP22" s="74"/>
      <c r="PQ22" s="74"/>
      <c r="PR22" s="74"/>
      <c r="PS22" s="74"/>
      <c r="PT22" s="74"/>
      <c r="PU22" s="74"/>
      <c r="PV22" s="74"/>
      <c r="PW22" s="74"/>
      <c r="PX22" s="74"/>
      <c r="PY22" s="74"/>
      <c r="PZ22" s="74"/>
      <c r="QA22" s="74"/>
      <c r="QB22" s="74"/>
      <c r="QC22" s="74"/>
      <c r="QD22" s="74"/>
      <c r="QE22" s="74"/>
      <c r="QF22" s="74"/>
      <c r="QG22" s="74"/>
      <c r="QH22" s="74"/>
      <c r="QI22" s="74"/>
      <c r="QJ22" s="74"/>
      <c r="QK22" s="74"/>
      <c r="QL22" s="74"/>
      <c r="QM22" s="74"/>
      <c r="QN22" s="74"/>
      <c r="QO22" s="74"/>
      <c r="QP22" s="74"/>
      <c r="QQ22" s="74"/>
      <c r="QR22" s="74"/>
      <c r="QS22" s="74"/>
      <c r="QT22" s="74"/>
      <c r="QU22" s="74"/>
      <c r="QV22" s="74"/>
      <c r="QW22" s="74"/>
      <c r="QX22" s="74"/>
      <c r="QY22" s="74"/>
      <c r="QZ22" s="74"/>
      <c r="RA22" s="74"/>
      <c r="RB22" s="74"/>
      <c r="RC22" s="74"/>
      <c r="RD22" s="74"/>
      <c r="RE22" s="74"/>
      <c r="RF22" s="74"/>
      <c r="RG22" s="74"/>
      <c r="RH22" s="74"/>
      <c r="RI22" s="74"/>
      <c r="RJ22" s="74"/>
      <c r="RK22" s="74"/>
      <c r="RL22" s="74"/>
      <c r="RM22" s="74"/>
      <c r="RN22" s="74"/>
      <c r="RO22" s="74"/>
      <c r="RP22" s="74"/>
      <c r="RQ22" s="74"/>
      <c r="RR22" s="74"/>
      <c r="RS22" s="74"/>
      <c r="RT22" s="74"/>
      <c r="RU22" s="74"/>
      <c r="RV22" s="74"/>
      <c r="RW22" s="74"/>
      <c r="RX22" s="74"/>
      <c r="RY22" s="74"/>
      <c r="RZ22" s="74"/>
      <c r="SA22" s="74"/>
      <c r="SB22" s="74"/>
      <c r="SC22" s="74"/>
      <c r="SD22" s="74"/>
      <c r="SE22" s="74"/>
      <c r="SF22" s="74"/>
      <c r="SG22" s="74"/>
      <c r="SH22" s="74"/>
      <c r="SI22" s="74"/>
      <c r="SJ22" s="74"/>
      <c r="SK22" s="74"/>
      <c r="SL22" s="74"/>
      <c r="SM22" s="74"/>
      <c r="SN22" s="74"/>
      <c r="SO22" s="74"/>
      <c r="SP22" s="74"/>
      <c r="SQ22" s="74"/>
      <c r="SR22" s="74"/>
      <c r="SS22" s="74"/>
      <c r="ST22" s="74"/>
      <c r="SU22" s="74"/>
      <c r="SV22" s="74"/>
      <c r="SW22" s="74"/>
      <c r="SX22" s="74"/>
      <c r="SY22" s="74"/>
      <c r="SZ22" s="74"/>
      <c r="TA22" s="74"/>
      <c r="TB22" s="74"/>
      <c r="TC22" s="74"/>
      <c r="TD22" s="74"/>
      <c r="TE22" s="74"/>
      <c r="TF22" s="74"/>
      <c r="TG22" s="74"/>
      <c r="TH22" s="74"/>
      <c r="TI22" s="74"/>
      <c r="TJ22" s="74"/>
      <c r="TK22" s="74"/>
      <c r="TL22" s="74"/>
      <c r="TM22" s="74"/>
      <c r="TN22" s="74"/>
      <c r="TO22" s="74"/>
      <c r="TP22" s="74"/>
      <c r="TQ22" s="74"/>
      <c r="TR22" s="74"/>
      <c r="TS22" s="74"/>
      <c r="TT22" s="74"/>
      <c r="TU22" s="74"/>
      <c r="TV22" s="74"/>
      <c r="TW22" s="74"/>
      <c r="TX22" s="74"/>
      <c r="TY22" s="74"/>
      <c r="TZ22" s="74"/>
      <c r="UA22" s="74"/>
      <c r="UB22" s="74"/>
      <c r="UC22" s="74"/>
      <c r="UD22" s="74"/>
      <c r="UE22" s="74"/>
      <c r="UF22" s="74"/>
      <c r="UG22" s="74"/>
      <c r="UH22" s="74"/>
      <c r="UI22" s="74"/>
      <c r="UJ22" s="74"/>
      <c r="UK22" s="74"/>
      <c r="UL22" s="74"/>
      <c r="UM22" s="74"/>
      <c r="UN22" s="74"/>
      <c r="UO22" s="74"/>
      <c r="UP22" s="74"/>
      <c r="UQ22" s="74"/>
      <c r="UR22" s="74"/>
      <c r="US22" s="74"/>
      <c r="UT22" s="74"/>
      <c r="UU22" s="74"/>
      <c r="UV22" s="74"/>
      <c r="UW22" s="74"/>
      <c r="UX22" s="74"/>
      <c r="UY22" s="74"/>
      <c r="UZ22" s="74"/>
      <c r="VA22" s="74"/>
      <c r="VB22" s="74"/>
      <c r="VC22" s="74"/>
      <c r="VD22" s="74"/>
      <c r="VE22" s="74"/>
      <c r="VF22" s="74"/>
      <c r="VG22" s="74"/>
      <c r="VH22" s="74"/>
      <c r="VI22" s="74"/>
      <c r="VJ22" s="74"/>
      <c r="VK22" s="74"/>
      <c r="VL22" s="74"/>
      <c r="VM22" s="74"/>
      <c r="VN22" s="74"/>
      <c r="VO22" s="74"/>
      <c r="VP22" s="74"/>
      <c r="VQ22" s="74"/>
      <c r="VR22" s="74"/>
      <c r="VS22" s="74"/>
      <c r="VT22" s="74"/>
      <c r="VU22" s="74"/>
      <c r="VV22" s="74"/>
      <c r="VW22" s="74"/>
      <c r="VX22" s="74"/>
      <c r="VY22" s="74"/>
      <c r="VZ22" s="74"/>
      <c r="WA22" s="74"/>
      <c r="WB22" s="74"/>
      <c r="WC22" s="74"/>
      <c r="WD22" s="74"/>
      <c r="WE22" s="74"/>
      <c r="WF22" s="74"/>
      <c r="WG22" s="74"/>
      <c r="WH22" s="74"/>
      <c r="WI22" s="74"/>
      <c r="WJ22" s="74"/>
      <c r="WK22" s="74"/>
      <c r="WL22" s="74"/>
      <c r="WM22" s="74"/>
      <c r="WN22" s="74"/>
      <c r="WO22" s="74"/>
      <c r="WP22" s="74"/>
      <c r="WQ22" s="74"/>
      <c r="WR22" s="74"/>
      <c r="WS22" s="74"/>
      <c r="WT22" s="74"/>
      <c r="WU22" s="74"/>
      <c r="WV22" s="74"/>
      <c r="WW22" s="74"/>
      <c r="WX22" s="74"/>
      <c r="WY22" s="74"/>
      <c r="WZ22" s="74"/>
      <c r="XA22" s="74"/>
      <c r="XB22" s="74"/>
      <c r="XC22" s="74"/>
      <c r="XD22" s="74"/>
      <c r="XE22" s="74"/>
      <c r="XF22" s="74"/>
      <c r="XG22" s="74"/>
      <c r="XH22" s="74"/>
      <c r="XI22" s="74"/>
      <c r="XJ22" s="74"/>
      <c r="XK22" s="74"/>
      <c r="XL22" s="74"/>
      <c r="XM22" s="74"/>
      <c r="XN22" s="74"/>
      <c r="XO22" s="74"/>
      <c r="XP22" s="74"/>
      <c r="XQ22" s="74"/>
      <c r="XR22" s="74"/>
      <c r="XS22" s="74"/>
      <c r="XT22" s="74"/>
      <c r="XU22" s="74"/>
      <c r="XV22" s="74"/>
      <c r="XW22" s="74"/>
      <c r="XX22" s="74"/>
      <c r="XY22" s="74"/>
      <c r="XZ22" s="74"/>
      <c r="YA22" s="74"/>
      <c r="YB22" s="74"/>
      <c r="YC22" s="74"/>
      <c r="YD22" s="74"/>
      <c r="YE22" s="74"/>
      <c r="YF22" s="74"/>
      <c r="YG22" s="74"/>
      <c r="YH22" s="74"/>
      <c r="YI22" s="74"/>
      <c r="YJ22" s="74"/>
      <c r="YK22" s="74"/>
      <c r="YL22" s="74"/>
      <c r="YM22" s="74"/>
      <c r="YN22" s="74"/>
      <c r="YO22" s="74"/>
      <c r="YP22" s="74"/>
      <c r="YQ22" s="74"/>
      <c r="YR22" s="74"/>
      <c r="YS22" s="74"/>
      <c r="YT22" s="74"/>
      <c r="YU22" s="74"/>
      <c r="YV22" s="74"/>
      <c r="YW22" s="74"/>
      <c r="YX22" s="74"/>
      <c r="YY22" s="74"/>
      <c r="YZ22" s="74"/>
      <c r="ZA22" s="74"/>
      <c r="ZB22" s="74"/>
      <c r="ZC22" s="74"/>
      <c r="ZD22" s="74"/>
      <c r="ZE22" s="74"/>
      <c r="ZF22" s="74"/>
      <c r="ZG22" s="74"/>
      <c r="ZH22" s="74"/>
      <c r="ZI22" s="74"/>
      <c r="ZJ22" s="74"/>
      <c r="ZK22" s="74"/>
      <c r="ZL22" s="74"/>
      <c r="ZM22" s="74"/>
      <c r="ZN22" s="74"/>
      <c r="ZO22" s="74"/>
      <c r="ZP22" s="74"/>
      <c r="ZQ22" s="74"/>
      <c r="ZR22" s="74"/>
      <c r="ZS22" s="74"/>
      <c r="ZT22" s="74"/>
      <c r="ZU22" s="74"/>
      <c r="ZV22" s="74"/>
      <c r="ZW22" s="74"/>
      <c r="ZX22" s="74"/>
      <c r="ZY22" s="74"/>
      <c r="ZZ22" s="74"/>
      <c r="AAA22" s="74"/>
      <c r="AAB22" s="74"/>
      <c r="AAC22" s="74"/>
      <c r="AAD22" s="74"/>
      <c r="AAE22" s="74"/>
      <c r="AAF22" s="74"/>
      <c r="AAG22" s="74"/>
      <c r="AAH22" s="74"/>
      <c r="AAI22" s="74"/>
      <c r="AAJ22" s="74"/>
      <c r="AAK22" s="74"/>
      <c r="AAL22" s="74"/>
      <c r="AAM22" s="74"/>
      <c r="AAN22" s="74"/>
      <c r="AAO22" s="74"/>
      <c r="AAP22" s="74"/>
      <c r="AAQ22" s="74"/>
      <c r="AAR22" s="74"/>
      <c r="AAS22" s="74"/>
      <c r="AAT22" s="74"/>
      <c r="AAU22" s="74"/>
      <c r="AAV22" s="74"/>
      <c r="AAW22" s="74"/>
      <c r="AAX22" s="74"/>
      <c r="AAY22" s="74"/>
      <c r="AAZ22" s="74"/>
      <c r="ABA22" s="74"/>
      <c r="ABB22" s="74"/>
      <c r="ABC22" s="74"/>
      <c r="ABD22" s="74"/>
      <c r="ABE22" s="74"/>
      <c r="ABF22" s="74"/>
      <c r="ABG22" s="74"/>
      <c r="ABH22" s="74"/>
      <c r="ABI22" s="74"/>
      <c r="ABJ22" s="74"/>
      <c r="ABK22" s="74"/>
      <c r="ABL22" s="74"/>
      <c r="ABM22" s="74"/>
      <c r="ABN22" s="74"/>
      <c r="ABO22" s="74"/>
      <c r="ABP22" s="74"/>
      <c r="ABQ22" s="74"/>
      <c r="ABR22" s="74"/>
      <c r="ABS22" s="74"/>
      <c r="ABT22" s="74"/>
      <c r="ABU22" s="74"/>
      <c r="ABV22" s="74"/>
      <c r="ABW22" s="74"/>
      <c r="ABX22" s="74"/>
      <c r="ABY22" s="74"/>
      <c r="ABZ22" s="74"/>
      <c r="ACA22" s="74"/>
      <c r="ACB22" s="74"/>
      <c r="ACC22" s="74"/>
      <c r="ACD22" s="74"/>
      <c r="ACE22" s="74"/>
      <c r="ACF22" s="74"/>
      <c r="ACG22" s="74"/>
      <c r="ACH22" s="74"/>
      <c r="ACI22" s="74"/>
      <c r="ACJ22" s="74"/>
      <c r="ACK22" s="74"/>
      <c r="ACL22" s="74"/>
      <c r="ACM22" s="74"/>
      <c r="ACN22" s="74"/>
      <c r="ACO22" s="74"/>
      <c r="ACP22" s="74"/>
      <c r="ACQ22" s="74"/>
      <c r="ACR22" s="74"/>
      <c r="ACS22" s="74"/>
      <c r="ACT22" s="74"/>
      <c r="ACU22" s="74"/>
      <c r="ACV22" s="74"/>
      <c r="ACW22" s="74"/>
      <c r="ACX22" s="74"/>
      <c r="ACY22" s="74"/>
      <c r="ACZ22" s="74"/>
      <c r="ADA22" s="74"/>
      <c r="ADB22" s="74"/>
      <c r="ADC22" s="74"/>
      <c r="ADD22" s="74"/>
      <c r="ADE22" s="74"/>
      <c r="ADF22" s="74"/>
      <c r="ADG22" s="74"/>
      <c r="ADH22" s="74"/>
      <c r="ADI22" s="74"/>
      <c r="ADJ22" s="74"/>
      <c r="ADK22" s="74"/>
      <c r="ADL22" s="74"/>
      <c r="ADM22" s="74"/>
      <c r="ADN22" s="74"/>
      <c r="ADO22" s="74"/>
      <c r="ADP22" s="74"/>
      <c r="ADQ22" s="74"/>
      <c r="ADR22" s="74"/>
      <c r="ADS22" s="74"/>
      <c r="ADT22" s="74"/>
      <c r="ADU22" s="74"/>
      <c r="ADV22" s="74"/>
      <c r="ADW22" s="74"/>
      <c r="ADX22" s="74"/>
      <c r="ADY22" s="74"/>
      <c r="ADZ22" s="74"/>
      <c r="AEA22" s="74"/>
      <c r="AEB22" s="74"/>
      <c r="AEC22" s="74"/>
      <c r="AED22" s="74"/>
      <c r="AEE22" s="74"/>
      <c r="AEF22" s="74"/>
      <c r="AEG22" s="74"/>
      <c r="AEH22" s="74"/>
      <c r="AEI22" s="74"/>
      <c r="AEJ22" s="74"/>
      <c r="AEK22" s="74"/>
      <c r="AEL22" s="74"/>
      <c r="AEM22" s="74"/>
      <c r="AEN22" s="74"/>
      <c r="AEO22" s="74"/>
      <c r="AEP22" s="74"/>
      <c r="AEQ22" s="74"/>
      <c r="AER22" s="74"/>
      <c r="AES22" s="74"/>
      <c r="AET22" s="74"/>
      <c r="AEU22" s="74"/>
      <c r="AEV22" s="74"/>
      <c r="AEW22" s="74"/>
      <c r="AEX22" s="74"/>
      <c r="AEY22" s="74"/>
      <c r="AEZ22" s="74"/>
      <c r="AFA22" s="74"/>
      <c r="AFB22" s="74"/>
      <c r="AFC22" s="74"/>
      <c r="AFD22" s="74"/>
      <c r="AFE22" s="74"/>
      <c r="AFF22" s="74"/>
      <c r="AFG22" s="74"/>
      <c r="AFH22" s="74"/>
      <c r="AFI22" s="74"/>
      <c r="AFJ22" s="74"/>
      <c r="AFK22" s="74"/>
      <c r="AFL22" s="74"/>
      <c r="AFM22" s="74"/>
      <c r="AFN22" s="74"/>
      <c r="AFO22" s="74"/>
      <c r="AFP22" s="74"/>
      <c r="AFQ22" s="74"/>
      <c r="AFR22" s="74"/>
      <c r="AFS22" s="74"/>
      <c r="AFT22" s="74"/>
      <c r="AFU22" s="74"/>
      <c r="AFV22" s="74"/>
      <c r="AFW22" s="74"/>
      <c r="AFX22" s="74"/>
      <c r="AFY22" s="74"/>
      <c r="AFZ22" s="74"/>
      <c r="AGA22" s="74"/>
      <c r="AGB22" s="74"/>
      <c r="AGC22" s="74"/>
      <c r="AGD22" s="74"/>
      <c r="AGE22" s="74"/>
      <c r="AGF22" s="74"/>
      <c r="AGG22" s="74"/>
      <c r="AGH22" s="74"/>
      <c r="AGI22" s="74"/>
      <c r="AGJ22" s="74"/>
      <c r="AGK22" s="74"/>
      <c r="AGL22" s="74"/>
      <c r="AGM22" s="74"/>
      <c r="AGN22" s="74"/>
      <c r="AGO22" s="74"/>
      <c r="AGP22" s="74"/>
      <c r="AGQ22" s="74"/>
      <c r="AGR22" s="74"/>
      <c r="AGS22" s="74"/>
      <c r="AGT22" s="74"/>
      <c r="AGU22" s="74"/>
      <c r="AGV22" s="74"/>
      <c r="AGW22" s="74"/>
      <c r="AGX22" s="74"/>
      <c r="AGY22" s="74"/>
      <c r="AGZ22" s="74"/>
      <c r="AHA22" s="74"/>
      <c r="AHB22" s="74"/>
      <c r="AHC22" s="74"/>
      <c r="AHD22" s="74"/>
      <c r="AHE22" s="74"/>
      <c r="AHF22" s="74"/>
      <c r="AHG22" s="74"/>
      <c r="AHH22" s="74"/>
      <c r="AHI22" s="74"/>
      <c r="AHJ22" s="74"/>
      <c r="AHK22" s="74"/>
      <c r="AHL22" s="74"/>
      <c r="AHM22" s="74"/>
      <c r="AHN22" s="74"/>
      <c r="AHO22" s="74"/>
      <c r="AHP22" s="74"/>
      <c r="AHQ22" s="74"/>
      <c r="AHR22" s="74"/>
      <c r="AHS22" s="74"/>
      <c r="AHT22" s="74"/>
      <c r="AHU22" s="74"/>
      <c r="AHV22" s="74"/>
      <c r="AHW22" s="74"/>
      <c r="AHX22" s="74"/>
      <c r="AHY22" s="74"/>
      <c r="AHZ22" s="74"/>
      <c r="AIA22" s="74"/>
      <c r="AIB22" s="74"/>
      <c r="AIC22" s="74"/>
      <c r="AID22" s="74"/>
      <c r="AIE22" s="74"/>
      <c r="AIF22" s="74"/>
      <c r="AIG22" s="74"/>
      <c r="AIH22" s="74"/>
      <c r="AII22" s="74"/>
      <c r="AIJ22" s="74"/>
      <c r="AIK22" s="74"/>
      <c r="AIL22" s="74"/>
      <c r="AIM22" s="74"/>
      <c r="AIN22" s="74"/>
      <c r="AIO22" s="74"/>
      <c r="AIP22" s="74"/>
      <c r="AIQ22" s="74"/>
      <c r="AIR22" s="74"/>
      <c r="AIS22" s="74"/>
      <c r="AIT22" s="74"/>
      <c r="AIU22" s="74"/>
      <c r="AIV22" s="74"/>
      <c r="AIW22" s="74"/>
      <c r="AIX22" s="74"/>
      <c r="AIY22" s="74"/>
      <c r="AIZ22" s="74"/>
      <c r="AJA22" s="74"/>
      <c r="AJB22" s="74"/>
      <c r="AJC22" s="74"/>
      <c r="AJD22" s="74"/>
      <c r="AJE22" s="74"/>
      <c r="AJF22" s="74"/>
      <c r="AJG22" s="74"/>
      <c r="AJH22" s="74"/>
      <c r="AJI22" s="74"/>
      <c r="AJJ22" s="74"/>
      <c r="AJK22" s="74"/>
      <c r="AJL22" s="74"/>
      <c r="AJM22" s="74"/>
      <c r="AJN22" s="74"/>
      <c r="AJO22" s="74"/>
      <c r="AJP22" s="74"/>
      <c r="AJQ22" s="74"/>
      <c r="AJR22" s="74"/>
      <c r="AJS22" s="74"/>
      <c r="AJT22" s="74"/>
      <c r="AJU22" s="74"/>
      <c r="AJV22" s="74"/>
      <c r="AJW22" s="74"/>
      <c r="AJX22" s="74"/>
      <c r="AJY22" s="74"/>
      <c r="AJZ22" s="74"/>
      <c r="AKA22" s="74"/>
      <c r="AKB22" s="74"/>
      <c r="AKC22" s="74"/>
      <c r="AKD22" s="74"/>
      <c r="AKE22" s="74"/>
      <c r="AKF22" s="74"/>
      <c r="AKG22" s="74"/>
      <c r="AKH22" s="74"/>
      <c r="AKI22" s="74"/>
      <c r="AKJ22" s="74"/>
      <c r="AKK22" s="74"/>
      <c r="AKL22" s="74"/>
      <c r="AKM22" s="74"/>
      <c r="AKN22" s="74"/>
      <c r="AKO22" s="74"/>
      <c r="AKP22" s="74"/>
      <c r="AKQ22" s="74"/>
      <c r="AKR22" s="74"/>
      <c r="AKS22" s="74"/>
      <c r="AKT22" s="74"/>
      <c r="AKU22" s="74"/>
      <c r="AKV22" s="74"/>
      <c r="AKW22" s="74"/>
      <c r="AKX22" s="74"/>
      <c r="AKY22" s="74"/>
      <c r="AKZ22" s="74"/>
      <c r="ALA22" s="74"/>
      <c r="ALB22" s="74"/>
      <c r="ALC22" s="74"/>
      <c r="ALD22" s="74"/>
      <c r="ALE22" s="74"/>
      <c r="ALF22" s="74"/>
      <c r="ALG22" s="74"/>
      <c r="ALH22" s="74"/>
      <c r="ALI22" s="74"/>
      <c r="ALJ22" s="74"/>
      <c r="ALK22" s="74"/>
      <c r="ALL22" s="74"/>
      <c r="ALM22" s="74"/>
      <c r="ALN22" s="74"/>
      <c r="ALO22" s="74"/>
      <c r="ALP22" s="74"/>
      <c r="ALQ22" s="74"/>
      <c r="ALR22" s="74"/>
      <c r="ALS22" s="74"/>
      <c r="ALT22" s="74"/>
      <c r="ALU22" s="74"/>
      <c r="ALV22" s="74"/>
      <c r="ALW22" s="74"/>
      <c r="ALX22" s="74"/>
      <c r="ALY22" s="74"/>
      <c r="ALZ22" s="74"/>
      <c r="AMA22" s="74"/>
      <c r="AMB22" s="74"/>
      <c r="AMC22" s="74"/>
      <c r="AMD22" s="74"/>
      <c r="AME22" s="74"/>
      <c r="AMF22" s="74"/>
      <c r="AMG22" s="74"/>
      <c r="AMH22" s="74"/>
      <c r="AMI22" s="74"/>
      <c r="AMJ22" s="74"/>
    </row>
    <row r="23" spans="1:1024" s="62" customFormat="1" ht="18" customHeight="1" x14ac:dyDescent="0.3">
      <c r="A23" s="676" t="s">
        <v>429</v>
      </c>
      <c r="B23" s="676"/>
      <c r="C23" s="676"/>
      <c r="D23" s="676"/>
      <c r="E23" s="676"/>
      <c r="F23" s="676"/>
      <c r="G23" s="676"/>
      <c r="H23" s="676"/>
      <c r="I23" s="676"/>
      <c r="J23" s="676"/>
      <c r="K23" s="676"/>
      <c r="L23" s="676"/>
      <c r="M23" s="676"/>
      <c r="N23" s="676"/>
      <c r="O23" s="676"/>
      <c r="P23" s="676"/>
      <c r="Q23" s="676"/>
      <c r="R23" s="676"/>
      <c r="S23" s="676"/>
      <c r="T23" s="676"/>
      <c r="U23" s="676"/>
      <c r="V23" s="676"/>
      <c r="W23" s="467">
        <f>Insumos!K62+Insumos!K83+Insumos!K99+Insumos!K111</f>
        <v>11758.394166666671</v>
      </c>
    </row>
    <row r="24" spans="1:1024" s="469" customFormat="1" ht="20.25" customHeight="1" x14ac:dyDescent="0.3">
      <c r="A24" s="676" t="s">
        <v>430</v>
      </c>
      <c r="B24" s="676"/>
      <c r="C24" s="676"/>
      <c r="D24" s="676"/>
      <c r="E24" s="676"/>
      <c r="F24" s="676"/>
      <c r="G24" s="676"/>
      <c r="H24" s="676"/>
      <c r="I24" s="676"/>
      <c r="J24" s="676"/>
      <c r="K24" s="676"/>
      <c r="L24" s="676"/>
      <c r="M24" s="676"/>
      <c r="N24" s="676"/>
      <c r="O24" s="676"/>
      <c r="P24" s="676"/>
      <c r="Q24" s="676"/>
      <c r="R24" s="676"/>
      <c r="S24" s="676"/>
      <c r="T24" s="676"/>
      <c r="U24" s="676"/>
      <c r="V24" s="676"/>
      <c r="W24" s="468">
        <f>W22*12</f>
        <v>1866888.84</v>
      </c>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62"/>
      <c r="ON24" s="62"/>
      <c r="OO24" s="62"/>
      <c r="OP24" s="62"/>
      <c r="OQ24" s="62"/>
      <c r="OR24" s="62"/>
      <c r="OS24" s="62"/>
      <c r="OT24" s="62"/>
      <c r="OU24" s="62"/>
      <c r="OV24" s="62"/>
      <c r="OW24" s="62"/>
      <c r="OX24" s="62"/>
      <c r="OY24" s="62"/>
      <c r="OZ24" s="62"/>
      <c r="PA24" s="62"/>
      <c r="PB24" s="62"/>
      <c r="PC24" s="62"/>
      <c r="PD24" s="62"/>
      <c r="PE24" s="62"/>
      <c r="PF24" s="62"/>
      <c r="PG24" s="62"/>
      <c r="PH24" s="62"/>
      <c r="PI24" s="62"/>
      <c r="PJ24" s="62"/>
      <c r="PK24" s="62"/>
      <c r="PL24" s="62"/>
      <c r="PM24" s="62"/>
      <c r="PN24" s="62"/>
      <c r="PO24" s="62"/>
      <c r="PP24" s="62"/>
      <c r="PQ24" s="62"/>
      <c r="PR24" s="62"/>
      <c r="PS24" s="62"/>
      <c r="PT24" s="62"/>
      <c r="PU24" s="62"/>
      <c r="PV24" s="62"/>
      <c r="PW24" s="62"/>
      <c r="PX24" s="62"/>
      <c r="PY24" s="62"/>
      <c r="PZ24" s="62"/>
      <c r="QA24" s="62"/>
      <c r="QB24" s="62"/>
      <c r="QC24" s="62"/>
      <c r="QD24" s="62"/>
      <c r="QE24" s="62"/>
      <c r="QF24" s="62"/>
      <c r="QG24" s="62"/>
      <c r="QH24" s="62"/>
      <c r="QI24" s="62"/>
      <c r="QJ24" s="62"/>
      <c r="QK24" s="62"/>
      <c r="QL24" s="62"/>
      <c r="QM24" s="62"/>
      <c r="QN24" s="62"/>
      <c r="QO24" s="62"/>
      <c r="QP24" s="62"/>
      <c r="QQ24" s="62"/>
      <c r="QR24" s="62"/>
      <c r="QS24" s="62"/>
      <c r="QT24" s="62"/>
      <c r="QU24" s="62"/>
      <c r="QV24" s="62"/>
      <c r="QW24" s="62"/>
      <c r="QX24" s="62"/>
      <c r="QY24" s="62"/>
      <c r="QZ24" s="62"/>
      <c r="RA24" s="62"/>
      <c r="RB24" s="62"/>
      <c r="RC24" s="62"/>
      <c r="RD24" s="62"/>
      <c r="RE24" s="62"/>
      <c r="RF24" s="62"/>
      <c r="RG24" s="62"/>
      <c r="RH24" s="62"/>
      <c r="RI24" s="62"/>
      <c r="RJ24" s="62"/>
      <c r="RK24" s="62"/>
      <c r="RL24" s="62"/>
      <c r="RM24" s="62"/>
      <c r="RN24" s="62"/>
      <c r="RO24" s="62"/>
      <c r="RP24" s="62"/>
      <c r="RQ24" s="62"/>
      <c r="RR24" s="62"/>
      <c r="RS24" s="62"/>
      <c r="RT24" s="62"/>
      <c r="RU24" s="62"/>
      <c r="RV24" s="62"/>
      <c r="RW24" s="62"/>
      <c r="RX24" s="62"/>
      <c r="RY24" s="62"/>
      <c r="RZ24" s="62"/>
      <c r="SA24" s="62"/>
      <c r="SB24" s="62"/>
      <c r="SC24" s="62"/>
      <c r="SD24" s="62"/>
      <c r="SE24" s="62"/>
      <c r="SF24" s="62"/>
      <c r="SG24" s="62"/>
      <c r="SH24" s="62"/>
      <c r="SI24" s="62"/>
      <c r="SJ24" s="62"/>
      <c r="SK24" s="62"/>
      <c r="SL24" s="62"/>
      <c r="SM24" s="62"/>
      <c r="SN24" s="62"/>
      <c r="SO24" s="62"/>
      <c r="SP24" s="62"/>
      <c r="SQ24" s="62"/>
      <c r="SR24" s="62"/>
      <c r="SS24" s="62"/>
      <c r="ST24" s="62"/>
      <c r="SU24" s="62"/>
      <c r="SV24" s="62"/>
      <c r="SW24" s="62"/>
      <c r="SX24" s="62"/>
      <c r="SY24" s="62"/>
      <c r="SZ24" s="62"/>
      <c r="TA24" s="62"/>
      <c r="TB24" s="62"/>
      <c r="TC24" s="62"/>
      <c r="TD24" s="62"/>
      <c r="TE24" s="62"/>
      <c r="TF24" s="62"/>
      <c r="TG24" s="62"/>
      <c r="TH24" s="62"/>
      <c r="TI24" s="62"/>
      <c r="TJ24" s="62"/>
      <c r="TK24" s="62"/>
      <c r="TL24" s="62"/>
      <c r="TM24" s="62"/>
      <c r="TN24" s="62"/>
      <c r="TO24" s="62"/>
      <c r="TP24" s="62"/>
      <c r="TQ24" s="62"/>
      <c r="TR24" s="62"/>
      <c r="TS24" s="62"/>
      <c r="TT24" s="62"/>
      <c r="TU24" s="62"/>
      <c r="TV24" s="62"/>
      <c r="TW24" s="62"/>
      <c r="TX24" s="62"/>
      <c r="TY24" s="62"/>
      <c r="TZ24" s="62"/>
      <c r="UA24" s="62"/>
      <c r="UB24" s="62"/>
      <c r="UC24" s="62"/>
      <c r="UD24" s="62"/>
      <c r="UE24" s="62"/>
      <c r="UF24" s="62"/>
      <c r="UG24" s="62"/>
      <c r="UH24" s="62"/>
      <c r="UI24" s="62"/>
      <c r="UJ24" s="62"/>
      <c r="UK24" s="62"/>
      <c r="UL24" s="62"/>
      <c r="UM24" s="62"/>
      <c r="UN24" s="62"/>
      <c r="UO24" s="62"/>
      <c r="UP24" s="62"/>
      <c r="UQ24" s="62"/>
      <c r="UR24" s="62"/>
      <c r="US24" s="62"/>
      <c r="UT24" s="62"/>
      <c r="UU24" s="62"/>
      <c r="UV24" s="62"/>
      <c r="UW24" s="62"/>
      <c r="UX24" s="62"/>
      <c r="UY24" s="62"/>
      <c r="UZ24" s="62"/>
      <c r="VA24" s="62"/>
      <c r="VB24" s="62"/>
      <c r="VC24" s="62"/>
      <c r="VD24" s="62"/>
      <c r="VE24" s="62"/>
      <c r="VF24" s="62"/>
      <c r="VG24" s="62"/>
      <c r="VH24" s="62"/>
      <c r="VI24" s="62"/>
      <c r="VJ24" s="62"/>
      <c r="VK24" s="62"/>
      <c r="VL24" s="62"/>
      <c r="VM24" s="62"/>
      <c r="VN24" s="62"/>
      <c r="VO24" s="62"/>
      <c r="VP24" s="62"/>
      <c r="VQ24" s="62"/>
      <c r="VR24" s="62"/>
      <c r="VS24" s="62"/>
      <c r="VT24" s="62"/>
      <c r="VU24" s="62"/>
      <c r="VV24" s="62"/>
      <c r="VW24" s="62"/>
      <c r="VX24" s="62"/>
      <c r="VY24" s="62"/>
      <c r="VZ24" s="62"/>
      <c r="WA24" s="62"/>
      <c r="WB24" s="62"/>
      <c r="WC24" s="62"/>
      <c r="WD24" s="62"/>
      <c r="WE24" s="62"/>
      <c r="WF24" s="62"/>
      <c r="WG24" s="62"/>
      <c r="WH24" s="62"/>
      <c r="WI24" s="62"/>
      <c r="WJ24" s="62"/>
      <c r="WK24" s="62"/>
      <c r="WL24" s="62"/>
      <c r="WM24" s="62"/>
      <c r="WN24" s="62"/>
      <c r="WO24" s="62"/>
      <c r="WP24" s="62"/>
      <c r="WQ24" s="62"/>
      <c r="WR24" s="62"/>
      <c r="WS24" s="62"/>
      <c r="WT24" s="62"/>
      <c r="WU24" s="62"/>
      <c r="WV24" s="62"/>
      <c r="WW24" s="62"/>
      <c r="WX24" s="62"/>
      <c r="WY24" s="62"/>
      <c r="WZ24" s="62"/>
      <c r="XA24" s="62"/>
      <c r="XB24" s="62"/>
      <c r="XC24" s="62"/>
      <c r="XD24" s="62"/>
      <c r="XE24" s="62"/>
      <c r="XF24" s="62"/>
      <c r="XG24" s="62"/>
      <c r="XH24" s="62"/>
      <c r="XI24" s="62"/>
      <c r="XJ24" s="62"/>
      <c r="XK24" s="62"/>
      <c r="XL24" s="62"/>
      <c r="XM24" s="62"/>
      <c r="XN24" s="62"/>
      <c r="XO24" s="62"/>
      <c r="XP24" s="62"/>
      <c r="XQ24" s="62"/>
      <c r="XR24" s="62"/>
      <c r="XS24" s="62"/>
      <c r="XT24" s="62"/>
      <c r="XU24" s="62"/>
      <c r="XV24" s="62"/>
      <c r="XW24" s="62"/>
      <c r="XX24" s="62"/>
      <c r="XY24" s="62"/>
      <c r="XZ24" s="62"/>
      <c r="YA24" s="62"/>
      <c r="YB24" s="62"/>
      <c r="YC24" s="62"/>
      <c r="YD24" s="62"/>
      <c r="YE24" s="62"/>
      <c r="YF24" s="62"/>
      <c r="YG24" s="62"/>
      <c r="YH24" s="62"/>
      <c r="YI24" s="62"/>
      <c r="YJ24" s="62"/>
      <c r="YK24" s="62"/>
      <c r="YL24" s="62"/>
      <c r="YM24" s="62"/>
      <c r="YN24" s="62"/>
      <c r="YO24" s="62"/>
      <c r="YP24" s="62"/>
      <c r="YQ24" s="62"/>
      <c r="YR24" s="62"/>
      <c r="YS24" s="62"/>
      <c r="YT24" s="62"/>
      <c r="YU24" s="62"/>
      <c r="YV24" s="62"/>
      <c r="YW24" s="62"/>
      <c r="YX24" s="62"/>
      <c r="YY24" s="62"/>
      <c r="YZ24" s="62"/>
      <c r="ZA24" s="62"/>
      <c r="ZB24" s="62"/>
      <c r="ZC24" s="62"/>
      <c r="ZD24" s="62"/>
      <c r="ZE24" s="62"/>
      <c r="ZF24" s="62"/>
      <c r="ZG24" s="62"/>
      <c r="ZH24" s="62"/>
      <c r="ZI24" s="62"/>
      <c r="ZJ24" s="62"/>
      <c r="ZK24" s="62"/>
      <c r="ZL24" s="62"/>
      <c r="ZM24" s="62"/>
      <c r="ZN24" s="62"/>
      <c r="ZO24" s="62"/>
      <c r="ZP24" s="62"/>
      <c r="ZQ24" s="62"/>
      <c r="ZR24" s="62"/>
      <c r="ZS24" s="62"/>
      <c r="ZT24" s="62"/>
      <c r="ZU24" s="62"/>
      <c r="ZV24" s="62"/>
      <c r="ZW24" s="62"/>
      <c r="ZX24" s="62"/>
      <c r="ZY24" s="62"/>
      <c r="ZZ24" s="62"/>
      <c r="AAA24" s="62"/>
      <c r="AAB24" s="62"/>
      <c r="AAC24" s="62"/>
      <c r="AAD24" s="62"/>
      <c r="AAE24" s="62"/>
      <c r="AAF24" s="62"/>
      <c r="AAG24" s="62"/>
      <c r="AAH24" s="62"/>
      <c r="AAI24" s="62"/>
      <c r="AAJ24" s="62"/>
      <c r="AAK24" s="62"/>
      <c r="AAL24" s="62"/>
      <c r="AAM24" s="62"/>
      <c r="AAN24" s="62"/>
      <c r="AAO24" s="62"/>
      <c r="AAP24" s="62"/>
      <c r="AAQ24" s="62"/>
      <c r="AAR24" s="62"/>
      <c r="AAS24" s="62"/>
      <c r="AAT24" s="62"/>
      <c r="AAU24" s="62"/>
      <c r="AAV24" s="62"/>
      <c r="AAW24" s="62"/>
      <c r="AAX24" s="62"/>
      <c r="AAY24" s="62"/>
      <c r="AAZ24" s="62"/>
      <c r="ABA24" s="62"/>
      <c r="ABB24" s="62"/>
      <c r="ABC24" s="62"/>
      <c r="ABD24" s="62"/>
      <c r="ABE24" s="62"/>
      <c r="ABF24" s="62"/>
      <c r="ABG24" s="62"/>
      <c r="ABH24" s="62"/>
      <c r="ABI24" s="62"/>
      <c r="ABJ24" s="62"/>
      <c r="ABK24" s="62"/>
      <c r="ABL24" s="62"/>
      <c r="ABM24" s="62"/>
      <c r="ABN24" s="62"/>
      <c r="ABO24" s="62"/>
      <c r="ABP24" s="62"/>
      <c r="ABQ24" s="62"/>
      <c r="ABR24" s="62"/>
      <c r="ABS24" s="62"/>
      <c r="ABT24" s="62"/>
      <c r="ABU24" s="62"/>
      <c r="ABV24" s="62"/>
      <c r="ABW24" s="62"/>
      <c r="ABX24" s="62"/>
      <c r="ABY24" s="62"/>
      <c r="ABZ24" s="62"/>
      <c r="ACA24" s="62"/>
      <c r="ACB24" s="62"/>
      <c r="ACC24" s="62"/>
      <c r="ACD24" s="62"/>
      <c r="ACE24" s="62"/>
      <c r="ACF24" s="62"/>
      <c r="ACG24" s="62"/>
      <c r="ACH24" s="62"/>
      <c r="ACI24" s="62"/>
      <c r="ACJ24" s="62"/>
      <c r="ACK24" s="62"/>
      <c r="ACL24" s="62"/>
      <c r="ACM24" s="62"/>
      <c r="ACN24" s="62"/>
      <c r="ACO24" s="62"/>
      <c r="ACP24" s="62"/>
      <c r="ACQ24" s="62"/>
      <c r="ACR24" s="62"/>
      <c r="ACS24" s="62"/>
      <c r="ACT24" s="62"/>
      <c r="ACU24" s="62"/>
      <c r="ACV24" s="62"/>
      <c r="ACW24" s="62"/>
      <c r="ACX24" s="62"/>
      <c r="ACY24" s="62"/>
      <c r="ACZ24" s="62"/>
      <c r="ADA24" s="62"/>
      <c r="ADB24" s="62"/>
      <c r="ADC24" s="62"/>
      <c r="ADD24" s="62"/>
      <c r="ADE24" s="62"/>
      <c r="ADF24" s="62"/>
      <c r="ADG24" s="62"/>
      <c r="ADH24" s="62"/>
      <c r="ADI24" s="62"/>
      <c r="ADJ24" s="62"/>
      <c r="ADK24" s="62"/>
      <c r="ADL24" s="62"/>
      <c r="ADM24" s="62"/>
      <c r="ADN24" s="62"/>
      <c r="ADO24" s="62"/>
      <c r="ADP24" s="62"/>
      <c r="ADQ24" s="62"/>
      <c r="ADR24" s="62"/>
      <c r="ADS24" s="62"/>
      <c r="ADT24" s="62"/>
      <c r="ADU24" s="62"/>
      <c r="ADV24" s="62"/>
      <c r="ADW24" s="62"/>
      <c r="ADX24" s="62"/>
      <c r="ADY24" s="62"/>
      <c r="ADZ24" s="62"/>
      <c r="AEA24" s="62"/>
      <c r="AEB24" s="62"/>
      <c r="AEC24" s="62"/>
      <c r="AED24" s="62"/>
      <c r="AEE24" s="62"/>
      <c r="AEF24" s="62"/>
      <c r="AEG24" s="62"/>
      <c r="AEH24" s="62"/>
      <c r="AEI24" s="62"/>
      <c r="AEJ24" s="62"/>
      <c r="AEK24" s="62"/>
      <c r="AEL24" s="62"/>
      <c r="AEM24" s="62"/>
      <c r="AEN24" s="62"/>
      <c r="AEO24" s="62"/>
      <c r="AEP24" s="62"/>
      <c r="AEQ24" s="62"/>
      <c r="AER24" s="62"/>
      <c r="AES24" s="62"/>
      <c r="AET24" s="62"/>
      <c r="AEU24" s="62"/>
      <c r="AEV24" s="62"/>
      <c r="AEW24" s="62"/>
      <c r="AEX24" s="62"/>
      <c r="AEY24" s="62"/>
      <c r="AEZ24" s="62"/>
      <c r="AFA24" s="62"/>
      <c r="AFB24" s="62"/>
      <c r="AFC24" s="62"/>
      <c r="AFD24" s="62"/>
      <c r="AFE24" s="62"/>
      <c r="AFF24" s="62"/>
      <c r="AFG24" s="62"/>
      <c r="AFH24" s="62"/>
      <c r="AFI24" s="62"/>
      <c r="AFJ24" s="62"/>
      <c r="AFK24" s="62"/>
      <c r="AFL24" s="62"/>
      <c r="AFM24" s="62"/>
      <c r="AFN24" s="62"/>
      <c r="AFO24" s="62"/>
      <c r="AFP24" s="62"/>
      <c r="AFQ24" s="62"/>
      <c r="AFR24" s="62"/>
      <c r="AFS24" s="62"/>
      <c r="AFT24" s="62"/>
      <c r="AFU24" s="62"/>
      <c r="AFV24" s="62"/>
      <c r="AFW24" s="62"/>
      <c r="AFX24" s="62"/>
      <c r="AFY24" s="62"/>
      <c r="AFZ24" s="62"/>
      <c r="AGA24" s="62"/>
      <c r="AGB24" s="62"/>
      <c r="AGC24" s="62"/>
      <c r="AGD24" s="62"/>
      <c r="AGE24" s="62"/>
      <c r="AGF24" s="62"/>
      <c r="AGG24" s="62"/>
      <c r="AGH24" s="62"/>
      <c r="AGI24" s="62"/>
      <c r="AGJ24" s="62"/>
      <c r="AGK24" s="62"/>
      <c r="AGL24" s="62"/>
      <c r="AGM24" s="62"/>
      <c r="AGN24" s="62"/>
      <c r="AGO24" s="62"/>
      <c r="AGP24" s="62"/>
      <c r="AGQ24" s="62"/>
      <c r="AGR24" s="62"/>
      <c r="AGS24" s="62"/>
      <c r="AGT24" s="62"/>
      <c r="AGU24" s="62"/>
      <c r="AGV24" s="62"/>
      <c r="AGW24" s="62"/>
      <c r="AGX24" s="62"/>
      <c r="AGY24" s="62"/>
      <c r="AGZ24" s="62"/>
      <c r="AHA24" s="62"/>
      <c r="AHB24" s="62"/>
      <c r="AHC24" s="62"/>
      <c r="AHD24" s="62"/>
      <c r="AHE24" s="62"/>
      <c r="AHF24" s="62"/>
      <c r="AHG24" s="62"/>
      <c r="AHH24" s="62"/>
      <c r="AHI24" s="62"/>
      <c r="AHJ24" s="62"/>
      <c r="AHK24" s="62"/>
      <c r="AHL24" s="62"/>
      <c r="AHM24" s="62"/>
      <c r="AHN24" s="62"/>
      <c r="AHO24" s="62"/>
      <c r="AHP24" s="62"/>
      <c r="AHQ24" s="62"/>
      <c r="AHR24" s="62"/>
      <c r="AHS24" s="62"/>
      <c r="AHT24" s="62"/>
      <c r="AHU24" s="62"/>
      <c r="AHV24" s="62"/>
      <c r="AHW24" s="62"/>
      <c r="AHX24" s="62"/>
      <c r="AHY24" s="62"/>
      <c r="AHZ24" s="62"/>
      <c r="AIA24" s="62"/>
      <c r="AIB24" s="62"/>
      <c r="AIC24" s="62"/>
      <c r="AID24" s="62"/>
      <c r="AIE24" s="62"/>
      <c r="AIF24" s="62"/>
      <c r="AIG24" s="62"/>
      <c r="AIH24" s="62"/>
      <c r="AII24" s="62"/>
      <c r="AIJ24" s="62"/>
      <c r="AIK24" s="62"/>
      <c r="AIL24" s="62"/>
      <c r="AIM24" s="62"/>
      <c r="AIN24" s="62"/>
      <c r="AIO24" s="62"/>
      <c r="AIP24" s="62"/>
      <c r="AIQ24" s="62"/>
      <c r="AIR24" s="62"/>
      <c r="AIS24" s="62"/>
      <c r="AIT24" s="62"/>
      <c r="AIU24" s="62"/>
      <c r="AIV24" s="62"/>
      <c r="AIW24" s="62"/>
      <c r="AIX24" s="62"/>
      <c r="AIY24" s="62"/>
      <c r="AIZ24" s="62"/>
      <c r="AJA24" s="62"/>
      <c r="AJB24" s="62"/>
      <c r="AJC24" s="62"/>
      <c r="AJD24" s="62"/>
      <c r="AJE24" s="62"/>
      <c r="AJF24" s="62"/>
      <c r="AJG24" s="62"/>
      <c r="AJH24" s="62"/>
      <c r="AJI24" s="62"/>
      <c r="AJJ24" s="62"/>
      <c r="AJK24" s="62"/>
      <c r="AJL24" s="62"/>
      <c r="AJM24" s="62"/>
      <c r="AJN24" s="62"/>
      <c r="AJO24" s="62"/>
      <c r="AJP24" s="62"/>
      <c r="AJQ24" s="62"/>
      <c r="AJR24" s="62"/>
      <c r="AJS24" s="62"/>
      <c r="AJT24" s="62"/>
      <c r="AJU24" s="62"/>
      <c r="AJV24" s="62"/>
      <c r="AJW24" s="62"/>
      <c r="AJX24" s="62"/>
      <c r="AJY24" s="62"/>
      <c r="AJZ24" s="62"/>
      <c r="AKA24" s="62"/>
      <c r="AKB24" s="62"/>
      <c r="AKC24" s="62"/>
      <c r="AKD24" s="62"/>
      <c r="AKE24" s="62"/>
      <c r="AKF24" s="62"/>
      <c r="AKG24" s="62"/>
      <c r="AKH24" s="62"/>
      <c r="AKI24" s="62"/>
      <c r="AKJ24" s="62"/>
      <c r="AKK24" s="62"/>
      <c r="AKL24" s="62"/>
      <c r="AKM24" s="62"/>
      <c r="AKN24" s="62"/>
      <c r="AKO24" s="62"/>
      <c r="AKP24" s="62"/>
      <c r="AKQ24" s="62"/>
      <c r="AKR24" s="62"/>
      <c r="AKS24" s="62"/>
      <c r="AKT24" s="62"/>
      <c r="AKU24" s="62"/>
      <c r="AKV24" s="62"/>
      <c r="AKW24" s="62"/>
      <c r="AKX24" s="62"/>
      <c r="AKY24" s="62"/>
      <c r="AKZ24" s="62"/>
      <c r="ALA24" s="62"/>
      <c r="ALB24" s="62"/>
      <c r="ALC24" s="62"/>
      <c r="ALD24" s="62"/>
      <c r="ALE24" s="62"/>
      <c r="ALF24" s="62"/>
      <c r="ALG24" s="62"/>
      <c r="ALH24" s="62"/>
      <c r="ALI24" s="62"/>
      <c r="ALJ24" s="62"/>
      <c r="ALK24" s="62"/>
      <c r="ALL24" s="62"/>
      <c r="ALM24" s="62"/>
      <c r="ALN24" s="62"/>
      <c r="ALO24" s="62"/>
      <c r="ALP24" s="62"/>
      <c r="ALQ24" s="62"/>
      <c r="ALR24" s="62"/>
      <c r="ALS24" s="62"/>
      <c r="ALT24" s="62"/>
      <c r="ALU24" s="62"/>
      <c r="ALV24" s="62"/>
      <c r="ALW24" s="62"/>
      <c r="ALX24" s="62"/>
      <c r="ALY24" s="62"/>
      <c r="ALZ24" s="62"/>
      <c r="AMA24" s="62"/>
      <c r="AMB24" s="62"/>
      <c r="AMC24" s="62"/>
      <c r="AMD24" s="62"/>
      <c r="AME24" s="62"/>
      <c r="AMF24" s="62"/>
      <c r="AMG24" s="62"/>
      <c r="AMH24" s="62"/>
      <c r="AMI24" s="62"/>
      <c r="AMJ24" s="62"/>
    </row>
    <row r="25" spans="1:1024" ht="24" customHeight="1" x14ac:dyDescent="0.3">
      <c r="A25" s="671" t="s">
        <v>94</v>
      </c>
      <c r="B25" s="671"/>
      <c r="C25" s="671"/>
      <c r="D25" s="671"/>
      <c r="E25" s="671"/>
      <c r="F25" s="671"/>
      <c r="G25" s="671"/>
      <c r="H25" s="671"/>
      <c r="I25" s="671"/>
      <c r="J25" s="671"/>
      <c r="K25" s="671"/>
      <c r="L25" s="671"/>
      <c r="M25" s="671"/>
      <c r="N25" s="671"/>
      <c r="O25" s="671"/>
      <c r="P25" s="671"/>
      <c r="Q25" s="671"/>
      <c r="R25" s="671"/>
      <c r="S25" s="671"/>
      <c r="T25" s="671"/>
      <c r="U25" s="671"/>
      <c r="V25" s="671"/>
      <c r="W25" s="671"/>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6"/>
      <c r="CI25" s="466"/>
      <c r="CJ25" s="466"/>
      <c r="CK25" s="466"/>
      <c r="CL25" s="466"/>
      <c r="CM25" s="466"/>
      <c r="CN25" s="466"/>
      <c r="CO25" s="466"/>
      <c r="CP25" s="466"/>
      <c r="CQ25" s="466"/>
      <c r="CR25" s="466"/>
      <c r="CS25" s="466"/>
      <c r="CT25" s="466"/>
      <c r="CU25" s="466"/>
      <c r="CV25" s="466"/>
      <c r="CW25" s="466"/>
      <c r="CX25" s="466"/>
      <c r="CY25" s="466"/>
      <c r="CZ25" s="466"/>
      <c r="DA25" s="466"/>
      <c r="DB25" s="466"/>
      <c r="DC25" s="466"/>
      <c r="DD25" s="466"/>
      <c r="DE25" s="466"/>
      <c r="DF25" s="466"/>
      <c r="DG25" s="466"/>
      <c r="DH25" s="466"/>
      <c r="DI25" s="466"/>
      <c r="DJ25" s="466"/>
      <c r="DK25" s="466"/>
      <c r="DL25" s="466"/>
      <c r="DM25" s="466"/>
      <c r="DN25" s="466"/>
      <c r="DO25" s="466"/>
      <c r="DP25" s="466"/>
      <c r="DQ25" s="466"/>
      <c r="DR25" s="466"/>
      <c r="DS25" s="466"/>
      <c r="DT25" s="466"/>
      <c r="DU25" s="466"/>
      <c r="DV25" s="466"/>
      <c r="DW25" s="466"/>
      <c r="DX25" s="466"/>
      <c r="DY25" s="466"/>
      <c r="DZ25" s="466"/>
      <c r="EA25" s="466"/>
      <c r="EB25" s="466"/>
      <c r="EC25" s="466"/>
      <c r="ED25" s="466"/>
      <c r="EE25" s="466"/>
      <c r="EF25" s="466"/>
      <c r="EG25" s="466"/>
      <c r="EH25" s="466"/>
      <c r="EI25" s="466"/>
      <c r="EJ25" s="466"/>
      <c r="EK25" s="466"/>
      <c r="EL25" s="466"/>
      <c r="EM25" s="466"/>
      <c r="EN25" s="466"/>
      <c r="EO25" s="466"/>
      <c r="EP25" s="466"/>
      <c r="EQ25" s="466"/>
      <c r="ER25" s="466"/>
      <c r="ES25" s="466"/>
      <c r="ET25" s="466"/>
      <c r="EU25" s="466"/>
      <c r="EV25" s="466"/>
      <c r="EW25" s="466"/>
      <c r="EX25" s="466"/>
      <c r="EY25" s="466"/>
      <c r="EZ25" s="466"/>
      <c r="FA25" s="466"/>
      <c r="FB25" s="466"/>
      <c r="FC25" s="466"/>
      <c r="FD25" s="466"/>
      <c r="FE25" s="466"/>
      <c r="FF25" s="466"/>
      <c r="FG25" s="466"/>
      <c r="FH25" s="466"/>
      <c r="FI25" s="466"/>
      <c r="FJ25" s="466"/>
      <c r="FK25" s="466"/>
      <c r="FL25" s="466"/>
      <c r="FM25" s="466"/>
      <c r="FN25" s="466"/>
      <c r="FO25" s="466"/>
      <c r="FP25" s="466"/>
      <c r="FQ25" s="466"/>
      <c r="FR25" s="466"/>
      <c r="FS25" s="466"/>
      <c r="FT25" s="466"/>
      <c r="FU25" s="466"/>
      <c r="FV25" s="466"/>
      <c r="FW25" s="466"/>
      <c r="FX25" s="466"/>
      <c r="FY25" s="466"/>
      <c r="FZ25" s="466"/>
      <c r="GA25" s="466"/>
      <c r="GB25" s="466"/>
      <c r="GC25" s="466"/>
      <c r="GD25" s="466"/>
      <c r="GE25" s="466"/>
      <c r="GF25" s="466"/>
      <c r="GG25" s="466"/>
      <c r="GH25" s="466"/>
      <c r="GI25" s="466"/>
      <c r="GJ25" s="466"/>
      <c r="GK25" s="466"/>
      <c r="GL25" s="466"/>
      <c r="GM25" s="466"/>
      <c r="GN25" s="466"/>
      <c r="GO25" s="466"/>
      <c r="GP25" s="466"/>
      <c r="GQ25" s="466"/>
      <c r="GR25" s="466"/>
      <c r="GS25" s="466"/>
      <c r="GT25" s="466"/>
      <c r="GU25" s="466"/>
      <c r="GV25" s="466"/>
      <c r="GW25" s="466"/>
      <c r="GX25" s="466"/>
      <c r="GY25" s="466"/>
      <c r="GZ25" s="466"/>
      <c r="HA25" s="466"/>
      <c r="HB25" s="466"/>
      <c r="HC25" s="466"/>
      <c r="HD25" s="466"/>
      <c r="HE25" s="466"/>
      <c r="HF25" s="466"/>
      <c r="HG25" s="466"/>
      <c r="HH25" s="466"/>
      <c r="HI25" s="466"/>
      <c r="HJ25" s="466"/>
      <c r="HK25" s="466"/>
      <c r="HL25" s="466"/>
      <c r="HM25" s="466"/>
      <c r="HN25" s="466"/>
      <c r="HO25" s="466"/>
      <c r="HP25" s="466"/>
      <c r="HQ25" s="466"/>
      <c r="HR25" s="466"/>
      <c r="HS25" s="466"/>
      <c r="HT25" s="466"/>
      <c r="HU25" s="466"/>
      <c r="HV25" s="466"/>
      <c r="HW25" s="466"/>
      <c r="HX25" s="466"/>
      <c r="HY25" s="466"/>
      <c r="HZ25" s="466"/>
      <c r="IA25" s="466"/>
      <c r="IB25" s="466"/>
      <c r="IC25" s="466"/>
      <c r="ID25" s="466"/>
      <c r="IE25" s="466"/>
      <c r="IF25" s="466"/>
      <c r="IG25" s="466"/>
      <c r="IH25" s="466"/>
      <c r="II25" s="466"/>
      <c r="IJ25" s="466"/>
      <c r="IK25" s="466"/>
      <c r="IL25" s="466"/>
      <c r="IM25" s="466"/>
      <c r="IN25" s="466"/>
      <c r="IO25" s="466"/>
      <c r="IP25" s="466"/>
      <c r="IQ25" s="466"/>
      <c r="IR25" s="466"/>
      <c r="IS25" s="466"/>
      <c r="IT25" s="466"/>
      <c r="IU25" s="466"/>
      <c r="IV25" s="466"/>
      <c r="IW25" s="466"/>
      <c r="IX25" s="466"/>
      <c r="IY25" s="466"/>
      <c r="IZ25" s="466"/>
      <c r="JA25" s="466"/>
      <c r="JB25" s="466"/>
      <c r="JC25" s="466"/>
      <c r="JD25" s="466"/>
      <c r="JE25" s="466"/>
      <c r="JF25" s="466"/>
      <c r="JG25" s="466"/>
      <c r="JH25" s="466"/>
      <c r="JI25" s="466"/>
      <c r="JJ25" s="466"/>
      <c r="JK25" s="466"/>
      <c r="JL25" s="466"/>
      <c r="JM25" s="466"/>
      <c r="JN25" s="466"/>
      <c r="JO25" s="466"/>
      <c r="JP25" s="466"/>
      <c r="JQ25" s="466"/>
      <c r="JR25" s="466"/>
      <c r="JS25" s="466"/>
      <c r="JT25" s="466"/>
      <c r="JU25" s="466"/>
      <c r="JV25" s="466"/>
      <c r="JW25" s="466"/>
      <c r="JX25" s="466"/>
      <c r="JY25" s="466"/>
      <c r="JZ25" s="466"/>
      <c r="KA25" s="466"/>
      <c r="KB25" s="466"/>
      <c r="KC25" s="466"/>
      <c r="KD25" s="466"/>
      <c r="KE25" s="466"/>
      <c r="KF25" s="466"/>
      <c r="KG25" s="466"/>
      <c r="KH25" s="466"/>
      <c r="KI25" s="466"/>
      <c r="KJ25" s="466"/>
      <c r="KK25" s="466"/>
      <c r="KL25" s="466"/>
      <c r="KM25" s="466"/>
      <c r="KN25" s="466"/>
      <c r="KO25" s="466"/>
      <c r="KP25" s="466"/>
      <c r="KQ25" s="466"/>
      <c r="KR25" s="466"/>
      <c r="KS25" s="466"/>
      <c r="KT25" s="466"/>
      <c r="KU25" s="466"/>
      <c r="KV25" s="466"/>
      <c r="KW25" s="466"/>
      <c r="KX25" s="466"/>
      <c r="KY25" s="466"/>
      <c r="KZ25" s="466"/>
      <c r="LA25" s="466"/>
      <c r="LB25" s="466"/>
      <c r="LC25" s="466"/>
      <c r="LD25" s="466"/>
      <c r="LE25" s="466"/>
      <c r="LF25" s="466"/>
      <c r="LG25" s="466"/>
      <c r="LH25" s="466"/>
      <c r="LI25" s="466"/>
      <c r="LJ25" s="466"/>
      <c r="LK25" s="466"/>
      <c r="LL25" s="466"/>
      <c r="LM25" s="466"/>
      <c r="LN25" s="466"/>
      <c r="LO25" s="466"/>
      <c r="LP25" s="466"/>
      <c r="LQ25" s="466"/>
      <c r="LR25" s="466"/>
      <c r="LS25" s="466"/>
      <c r="LT25" s="466"/>
      <c r="LU25" s="466"/>
      <c r="LV25" s="466"/>
      <c r="LW25" s="466"/>
      <c r="LX25" s="466"/>
      <c r="LY25" s="466"/>
      <c r="LZ25" s="466"/>
      <c r="MA25" s="466"/>
      <c r="MB25" s="466"/>
      <c r="MC25" s="466"/>
      <c r="MD25" s="466"/>
      <c r="ME25" s="466"/>
      <c r="MF25" s="466"/>
      <c r="MG25" s="466"/>
      <c r="MH25" s="466"/>
      <c r="MI25" s="466"/>
      <c r="MJ25" s="466"/>
      <c r="MK25" s="466"/>
      <c r="ML25" s="466"/>
      <c r="MM25" s="466"/>
      <c r="MN25" s="466"/>
      <c r="MO25" s="466"/>
      <c r="MP25" s="466"/>
      <c r="MQ25" s="466"/>
      <c r="MR25" s="466"/>
      <c r="MS25" s="466"/>
      <c r="MT25" s="466"/>
      <c r="MU25" s="466"/>
      <c r="MV25" s="466"/>
      <c r="MW25" s="466"/>
      <c r="MX25" s="466"/>
      <c r="MY25" s="466"/>
      <c r="MZ25" s="466"/>
      <c r="NA25" s="466"/>
      <c r="NB25" s="466"/>
      <c r="NC25" s="466"/>
      <c r="ND25" s="466"/>
      <c r="NE25" s="466"/>
      <c r="NF25" s="466"/>
      <c r="NG25" s="466"/>
      <c r="NH25" s="466"/>
      <c r="NI25" s="466"/>
      <c r="NJ25" s="466"/>
      <c r="NK25" s="466"/>
      <c r="NL25" s="466"/>
      <c r="NM25" s="466"/>
      <c r="NN25" s="466"/>
      <c r="NO25" s="466"/>
      <c r="NP25" s="466"/>
      <c r="NQ25" s="466"/>
      <c r="NR25" s="466"/>
      <c r="NS25" s="466"/>
      <c r="NT25" s="466"/>
      <c r="NU25" s="466"/>
      <c r="NV25" s="466"/>
      <c r="NW25" s="466"/>
      <c r="NX25" s="466"/>
      <c r="NY25" s="466"/>
      <c r="NZ25" s="466"/>
      <c r="OA25" s="466"/>
      <c r="OB25" s="466"/>
      <c r="OC25" s="466"/>
      <c r="OD25" s="466"/>
      <c r="OE25" s="466"/>
      <c r="OF25" s="466"/>
      <c r="OG25" s="466"/>
      <c r="OH25" s="466"/>
      <c r="OI25" s="466"/>
      <c r="OJ25" s="466"/>
      <c r="OK25" s="466"/>
      <c r="OL25" s="466"/>
      <c r="OM25" s="466"/>
      <c r="ON25" s="466"/>
      <c r="OO25" s="466"/>
      <c r="OP25" s="466"/>
      <c r="OQ25" s="466"/>
      <c r="OR25" s="466"/>
      <c r="OS25" s="466"/>
      <c r="OT25" s="466"/>
      <c r="OU25" s="466"/>
      <c r="OV25" s="466"/>
      <c r="OW25" s="466"/>
      <c r="OX25" s="466"/>
      <c r="OY25" s="466"/>
      <c r="OZ25" s="466"/>
      <c r="PA25" s="466"/>
      <c r="PB25" s="466"/>
      <c r="PC25" s="466"/>
      <c r="PD25" s="466"/>
      <c r="PE25" s="466"/>
      <c r="PF25" s="466"/>
      <c r="PG25" s="466"/>
      <c r="PH25" s="466"/>
      <c r="PI25" s="466"/>
      <c r="PJ25" s="466"/>
      <c r="PK25" s="466"/>
      <c r="PL25" s="466"/>
      <c r="PM25" s="466"/>
      <c r="PN25" s="466"/>
      <c r="PO25" s="466"/>
      <c r="PP25" s="466"/>
      <c r="PQ25" s="466"/>
      <c r="PR25" s="466"/>
      <c r="PS25" s="466"/>
      <c r="PT25" s="466"/>
      <c r="PU25" s="466"/>
      <c r="PV25" s="466"/>
      <c r="PW25" s="466"/>
      <c r="PX25" s="466"/>
      <c r="PY25" s="466"/>
      <c r="PZ25" s="466"/>
      <c r="QA25" s="466"/>
      <c r="QB25" s="466"/>
      <c r="QC25" s="466"/>
      <c r="QD25" s="466"/>
      <c r="QE25" s="466"/>
      <c r="QF25" s="466"/>
      <c r="QG25" s="466"/>
      <c r="QH25" s="466"/>
      <c r="QI25" s="466"/>
      <c r="QJ25" s="466"/>
      <c r="QK25" s="466"/>
      <c r="QL25" s="466"/>
      <c r="QM25" s="466"/>
      <c r="QN25" s="466"/>
      <c r="QO25" s="466"/>
      <c r="QP25" s="466"/>
      <c r="QQ25" s="466"/>
      <c r="QR25" s="466"/>
      <c r="QS25" s="466"/>
      <c r="QT25" s="466"/>
      <c r="QU25" s="466"/>
      <c r="QV25" s="466"/>
      <c r="QW25" s="466"/>
      <c r="QX25" s="466"/>
      <c r="QY25" s="466"/>
      <c r="QZ25" s="466"/>
      <c r="RA25" s="466"/>
      <c r="RB25" s="466"/>
      <c r="RC25" s="466"/>
      <c r="RD25" s="466"/>
      <c r="RE25" s="466"/>
      <c r="RF25" s="466"/>
      <c r="RG25" s="466"/>
      <c r="RH25" s="466"/>
      <c r="RI25" s="466"/>
      <c r="RJ25" s="466"/>
      <c r="RK25" s="466"/>
      <c r="RL25" s="466"/>
      <c r="RM25" s="466"/>
      <c r="RN25" s="466"/>
      <c r="RO25" s="466"/>
      <c r="RP25" s="466"/>
      <c r="RQ25" s="466"/>
      <c r="RR25" s="466"/>
      <c r="RS25" s="466"/>
      <c r="RT25" s="466"/>
      <c r="RU25" s="466"/>
      <c r="RV25" s="466"/>
      <c r="RW25" s="466"/>
      <c r="RX25" s="466"/>
      <c r="RY25" s="466"/>
      <c r="RZ25" s="466"/>
      <c r="SA25" s="466"/>
      <c r="SB25" s="466"/>
      <c r="SC25" s="466"/>
      <c r="SD25" s="466"/>
      <c r="SE25" s="466"/>
      <c r="SF25" s="466"/>
      <c r="SG25" s="466"/>
      <c r="SH25" s="466"/>
      <c r="SI25" s="466"/>
      <c r="SJ25" s="466"/>
      <c r="SK25" s="466"/>
      <c r="SL25" s="466"/>
      <c r="SM25" s="466"/>
      <c r="SN25" s="466"/>
      <c r="SO25" s="466"/>
      <c r="SP25" s="466"/>
      <c r="SQ25" s="466"/>
      <c r="SR25" s="466"/>
      <c r="SS25" s="466"/>
      <c r="ST25" s="466"/>
      <c r="SU25" s="466"/>
      <c r="SV25" s="466"/>
      <c r="SW25" s="466"/>
      <c r="SX25" s="466"/>
      <c r="SY25" s="466"/>
      <c r="SZ25" s="466"/>
      <c r="TA25" s="466"/>
      <c r="TB25" s="466"/>
      <c r="TC25" s="466"/>
      <c r="TD25" s="466"/>
      <c r="TE25" s="466"/>
      <c r="TF25" s="466"/>
      <c r="TG25" s="466"/>
      <c r="TH25" s="466"/>
      <c r="TI25" s="466"/>
      <c r="TJ25" s="466"/>
      <c r="TK25" s="466"/>
      <c r="TL25" s="466"/>
      <c r="TM25" s="466"/>
      <c r="TN25" s="466"/>
      <c r="TO25" s="466"/>
      <c r="TP25" s="466"/>
      <c r="TQ25" s="466"/>
      <c r="TR25" s="466"/>
      <c r="TS25" s="466"/>
      <c r="TT25" s="466"/>
      <c r="TU25" s="466"/>
      <c r="TV25" s="466"/>
      <c r="TW25" s="466"/>
      <c r="TX25" s="466"/>
      <c r="TY25" s="466"/>
      <c r="TZ25" s="466"/>
      <c r="UA25" s="466"/>
      <c r="UB25" s="466"/>
      <c r="UC25" s="466"/>
      <c r="UD25" s="466"/>
      <c r="UE25" s="466"/>
      <c r="UF25" s="466"/>
      <c r="UG25" s="466"/>
      <c r="UH25" s="466"/>
      <c r="UI25" s="466"/>
      <c r="UJ25" s="466"/>
      <c r="UK25" s="466"/>
      <c r="UL25" s="466"/>
      <c r="UM25" s="466"/>
      <c r="UN25" s="466"/>
      <c r="UO25" s="466"/>
      <c r="UP25" s="466"/>
      <c r="UQ25" s="466"/>
      <c r="UR25" s="466"/>
      <c r="US25" s="466"/>
      <c r="UT25" s="466"/>
      <c r="UU25" s="466"/>
      <c r="UV25" s="466"/>
      <c r="UW25" s="466"/>
      <c r="UX25" s="466"/>
      <c r="UY25" s="466"/>
      <c r="UZ25" s="466"/>
      <c r="VA25" s="466"/>
      <c r="VB25" s="466"/>
      <c r="VC25" s="466"/>
      <c r="VD25" s="466"/>
      <c r="VE25" s="466"/>
      <c r="VF25" s="466"/>
      <c r="VG25" s="466"/>
      <c r="VH25" s="466"/>
      <c r="VI25" s="466"/>
      <c r="VJ25" s="466"/>
      <c r="VK25" s="466"/>
      <c r="VL25" s="466"/>
      <c r="VM25" s="466"/>
      <c r="VN25" s="466"/>
      <c r="VO25" s="466"/>
      <c r="VP25" s="466"/>
      <c r="VQ25" s="466"/>
      <c r="VR25" s="466"/>
      <c r="VS25" s="466"/>
      <c r="VT25" s="466"/>
      <c r="VU25" s="466"/>
      <c r="VV25" s="466"/>
      <c r="VW25" s="466"/>
      <c r="VX25" s="466"/>
      <c r="VY25" s="466"/>
      <c r="VZ25" s="466"/>
      <c r="WA25" s="466"/>
      <c r="WB25" s="466"/>
      <c r="WC25" s="466"/>
      <c r="WD25" s="466"/>
      <c r="WE25" s="466"/>
      <c r="WF25" s="466"/>
      <c r="WG25" s="466"/>
      <c r="WH25" s="466"/>
      <c r="WI25" s="466"/>
      <c r="WJ25" s="466"/>
      <c r="WK25" s="466"/>
      <c r="WL25" s="466"/>
      <c r="WM25" s="466"/>
      <c r="WN25" s="466"/>
      <c r="WO25" s="466"/>
      <c r="WP25" s="466"/>
      <c r="WQ25" s="466"/>
      <c r="WR25" s="466"/>
      <c r="WS25" s="466"/>
      <c r="WT25" s="466"/>
      <c r="WU25" s="466"/>
      <c r="WV25" s="466"/>
      <c r="WW25" s="466"/>
      <c r="WX25" s="466"/>
      <c r="WY25" s="466"/>
      <c r="WZ25" s="466"/>
      <c r="XA25" s="466"/>
      <c r="XB25" s="466"/>
      <c r="XC25" s="466"/>
      <c r="XD25" s="466"/>
      <c r="XE25" s="466"/>
      <c r="XF25" s="466"/>
      <c r="XG25" s="466"/>
      <c r="XH25" s="466"/>
      <c r="XI25" s="466"/>
      <c r="XJ25" s="466"/>
      <c r="XK25" s="466"/>
      <c r="XL25" s="466"/>
      <c r="XM25" s="466"/>
      <c r="XN25" s="466"/>
      <c r="XO25" s="466"/>
      <c r="XP25" s="466"/>
      <c r="XQ25" s="466"/>
      <c r="XR25" s="466"/>
      <c r="XS25" s="466"/>
      <c r="XT25" s="466"/>
      <c r="XU25" s="466"/>
      <c r="XV25" s="466"/>
      <c r="XW25" s="466"/>
      <c r="XX25" s="466"/>
      <c r="XY25" s="466"/>
      <c r="XZ25" s="466"/>
      <c r="YA25" s="466"/>
      <c r="YB25" s="466"/>
      <c r="YC25" s="466"/>
      <c r="YD25" s="466"/>
      <c r="YE25" s="466"/>
      <c r="YF25" s="466"/>
      <c r="YG25" s="466"/>
      <c r="YH25" s="466"/>
      <c r="YI25" s="466"/>
      <c r="YJ25" s="466"/>
      <c r="YK25" s="466"/>
      <c r="YL25" s="466"/>
      <c r="YM25" s="466"/>
      <c r="YN25" s="466"/>
      <c r="YO25" s="466"/>
      <c r="YP25" s="466"/>
      <c r="YQ25" s="466"/>
      <c r="YR25" s="466"/>
      <c r="YS25" s="466"/>
      <c r="YT25" s="466"/>
      <c r="YU25" s="466"/>
      <c r="YV25" s="466"/>
      <c r="YW25" s="466"/>
      <c r="YX25" s="466"/>
      <c r="YY25" s="466"/>
      <c r="YZ25" s="466"/>
      <c r="ZA25" s="466"/>
      <c r="ZB25" s="466"/>
      <c r="ZC25" s="466"/>
      <c r="ZD25" s="466"/>
      <c r="ZE25" s="466"/>
      <c r="ZF25" s="466"/>
      <c r="ZG25" s="466"/>
      <c r="ZH25" s="466"/>
      <c r="ZI25" s="466"/>
      <c r="ZJ25" s="466"/>
      <c r="ZK25" s="466"/>
      <c r="ZL25" s="466"/>
      <c r="ZM25" s="466"/>
      <c r="ZN25" s="466"/>
      <c r="ZO25" s="466"/>
      <c r="ZP25" s="466"/>
      <c r="ZQ25" s="466"/>
      <c r="ZR25" s="466"/>
      <c r="ZS25" s="466"/>
      <c r="ZT25" s="466"/>
      <c r="ZU25" s="466"/>
      <c r="ZV25" s="466"/>
      <c r="ZW25" s="466"/>
      <c r="ZX25" s="466"/>
      <c r="ZY25" s="466"/>
      <c r="ZZ25" s="466"/>
      <c r="AAA25" s="466"/>
      <c r="AAB25" s="466"/>
      <c r="AAC25" s="466"/>
      <c r="AAD25" s="466"/>
      <c r="AAE25" s="466"/>
      <c r="AAF25" s="466"/>
      <c r="AAG25" s="466"/>
      <c r="AAH25" s="466"/>
      <c r="AAI25" s="466"/>
      <c r="AAJ25" s="466"/>
      <c r="AAK25" s="466"/>
      <c r="AAL25" s="466"/>
      <c r="AAM25" s="466"/>
      <c r="AAN25" s="466"/>
      <c r="AAO25" s="466"/>
      <c r="AAP25" s="466"/>
      <c r="AAQ25" s="466"/>
      <c r="AAR25" s="466"/>
      <c r="AAS25" s="466"/>
      <c r="AAT25" s="466"/>
      <c r="AAU25" s="466"/>
      <c r="AAV25" s="466"/>
      <c r="AAW25" s="466"/>
      <c r="AAX25" s="466"/>
      <c r="AAY25" s="466"/>
      <c r="AAZ25" s="466"/>
      <c r="ABA25" s="466"/>
      <c r="ABB25" s="466"/>
      <c r="ABC25" s="466"/>
      <c r="ABD25" s="466"/>
      <c r="ABE25" s="466"/>
      <c r="ABF25" s="466"/>
      <c r="ABG25" s="466"/>
      <c r="ABH25" s="466"/>
      <c r="ABI25" s="466"/>
      <c r="ABJ25" s="466"/>
      <c r="ABK25" s="466"/>
      <c r="ABL25" s="466"/>
      <c r="ABM25" s="466"/>
      <c r="ABN25" s="466"/>
      <c r="ABO25" s="466"/>
      <c r="ABP25" s="466"/>
      <c r="ABQ25" s="466"/>
      <c r="ABR25" s="466"/>
      <c r="ABS25" s="466"/>
      <c r="ABT25" s="466"/>
      <c r="ABU25" s="466"/>
      <c r="ABV25" s="466"/>
      <c r="ABW25" s="466"/>
      <c r="ABX25" s="466"/>
      <c r="ABY25" s="466"/>
      <c r="ABZ25" s="466"/>
      <c r="ACA25" s="466"/>
      <c r="ACB25" s="466"/>
      <c r="ACC25" s="466"/>
      <c r="ACD25" s="466"/>
      <c r="ACE25" s="466"/>
      <c r="ACF25" s="466"/>
      <c r="ACG25" s="466"/>
      <c r="ACH25" s="466"/>
      <c r="ACI25" s="466"/>
      <c r="ACJ25" s="466"/>
      <c r="ACK25" s="466"/>
      <c r="ACL25" s="466"/>
      <c r="ACM25" s="466"/>
      <c r="ACN25" s="466"/>
      <c r="ACO25" s="466"/>
      <c r="ACP25" s="466"/>
      <c r="ACQ25" s="466"/>
      <c r="ACR25" s="466"/>
      <c r="ACS25" s="466"/>
      <c r="ACT25" s="466"/>
      <c r="ACU25" s="466"/>
      <c r="ACV25" s="466"/>
      <c r="ACW25" s="466"/>
      <c r="ACX25" s="466"/>
      <c r="ACY25" s="466"/>
      <c r="ACZ25" s="466"/>
      <c r="ADA25" s="466"/>
      <c r="ADB25" s="466"/>
      <c r="ADC25" s="466"/>
      <c r="ADD25" s="466"/>
      <c r="ADE25" s="466"/>
      <c r="ADF25" s="466"/>
      <c r="ADG25" s="466"/>
      <c r="ADH25" s="466"/>
      <c r="ADI25" s="466"/>
      <c r="ADJ25" s="466"/>
      <c r="ADK25" s="466"/>
      <c r="ADL25" s="466"/>
      <c r="ADM25" s="466"/>
      <c r="ADN25" s="466"/>
      <c r="ADO25" s="466"/>
      <c r="ADP25" s="466"/>
      <c r="ADQ25" s="466"/>
      <c r="ADR25" s="466"/>
      <c r="ADS25" s="466"/>
      <c r="ADT25" s="466"/>
      <c r="ADU25" s="466"/>
      <c r="ADV25" s="466"/>
      <c r="ADW25" s="466"/>
      <c r="ADX25" s="466"/>
      <c r="ADY25" s="466"/>
      <c r="ADZ25" s="466"/>
      <c r="AEA25" s="466"/>
      <c r="AEB25" s="466"/>
      <c r="AEC25" s="466"/>
      <c r="AED25" s="466"/>
      <c r="AEE25" s="466"/>
      <c r="AEF25" s="466"/>
      <c r="AEG25" s="466"/>
      <c r="AEH25" s="466"/>
      <c r="AEI25" s="466"/>
      <c r="AEJ25" s="466"/>
      <c r="AEK25" s="466"/>
      <c r="AEL25" s="466"/>
      <c r="AEM25" s="466"/>
      <c r="AEN25" s="466"/>
      <c r="AEO25" s="466"/>
      <c r="AEP25" s="466"/>
      <c r="AEQ25" s="466"/>
      <c r="AER25" s="466"/>
      <c r="AES25" s="466"/>
      <c r="AET25" s="466"/>
      <c r="AEU25" s="466"/>
      <c r="AEV25" s="466"/>
      <c r="AEW25" s="466"/>
      <c r="AEX25" s="466"/>
      <c r="AEY25" s="466"/>
      <c r="AEZ25" s="466"/>
      <c r="AFA25" s="466"/>
      <c r="AFB25" s="466"/>
      <c r="AFC25" s="466"/>
      <c r="AFD25" s="466"/>
      <c r="AFE25" s="466"/>
      <c r="AFF25" s="466"/>
      <c r="AFG25" s="466"/>
      <c r="AFH25" s="466"/>
      <c r="AFI25" s="466"/>
      <c r="AFJ25" s="466"/>
      <c r="AFK25" s="466"/>
      <c r="AFL25" s="466"/>
      <c r="AFM25" s="466"/>
      <c r="AFN25" s="466"/>
      <c r="AFO25" s="466"/>
      <c r="AFP25" s="466"/>
      <c r="AFQ25" s="466"/>
      <c r="AFR25" s="466"/>
      <c r="AFS25" s="466"/>
      <c r="AFT25" s="466"/>
      <c r="AFU25" s="466"/>
      <c r="AFV25" s="466"/>
      <c r="AFW25" s="466"/>
      <c r="AFX25" s="466"/>
      <c r="AFY25" s="466"/>
      <c r="AFZ25" s="466"/>
      <c r="AGA25" s="466"/>
      <c r="AGB25" s="466"/>
      <c r="AGC25" s="466"/>
      <c r="AGD25" s="466"/>
      <c r="AGE25" s="466"/>
      <c r="AGF25" s="466"/>
      <c r="AGG25" s="466"/>
      <c r="AGH25" s="466"/>
      <c r="AGI25" s="466"/>
      <c r="AGJ25" s="466"/>
      <c r="AGK25" s="466"/>
      <c r="AGL25" s="466"/>
      <c r="AGM25" s="466"/>
      <c r="AGN25" s="466"/>
      <c r="AGO25" s="466"/>
      <c r="AGP25" s="466"/>
      <c r="AGQ25" s="466"/>
      <c r="AGR25" s="466"/>
      <c r="AGS25" s="466"/>
      <c r="AGT25" s="466"/>
      <c r="AGU25" s="466"/>
      <c r="AGV25" s="466"/>
      <c r="AGW25" s="466"/>
      <c r="AGX25" s="466"/>
      <c r="AGY25" s="466"/>
      <c r="AGZ25" s="466"/>
      <c r="AHA25" s="466"/>
      <c r="AHB25" s="466"/>
      <c r="AHC25" s="466"/>
      <c r="AHD25" s="466"/>
      <c r="AHE25" s="466"/>
      <c r="AHF25" s="466"/>
      <c r="AHG25" s="466"/>
      <c r="AHH25" s="466"/>
      <c r="AHI25" s="466"/>
      <c r="AHJ25" s="466"/>
      <c r="AHK25" s="466"/>
      <c r="AHL25" s="466"/>
      <c r="AHM25" s="466"/>
      <c r="AHN25" s="466"/>
      <c r="AHO25" s="466"/>
      <c r="AHP25" s="466"/>
      <c r="AHQ25" s="466"/>
      <c r="AHR25" s="466"/>
      <c r="AHS25" s="466"/>
      <c r="AHT25" s="466"/>
      <c r="AHU25" s="466"/>
      <c r="AHV25" s="466"/>
      <c r="AHW25" s="466"/>
      <c r="AHX25" s="466"/>
      <c r="AHY25" s="466"/>
      <c r="AHZ25" s="466"/>
      <c r="AIA25" s="466"/>
      <c r="AIB25" s="466"/>
      <c r="AIC25" s="466"/>
      <c r="AID25" s="466"/>
      <c r="AIE25" s="466"/>
      <c r="AIF25" s="466"/>
      <c r="AIG25" s="466"/>
      <c r="AIH25" s="466"/>
      <c r="AII25" s="466"/>
      <c r="AIJ25" s="466"/>
      <c r="AIK25" s="466"/>
      <c r="AIL25" s="466"/>
      <c r="AIM25" s="466"/>
      <c r="AIN25" s="466"/>
      <c r="AIO25" s="466"/>
      <c r="AIP25" s="466"/>
      <c r="AIQ25" s="466"/>
      <c r="AIR25" s="466"/>
      <c r="AIS25" s="466"/>
      <c r="AIT25" s="466"/>
      <c r="AIU25" s="466"/>
      <c r="AIV25" s="466"/>
      <c r="AIW25" s="466"/>
      <c r="AIX25" s="466"/>
      <c r="AIY25" s="466"/>
      <c r="AIZ25" s="466"/>
      <c r="AJA25" s="466"/>
      <c r="AJB25" s="466"/>
      <c r="AJC25" s="466"/>
      <c r="AJD25" s="466"/>
      <c r="AJE25" s="466"/>
      <c r="AJF25" s="466"/>
      <c r="AJG25" s="466"/>
      <c r="AJH25" s="466"/>
      <c r="AJI25" s="466"/>
      <c r="AJJ25" s="466"/>
      <c r="AJK25" s="466"/>
      <c r="AJL25" s="466"/>
      <c r="AJM25" s="466"/>
      <c r="AJN25" s="466"/>
      <c r="AJO25" s="466"/>
      <c r="AJP25" s="466"/>
      <c r="AJQ25" s="466"/>
      <c r="AJR25" s="466"/>
      <c r="AJS25" s="466"/>
      <c r="AJT25" s="466"/>
      <c r="AJU25" s="466"/>
      <c r="AJV25" s="466"/>
      <c r="AJW25" s="466"/>
      <c r="AJX25" s="466"/>
      <c r="AJY25" s="466"/>
      <c r="AJZ25" s="466"/>
      <c r="AKA25" s="466"/>
      <c r="AKB25" s="466"/>
      <c r="AKC25" s="466"/>
      <c r="AKD25" s="466"/>
      <c r="AKE25" s="466"/>
      <c r="AKF25" s="466"/>
      <c r="AKG25" s="466"/>
      <c r="AKH25" s="466"/>
      <c r="AKI25" s="466"/>
      <c r="AKJ25" s="466"/>
      <c r="AKK25" s="466"/>
      <c r="AKL25" s="466"/>
      <c r="AKM25" s="466"/>
      <c r="AKN25" s="466"/>
      <c r="AKO25" s="466"/>
      <c r="AKP25" s="466"/>
      <c r="AKQ25" s="466"/>
      <c r="AKR25" s="466"/>
      <c r="AKS25" s="466"/>
      <c r="AKT25" s="466"/>
      <c r="AKU25" s="466"/>
      <c r="AKV25" s="466"/>
      <c r="AKW25" s="466"/>
      <c r="AKX25" s="466"/>
      <c r="AKY25" s="466"/>
      <c r="AKZ25" s="466"/>
      <c r="ALA25" s="466"/>
      <c r="ALB25" s="466"/>
      <c r="ALC25" s="466"/>
      <c r="ALD25" s="466"/>
      <c r="ALE25" s="466"/>
      <c r="ALF25" s="466"/>
      <c r="ALG25" s="466"/>
      <c r="ALH25" s="466"/>
      <c r="ALI25" s="466"/>
      <c r="ALJ25" s="466"/>
      <c r="ALK25" s="466"/>
      <c r="ALL25" s="466"/>
      <c r="ALM25" s="466"/>
      <c r="ALN25" s="466"/>
      <c r="ALO25" s="466"/>
      <c r="ALP25" s="466"/>
      <c r="ALQ25" s="466"/>
      <c r="ALR25" s="466"/>
      <c r="ALS25" s="466"/>
      <c r="ALT25" s="466"/>
      <c r="ALU25" s="466"/>
      <c r="ALV25" s="466"/>
      <c r="ALW25" s="466"/>
      <c r="ALX25" s="466"/>
      <c r="ALY25" s="466"/>
      <c r="ALZ25" s="466"/>
      <c r="AMA25" s="466"/>
      <c r="AMB25" s="466"/>
      <c r="AMC25" s="466"/>
      <c r="AMD25" s="466"/>
      <c r="AME25" s="466"/>
      <c r="AMF25" s="466"/>
      <c r="AMG25" s="466"/>
      <c r="AMH25" s="466"/>
      <c r="AMI25" s="466"/>
      <c r="AMJ25" s="466"/>
    </row>
    <row r="26" spans="1:1024" ht="26.25" customHeight="1" x14ac:dyDescent="0.3">
      <c r="A26" s="672" t="str">
        <f>CONCATENATE("1. Nas FÉRIAS SEM SUBSTITUIÇÃO DA SERVENTE INSALUBRE, quando o trabalho de limpeza de banheiros públicos ou de grande circulação for efetuado por outra servente do quadro, deverá ser acrescentado o valor de R$",T17," por dia em que este fato ocorrer.")</f>
        <v>1. Nas FÉRIAS SEM SUBSTITUIÇÃO DA SERVENTE INSALUBRE, quando o trabalho de limpeza de banheiros públicos ou de grande circulação for efetuado por outra servente do quadro, deverá ser acrescentado o valor de R$45,14 por dia em que este fato ocorrer.</v>
      </c>
      <c r="B26" s="672"/>
      <c r="C26" s="672"/>
      <c r="D26" s="672"/>
      <c r="E26" s="672"/>
      <c r="F26" s="672"/>
      <c r="G26" s="672"/>
      <c r="H26" s="672"/>
      <c r="I26" s="672"/>
      <c r="J26" s="672"/>
      <c r="K26" s="672"/>
      <c r="L26" s="672"/>
      <c r="M26" s="672"/>
      <c r="N26" s="672"/>
      <c r="O26" s="672"/>
      <c r="P26" s="672"/>
      <c r="Q26" s="672"/>
      <c r="R26" s="672"/>
      <c r="S26" s="672"/>
      <c r="T26" s="672"/>
      <c r="U26" s="672"/>
      <c r="V26" s="672"/>
      <c r="W26" s="67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62"/>
      <c r="ON26" s="62"/>
      <c r="OO26" s="62"/>
      <c r="OP26" s="62"/>
      <c r="OQ26" s="62"/>
      <c r="OR26" s="62"/>
      <c r="OS26" s="62"/>
      <c r="OT26" s="62"/>
      <c r="OU26" s="62"/>
      <c r="OV26" s="62"/>
      <c r="OW26" s="62"/>
      <c r="OX26" s="62"/>
      <c r="OY26" s="62"/>
      <c r="OZ26" s="62"/>
      <c r="PA26" s="62"/>
      <c r="PB26" s="62"/>
      <c r="PC26" s="62"/>
      <c r="PD26" s="62"/>
      <c r="PE26" s="62"/>
      <c r="PF26" s="62"/>
      <c r="PG26" s="62"/>
      <c r="PH26" s="62"/>
      <c r="PI26" s="62"/>
      <c r="PJ26" s="62"/>
      <c r="PK26" s="62"/>
      <c r="PL26" s="62"/>
      <c r="PM26" s="62"/>
      <c r="PN26" s="62"/>
      <c r="PO26" s="62"/>
      <c r="PP26" s="62"/>
      <c r="PQ26" s="62"/>
      <c r="PR26" s="62"/>
      <c r="PS26" s="62"/>
      <c r="PT26" s="62"/>
      <c r="PU26" s="62"/>
      <c r="PV26" s="62"/>
      <c r="PW26" s="62"/>
      <c r="PX26" s="62"/>
      <c r="PY26" s="62"/>
      <c r="PZ26" s="62"/>
      <c r="QA26" s="62"/>
      <c r="QB26" s="62"/>
      <c r="QC26" s="62"/>
      <c r="QD26" s="62"/>
      <c r="QE26" s="62"/>
      <c r="QF26" s="62"/>
      <c r="QG26" s="62"/>
      <c r="QH26" s="62"/>
      <c r="QI26" s="62"/>
      <c r="QJ26" s="62"/>
      <c r="QK26" s="62"/>
      <c r="QL26" s="62"/>
      <c r="QM26" s="62"/>
      <c r="QN26" s="62"/>
      <c r="QO26" s="62"/>
      <c r="QP26" s="62"/>
      <c r="QQ26" s="62"/>
      <c r="QR26" s="62"/>
      <c r="QS26" s="62"/>
      <c r="QT26" s="62"/>
      <c r="QU26" s="62"/>
      <c r="QV26" s="62"/>
      <c r="QW26" s="62"/>
      <c r="QX26" s="62"/>
      <c r="QY26" s="62"/>
      <c r="QZ26" s="62"/>
      <c r="RA26" s="62"/>
      <c r="RB26" s="62"/>
      <c r="RC26" s="62"/>
      <c r="RD26" s="62"/>
      <c r="RE26" s="62"/>
      <c r="RF26" s="62"/>
      <c r="RG26" s="62"/>
      <c r="RH26" s="62"/>
      <c r="RI26" s="62"/>
      <c r="RJ26" s="62"/>
      <c r="RK26" s="62"/>
      <c r="RL26" s="62"/>
      <c r="RM26" s="62"/>
      <c r="RN26" s="62"/>
      <c r="RO26" s="62"/>
      <c r="RP26" s="62"/>
      <c r="RQ26" s="62"/>
      <c r="RR26" s="62"/>
      <c r="RS26" s="62"/>
      <c r="RT26" s="62"/>
      <c r="RU26" s="62"/>
      <c r="RV26" s="62"/>
      <c r="RW26" s="62"/>
      <c r="RX26" s="62"/>
      <c r="RY26" s="62"/>
      <c r="RZ26" s="62"/>
      <c r="SA26" s="62"/>
      <c r="SB26" s="62"/>
      <c r="SC26" s="62"/>
      <c r="SD26" s="62"/>
      <c r="SE26" s="62"/>
      <c r="SF26" s="62"/>
      <c r="SG26" s="62"/>
      <c r="SH26" s="62"/>
      <c r="SI26" s="62"/>
      <c r="SJ26" s="62"/>
      <c r="SK26" s="62"/>
      <c r="SL26" s="62"/>
      <c r="SM26" s="62"/>
      <c r="SN26" s="62"/>
      <c r="SO26" s="62"/>
      <c r="SP26" s="62"/>
      <c r="SQ26" s="62"/>
      <c r="SR26" s="62"/>
      <c r="SS26" s="62"/>
      <c r="ST26" s="62"/>
      <c r="SU26" s="62"/>
      <c r="SV26" s="62"/>
      <c r="SW26" s="62"/>
      <c r="SX26" s="62"/>
      <c r="SY26" s="62"/>
      <c r="SZ26" s="62"/>
      <c r="TA26" s="62"/>
      <c r="TB26" s="62"/>
      <c r="TC26" s="62"/>
      <c r="TD26" s="62"/>
      <c r="TE26" s="62"/>
      <c r="TF26" s="62"/>
      <c r="TG26" s="62"/>
      <c r="TH26" s="62"/>
      <c r="TI26" s="62"/>
      <c r="TJ26" s="62"/>
      <c r="TK26" s="62"/>
      <c r="TL26" s="62"/>
      <c r="TM26" s="62"/>
      <c r="TN26" s="62"/>
      <c r="TO26" s="62"/>
      <c r="TP26" s="62"/>
      <c r="TQ26" s="62"/>
      <c r="TR26" s="62"/>
      <c r="TS26" s="62"/>
      <c r="TT26" s="62"/>
      <c r="TU26" s="62"/>
      <c r="TV26" s="62"/>
      <c r="TW26" s="62"/>
      <c r="TX26" s="62"/>
      <c r="TY26" s="62"/>
      <c r="TZ26" s="62"/>
      <c r="UA26" s="62"/>
      <c r="UB26" s="62"/>
      <c r="UC26" s="62"/>
      <c r="UD26" s="62"/>
      <c r="UE26" s="62"/>
      <c r="UF26" s="62"/>
      <c r="UG26" s="62"/>
      <c r="UH26" s="62"/>
      <c r="UI26" s="62"/>
      <c r="UJ26" s="62"/>
      <c r="UK26" s="62"/>
      <c r="UL26" s="62"/>
      <c r="UM26" s="62"/>
      <c r="UN26" s="62"/>
      <c r="UO26" s="62"/>
      <c r="UP26" s="62"/>
      <c r="UQ26" s="62"/>
      <c r="UR26" s="62"/>
      <c r="US26" s="62"/>
      <c r="UT26" s="62"/>
      <c r="UU26" s="62"/>
      <c r="UV26" s="62"/>
      <c r="UW26" s="62"/>
      <c r="UX26" s="62"/>
      <c r="UY26" s="62"/>
      <c r="UZ26" s="62"/>
      <c r="VA26" s="62"/>
      <c r="VB26" s="62"/>
      <c r="VC26" s="62"/>
      <c r="VD26" s="62"/>
      <c r="VE26" s="62"/>
      <c r="VF26" s="62"/>
      <c r="VG26" s="62"/>
      <c r="VH26" s="62"/>
      <c r="VI26" s="62"/>
      <c r="VJ26" s="62"/>
      <c r="VK26" s="62"/>
      <c r="VL26" s="62"/>
      <c r="VM26" s="62"/>
      <c r="VN26" s="62"/>
      <c r="VO26" s="62"/>
      <c r="VP26" s="62"/>
      <c r="VQ26" s="62"/>
      <c r="VR26" s="62"/>
      <c r="VS26" s="62"/>
      <c r="VT26" s="62"/>
      <c r="VU26" s="62"/>
      <c r="VV26" s="62"/>
      <c r="VW26" s="62"/>
      <c r="VX26" s="62"/>
      <c r="VY26" s="62"/>
      <c r="VZ26" s="62"/>
      <c r="WA26" s="62"/>
      <c r="WB26" s="62"/>
      <c r="WC26" s="62"/>
      <c r="WD26" s="62"/>
      <c r="WE26" s="62"/>
      <c r="WF26" s="62"/>
      <c r="WG26" s="62"/>
      <c r="WH26" s="62"/>
      <c r="WI26" s="62"/>
      <c r="WJ26" s="62"/>
      <c r="WK26" s="62"/>
      <c r="WL26" s="62"/>
      <c r="WM26" s="62"/>
      <c r="WN26" s="62"/>
      <c r="WO26" s="62"/>
      <c r="WP26" s="62"/>
      <c r="WQ26" s="62"/>
      <c r="WR26" s="62"/>
      <c r="WS26" s="62"/>
      <c r="WT26" s="62"/>
      <c r="WU26" s="62"/>
      <c r="WV26" s="62"/>
      <c r="WW26" s="62"/>
      <c r="WX26" s="62"/>
      <c r="WY26" s="62"/>
      <c r="WZ26" s="62"/>
      <c r="XA26" s="62"/>
      <c r="XB26" s="62"/>
      <c r="XC26" s="62"/>
      <c r="XD26" s="62"/>
      <c r="XE26" s="62"/>
      <c r="XF26" s="62"/>
      <c r="XG26" s="62"/>
      <c r="XH26" s="62"/>
      <c r="XI26" s="62"/>
      <c r="XJ26" s="62"/>
      <c r="XK26" s="62"/>
      <c r="XL26" s="62"/>
      <c r="XM26" s="62"/>
      <c r="XN26" s="62"/>
      <c r="XO26" s="62"/>
      <c r="XP26" s="62"/>
      <c r="XQ26" s="62"/>
      <c r="XR26" s="62"/>
      <c r="XS26" s="62"/>
      <c r="XT26" s="62"/>
      <c r="XU26" s="62"/>
      <c r="XV26" s="62"/>
      <c r="XW26" s="62"/>
      <c r="XX26" s="62"/>
      <c r="XY26" s="62"/>
      <c r="XZ26" s="62"/>
      <c r="YA26" s="62"/>
      <c r="YB26" s="62"/>
      <c r="YC26" s="62"/>
      <c r="YD26" s="62"/>
      <c r="YE26" s="62"/>
      <c r="YF26" s="62"/>
      <c r="YG26" s="62"/>
      <c r="YH26" s="62"/>
      <c r="YI26" s="62"/>
      <c r="YJ26" s="62"/>
      <c r="YK26" s="62"/>
      <c r="YL26" s="62"/>
      <c r="YM26" s="62"/>
      <c r="YN26" s="62"/>
      <c r="YO26" s="62"/>
      <c r="YP26" s="62"/>
      <c r="YQ26" s="62"/>
      <c r="YR26" s="62"/>
      <c r="YS26" s="62"/>
      <c r="YT26" s="62"/>
      <c r="YU26" s="62"/>
      <c r="YV26" s="62"/>
      <c r="YW26" s="62"/>
      <c r="YX26" s="62"/>
      <c r="YY26" s="62"/>
      <c r="YZ26" s="62"/>
      <c r="ZA26" s="62"/>
      <c r="ZB26" s="62"/>
      <c r="ZC26" s="62"/>
      <c r="ZD26" s="62"/>
      <c r="ZE26" s="62"/>
      <c r="ZF26" s="62"/>
      <c r="ZG26" s="62"/>
      <c r="ZH26" s="62"/>
      <c r="ZI26" s="62"/>
      <c r="ZJ26" s="62"/>
      <c r="ZK26" s="62"/>
      <c r="ZL26" s="62"/>
      <c r="ZM26" s="62"/>
      <c r="ZN26" s="62"/>
      <c r="ZO26" s="62"/>
      <c r="ZP26" s="62"/>
      <c r="ZQ26" s="62"/>
      <c r="ZR26" s="62"/>
      <c r="ZS26" s="62"/>
      <c r="ZT26" s="62"/>
      <c r="ZU26" s="62"/>
      <c r="ZV26" s="62"/>
      <c r="ZW26" s="62"/>
      <c r="ZX26" s="62"/>
      <c r="ZY26" s="62"/>
      <c r="ZZ26" s="62"/>
      <c r="AAA26" s="62"/>
      <c r="AAB26" s="62"/>
      <c r="AAC26" s="62"/>
      <c r="AAD26" s="62"/>
      <c r="AAE26" s="62"/>
      <c r="AAF26" s="62"/>
      <c r="AAG26" s="62"/>
      <c r="AAH26" s="62"/>
      <c r="AAI26" s="62"/>
      <c r="AAJ26" s="62"/>
      <c r="AAK26" s="62"/>
      <c r="AAL26" s="62"/>
      <c r="AAM26" s="62"/>
      <c r="AAN26" s="62"/>
      <c r="AAO26" s="62"/>
      <c r="AAP26" s="62"/>
      <c r="AAQ26" s="62"/>
      <c r="AAR26" s="62"/>
      <c r="AAS26" s="62"/>
      <c r="AAT26" s="62"/>
      <c r="AAU26" s="62"/>
      <c r="AAV26" s="62"/>
      <c r="AAW26" s="62"/>
      <c r="AAX26" s="62"/>
      <c r="AAY26" s="62"/>
      <c r="AAZ26" s="62"/>
      <c r="ABA26" s="62"/>
      <c r="ABB26" s="62"/>
      <c r="ABC26" s="62"/>
      <c r="ABD26" s="62"/>
      <c r="ABE26" s="62"/>
      <c r="ABF26" s="62"/>
      <c r="ABG26" s="62"/>
      <c r="ABH26" s="62"/>
      <c r="ABI26" s="62"/>
      <c r="ABJ26" s="62"/>
      <c r="ABK26" s="62"/>
      <c r="ABL26" s="62"/>
      <c r="ABM26" s="62"/>
      <c r="ABN26" s="62"/>
      <c r="ABO26" s="62"/>
      <c r="ABP26" s="62"/>
      <c r="ABQ26" s="62"/>
      <c r="ABR26" s="62"/>
      <c r="ABS26" s="62"/>
      <c r="ABT26" s="62"/>
      <c r="ABU26" s="62"/>
      <c r="ABV26" s="62"/>
      <c r="ABW26" s="62"/>
      <c r="ABX26" s="62"/>
      <c r="ABY26" s="62"/>
      <c r="ABZ26" s="62"/>
      <c r="ACA26" s="62"/>
      <c r="ACB26" s="62"/>
      <c r="ACC26" s="62"/>
      <c r="ACD26" s="62"/>
      <c r="ACE26" s="62"/>
      <c r="ACF26" s="62"/>
      <c r="ACG26" s="62"/>
      <c r="ACH26" s="62"/>
      <c r="ACI26" s="62"/>
      <c r="ACJ26" s="62"/>
      <c r="ACK26" s="62"/>
      <c r="ACL26" s="62"/>
      <c r="ACM26" s="62"/>
      <c r="ACN26" s="62"/>
      <c r="ACO26" s="62"/>
      <c r="ACP26" s="62"/>
      <c r="ACQ26" s="62"/>
      <c r="ACR26" s="62"/>
      <c r="ACS26" s="62"/>
      <c r="ACT26" s="62"/>
      <c r="ACU26" s="62"/>
      <c r="ACV26" s="62"/>
      <c r="ACW26" s="62"/>
      <c r="ACX26" s="62"/>
      <c r="ACY26" s="62"/>
      <c r="ACZ26" s="62"/>
      <c r="ADA26" s="62"/>
      <c r="ADB26" s="62"/>
      <c r="ADC26" s="62"/>
      <c r="ADD26" s="62"/>
      <c r="ADE26" s="62"/>
      <c r="ADF26" s="62"/>
      <c r="ADG26" s="62"/>
      <c r="ADH26" s="62"/>
      <c r="ADI26" s="62"/>
      <c r="ADJ26" s="62"/>
      <c r="ADK26" s="62"/>
      <c r="ADL26" s="62"/>
      <c r="ADM26" s="62"/>
      <c r="ADN26" s="62"/>
      <c r="ADO26" s="62"/>
      <c r="ADP26" s="62"/>
      <c r="ADQ26" s="62"/>
      <c r="ADR26" s="62"/>
      <c r="ADS26" s="62"/>
      <c r="ADT26" s="62"/>
      <c r="ADU26" s="62"/>
      <c r="ADV26" s="62"/>
      <c r="ADW26" s="62"/>
      <c r="ADX26" s="62"/>
      <c r="ADY26" s="62"/>
      <c r="ADZ26" s="62"/>
      <c r="AEA26" s="62"/>
      <c r="AEB26" s="62"/>
      <c r="AEC26" s="62"/>
      <c r="AED26" s="62"/>
      <c r="AEE26" s="62"/>
      <c r="AEF26" s="62"/>
      <c r="AEG26" s="62"/>
      <c r="AEH26" s="62"/>
      <c r="AEI26" s="62"/>
      <c r="AEJ26" s="62"/>
      <c r="AEK26" s="62"/>
      <c r="AEL26" s="62"/>
      <c r="AEM26" s="62"/>
      <c r="AEN26" s="62"/>
      <c r="AEO26" s="62"/>
      <c r="AEP26" s="62"/>
      <c r="AEQ26" s="62"/>
      <c r="AER26" s="62"/>
      <c r="AES26" s="62"/>
      <c r="AET26" s="62"/>
      <c r="AEU26" s="62"/>
      <c r="AEV26" s="62"/>
      <c r="AEW26" s="62"/>
      <c r="AEX26" s="62"/>
      <c r="AEY26" s="62"/>
      <c r="AEZ26" s="62"/>
      <c r="AFA26" s="62"/>
      <c r="AFB26" s="62"/>
      <c r="AFC26" s="62"/>
      <c r="AFD26" s="62"/>
      <c r="AFE26" s="62"/>
      <c r="AFF26" s="62"/>
      <c r="AFG26" s="62"/>
      <c r="AFH26" s="62"/>
      <c r="AFI26" s="62"/>
      <c r="AFJ26" s="62"/>
      <c r="AFK26" s="62"/>
      <c r="AFL26" s="62"/>
      <c r="AFM26" s="62"/>
      <c r="AFN26" s="62"/>
      <c r="AFO26" s="62"/>
      <c r="AFP26" s="62"/>
      <c r="AFQ26" s="62"/>
      <c r="AFR26" s="62"/>
      <c r="AFS26" s="62"/>
      <c r="AFT26" s="62"/>
      <c r="AFU26" s="62"/>
      <c r="AFV26" s="62"/>
      <c r="AFW26" s="62"/>
      <c r="AFX26" s="62"/>
      <c r="AFY26" s="62"/>
      <c r="AFZ26" s="62"/>
      <c r="AGA26" s="62"/>
      <c r="AGB26" s="62"/>
      <c r="AGC26" s="62"/>
      <c r="AGD26" s="62"/>
      <c r="AGE26" s="62"/>
      <c r="AGF26" s="62"/>
      <c r="AGG26" s="62"/>
      <c r="AGH26" s="62"/>
      <c r="AGI26" s="62"/>
      <c r="AGJ26" s="62"/>
      <c r="AGK26" s="62"/>
      <c r="AGL26" s="62"/>
      <c r="AGM26" s="62"/>
      <c r="AGN26" s="62"/>
      <c r="AGO26" s="62"/>
      <c r="AGP26" s="62"/>
      <c r="AGQ26" s="62"/>
      <c r="AGR26" s="62"/>
      <c r="AGS26" s="62"/>
      <c r="AGT26" s="62"/>
      <c r="AGU26" s="62"/>
      <c r="AGV26" s="62"/>
      <c r="AGW26" s="62"/>
      <c r="AGX26" s="62"/>
      <c r="AGY26" s="62"/>
      <c r="AGZ26" s="62"/>
      <c r="AHA26" s="62"/>
      <c r="AHB26" s="62"/>
      <c r="AHC26" s="62"/>
      <c r="AHD26" s="62"/>
      <c r="AHE26" s="62"/>
      <c r="AHF26" s="62"/>
      <c r="AHG26" s="62"/>
      <c r="AHH26" s="62"/>
      <c r="AHI26" s="62"/>
      <c r="AHJ26" s="62"/>
      <c r="AHK26" s="62"/>
      <c r="AHL26" s="62"/>
      <c r="AHM26" s="62"/>
      <c r="AHN26" s="62"/>
      <c r="AHO26" s="62"/>
      <c r="AHP26" s="62"/>
      <c r="AHQ26" s="62"/>
      <c r="AHR26" s="62"/>
      <c r="AHS26" s="62"/>
      <c r="AHT26" s="62"/>
      <c r="AHU26" s="62"/>
      <c r="AHV26" s="62"/>
      <c r="AHW26" s="62"/>
      <c r="AHX26" s="62"/>
      <c r="AHY26" s="62"/>
      <c r="AHZ26" s="62"/>
      <c r="AIA26" s="62"/>
      <c r="AIB26" s="62"/>
      <c r="AIC26" s="62"/>
      <c r="AID26" s="62"/>
      <c r="AIE26" s="62"/>
      <c r="AIF26" s="62"/>
      <c r="AIG26" s="62"/>
      <c r="AIH26" s="62"/>
      <c r="AII26" s="62"/>
      <c r="AIJ26" s="62"/>
      <c r="AIK26" s="62"/>
      <c r="AIL26" s="62"/>
      <c r="AIM26" s="62"/>
      <c r="AIN26" s="62"/>
      <c r="AIO26" s="62"/>
      <c r="AIP26" s="62"/>
      <c r="AIQ26" s="62"/>
      <c r="AIR26" s="62"/>
      <c r="AIS26" s="62"/>
      <c r="AIT26" s="62"/>
      <c r="AIU26" s="62"/>
      <c r="AIV26" s="62"/>
      <c r="AIW26" s="62"/>
      <c r="AIX26" s="62"/>
      <c r="AIY26" s="62"/>
      <c r="AIZ26" s="62"/>
      <c r="AJA26" s="62"/>
      <c r="AJB26" s="62"/>
      <c r="AJC26" s="62"/>
      <c r="AJD26" s="62"/>
      <c r="AJE26" s="62"/>
      <c r="AJF26" s="62"/>
      <c r="AJG26" s="62"/>
      <c r="AJH26" s="62"/>
      <c r="AJI26" s="62"/>
      <c r="AJJ26" s="62"/>
      <c r="AJK26" s="62"/>
      <c r="AJL26" s="62"/>
      <c r="AJM26" s="62"/>
      <c r="AJN26" s="62"/>
      <c r="AJO26" s="62"/>
      <c r="AJP26" s="62"/>
      <c r="AJQ26" s="62"/>
      <c r="AJR26" s="62"/>
      <c r="AJS26" s="62"/>
      <c r="AJT26" s="62"/>
      <c r="AJU26" s="62"/>
      <c r="AJV26" s="62"/>
      <c r="AJW26" s="62"/>
      <c r="AJX26" s="62"/>
      <c r="AJY26" s="62"/>
      <c r="AJZ26" s="62"/>
      <c r="AKA26" s="62"/>
      <c r="AKB26" s="62"/>
      <c r="AKC26" s="62"/>
      <c r="AKD26" s="62"/>
      <c r="AKE26" s="62"/>
      <c r="AKF26" s="62"/>
      <c r="AKG26" s="62"/>
      <c r="AKH26" s="62"/>
      <c r="AKI26" s="62"/>
      <c r="AKJ26" s="62"/>
      <c r="AKK26" s="62"/>
      <c r="AKL26" s="62"/>
      <c r="AKM26" s="62"/>
      <c r="AKN26" s="62"/>
      <c r="AKO26" s="62"/>
      <c r="AKP26" s="62"/>
      <c r="AKQ26" s="62"/>
      <c r="AKR26" s="62"/>
      <c r="AKS26" s="62"/>
      <c r="AKT26" s="62"/>
      <c r="AKU26" s="62"/>
      <c r="AKV26" s="62"/>
      <c r="AKW26" s="62"/>
      <c r="AKX26" s="62"/>
      <c r="AKY26" s="62"/>
      <c r="AKZ26" s="62"/>
      <c r="ALA26" s="62"/>
      <c r="ALB26" s="62"/>
      <c r="ALC26" s="62"/>
      <c r="ALD26" s="62"/>
      <c r="ALE26" s="62"/>
      <c r="ALF26" s="62"/>
      <c r="ALG26" s="62"/>
      <c r="ALH26" s="62"/>
      <c r="ALI26" s="62"/>
      <c r="ALJ26" s="62"/>
      <c r="ALK26" s="62"/>
      <c r="ALL26" s="62"/>
      <c r="ALM26" s="62"/>
      <c r="ALN26" s="62"/>
      <c r="ALO26" s="62"/>
      <c r="ALP26" s="62"/>
      <c r="ALQ26" s="62"/>
      <c r="ALR26" s="62"/>
      <c r="ALS26" s="62"/>
      <c r="ALT26" s="62"/>
      <c r="ALU26" s="62"/>
      <c r="ALV26" s="62"/>
      <c r="ALW26" s="62"/>
      <c r="ALX26" s="62"/>
      <c r="ALY26" s="62"/>
      <c r="ALZ26" s="62"/>
      <c r="AMA26" s="62"/>
      <c r="AMB26" s="62"/>
      <c r="AMC26" s="62"/>
      <c r="AMD26" s="62"/>
      <c r="AME26" s="62"/>
      <c r="AMF26" s="62"/>
      <c r="AMG26" s="62"/>
      <c r="AMH26" s="62"/>
      <c r="AMI26" s="62"/>
      <c r="AMJ26" s="62"/>
    </row>
    <row r="27" spans="1:1024" ht="18.75" customHeight="1" x14ac:dyDescent="0.3">
      <c r="A27" s="673"/>
      <c r="B27" s="673"/>
      <c r="C27" s="673"/>
      <c r="D27" s="673"/>
      <c r="E27" s="673"/>
      <c r="F27" s="673"/>
      <c r="G27" s="673"/>
      <c r="H27" s="673"/>
      <c r="I27" s="673"/>
      <c r="J27" s="673"/>
      <c r="K27" s="673"/>
      <c r="L27" s="673"/>
      <c r="M27" s="673"/>
      <c r="N27" s="673"/>
      <c r="O27" s="673"/>
      <c r="P27" s="673"/>
      <c r="Q27" s="673"/>
      <c r="R27" s="673"/>
      <c r="S27" s="673"/>
      <c r="T27" s="673"/>
      <c r="U27" s="673"/>
      <c r="V27" s="673"/>
      <c r="W27" s="673"/>
      <c r="X27" s="469"/>
      <c r="Y27" s="469"/>
      <c r="Z27" s="469"/>
      <c r="AA27" s="469"/>
      <c r="AB27" s="469"/>
      <c r="AC27" s="469"/>
      <c r="AD27" s="469"/>
      <c r="AE27" s="469"/>
      <c r="AF27" s="469"/>
      <c r="AG27" s="469"/>
      <c r="AH27" s="469"/>
      <c r="AI27" s="469"/>
      <c r="AJ27" s="469"/>
      <c r="AK27" s="469"/>
      <c r="AL27" s="469"/>
      <c r="AM27" s="469"/>
      <c r="AN27" s="469"/>
      <c r="AO27" s="469"/>
      <c r="AP27" s="469"/>
      <c r="AQ27" s="469"/>
      <c r="AR27" s="469"/>
      <c r="AS27" s="469"/>
      <c r="AT27" s="469"/>
      <c r="AU27" s="469"/>
      <c r="AV27" s="469"/>
      <c r="AW27" s="469"/>
      <c r="AX27" s="469"/>
      <c r="AY27" s="469"/>
      <c r="AZ27" s="469"/>
      <c r="BA27" s="469"/>
      <c r="BB27" s="469"/>
      <c r="BC27" s="469"/>
      <c r="BD27" s="469"/>
      <c r="BE27" s="469"/>
      <c r="BF27" s="469"/>
      <c r="BG27" s="469"/>
      <c r="BH27" s="469"/>
      <c r="BI27" s="469"/>
      <c r="BJ27" s="469"/>
      <c r="BK27" s="469"/>
      <c r="BL27" s="469"/>
      <c r="BM27" s="469"/>
      <c r="BN27" s="469"/>
      <c r="BO27" s="469"/>
      <c r="BP27" s="469"/>
      <c r="BQ27" s="469"/>
      <c r="BR27" s="469"/>
      <c r="BS27" s="469"/>
      <c r="BT27" s="469"/>
      <c r="BU27" s="469"/>
      <c r="BV27" s="469"/>
      <c r="BW27" s="469"/>
      <c r="BX27" s="469"/>
      <c r="BY27" s="469"/>
      <c r="BZ27" s="469"/>
      <c r="CA27" s="469"/>
      <c r="CB27" s="469"/>
      <c r="CC27" s="469"/>
      <c r="CD27" s="469"/>
      <c r="CE27" s="469"/>
      <c r="CF27" s="469"/>
      <c r="CG27" s="469"/>
      <c r="CH27" s="469"/>
      <c r="CI27" s="469"/>
      <c r="CJ27" s="469"/>
      <c r="CK27" s="469"/>
      <c r="CL27" s="469"/>
      <c r="CM27" s="469"/>
      <c r="CN27" s="469"/>
      <c r="CO27" s="469"/>
      <c r="CP27" s="469"/>
      <c r="CQ27" s="469"/>
      <c r="CR27" s="469"/>
      <c r="CS27" s="469"/>
      <c r="CT27" s="469"/>
      <c r="CU27" s="469"/>
      <c r="CV27" s="469"/>
      <c r="CW27" s="469"/>
      <c r="CX27" s="469"/>
      <c r="CY27" s="469"/>
      <c r="CZ27" s="469"/>
      <c r="DA27" s="469"/>
      <c r="DB27" s="469"/>
      <c r="DC27" s="469"/>
      <c r="DD27" s="469"/>
      <c r="DE27" s="469"/>
      <c r="DF27" s="469"/>
      <c r="DG27" s="469"/>
      <c r="DH27" s="469"/>
      <c r="DI27" s="469"/>
      <c r="DJ27" s="469"/>
      <c r="DK27" s="469"/>
      <c r="DL27" s="469"/>
      <c r="DM27" s="469"/>
      <c r="DN27" s="469"/>
      <c r="DO27" s="469"/>
      <c r="DP27" s="469"/>
      <c r="DQ27" s="469"/>
      <c r="DR27" s="469"/>
      <c r="DS27" s="469"/>
      <c r="DT27" s="469"/>
      <c r="DU27" s="469"/>
      <c r="DV27" s="469"/>
      <c r="DW27" s="469"/>
      <c r="DX27" s="469"/>
      <c r="DY27" s="469"/>
      <c r="DZ27" s="469"/>
      <c r="EA27" s="469"/>
      <c r="EB27" s="469"/>
      <c r="EC27" s="469"/>
      <c r="ED27" s="469"/>
      <c r="EE27" s="469"/>
      <c r="EF27" s="469"/>
      <c r="EG27" s="469"/>
      <c r="EH27" s="469"/>
      <c r="EI27" s="469"/>
      <c r="EJ27" s="469"/>
      <c r="EK27" s="469"/>
      <c r="EL27" s="469"/>
      <c r="EM27" s="469"/>
      <c r="EN27" s="469"/>
      <c r="EO27" s="469"/>
      <c r="EP27" s="469"/>
      <c r="EQ27" s="469"/>
      <c r="ER27" s="469"/>
      <c r="ES27" s="469"/>
      <c r="ET27" s="469"/>
      <c r="EU27" s="469"/>
      <c r="EV27" s="469"/>
      <c r="EW27" s="469"/>
      <c r="EX27" s="469"/>
      <c r="EY27" s="469"/>
      <c r="EZ27" s="469"/>
      <c r="FA27" s="469"/>
      <c r="FB27" s="469"/>
      <c r="FC27" s="469"/>
      <c r="FD27" s="469"/>
      <c r="FE27" s="469"/>
      <c r="FF27" s="469"/>
      <c r="FG27" s="469"/>
      <c r="FH27" s="469"/>
      <c r="FI27" s="469"/>
      <c r="FJ27" s="469"/>
      <c r="FK27" s="469"/>
      <c r="FL27" s="469"/>
      <c r="FM27" s="469"/>
      <c r="FN27" s="469"/>
      <c r="FO27" s="469"/>
      <c r="FP27" s="469"/>
      <c r="FQ27" s="469"/>
      <c r="FR27" s="469"/>
      <c r="FS27" s="469"/>
      <c r="FT27" s="469"/>
      <c r="FU27" s="469"/>
      <c r="FV27" s="469"/>
      <c r="FW27" s="469"/>
      <c r="FX27" s="469"/>
      <c r="FY27" s="469"/>
      <c r="FZ27" s="469"/>
      <c r="GA27" s="469"/>
      <c r="GB27" s="469"/>
      <c r="GC27" s="469"/>
      <c r="GD27" s="469"/>
      <c r="GE27" s="469"/>
      <c r="GF27" s="469"/>
      <c r="GG27" s="469"/>
      <c r="GH27" s="469"/>
      <c r="GI27" s="469"/>
      <c r="GJ27" s="469"/>
      <c r="GK27" s="469"/>
      <c r="GL27" s="469"/>
      <c r="GM27" s="469"/>
      <c r="GN27" s="469"/>
      <c r="GO27" s="469"/>
      <c r="GP27" s="469"/>
      <c r="GQ27" s="469"/>
      <c r="GR27" s="469"/>
      <c r="GS27" s="469"/>
      <c r="GT27" s="469"/>
      <c r="GU27" s="469"/>
      <c r="GV27" s="469"/>
      <c r="GW27" s="469"/>
      <c r="GX27" s="469"/>
      <c r="GY27" s="469"/>
      <c r="GZ27" s="469"/>
      <c r="HA27" s="469"/>
      <c r="HB27" s="469"/>
      <c r="HC27" s="469"/>
      <c r="HD27" s="469"/>
      <c r="HE27" s="469"/>
      <c r="HF27" s="469"/>
      <c r="HG27" s="469"/>
      <c r="HH27" s="469"/>
      <c r="HI27" s="469"/>
      <c r="HJ27" s="469"/>
      <c r="HK27" s="469"/>
      <c r="HL27" s="469"/>
      <c r="HM27" s="469"/>
      <c r="HN27" s="469"/>
      <c r="HO27" s="469"/>
      <c r="HP27" s="469"/>
      <c r="HQ27" s="469"/>
      <c r="HR27" s="469"/>
      <c r="HS27" s="469"/>
      <c r="HT27" s="469"/>
      <c r="HU27" s="469"/>
      <c r="HV27" s="469"/>
      <c r="HW27" s="469"/>
      <c r="HX27" s="469"/>
      <c r="HY27" s="469"/>
      <c r="HZ27" s="469"/>
      <c r="IA27" s="469"/>
      <c r="IB27" s="469"/>
      <c r="IC27" s="469"/>
      <c r="ID27" s="469"/>
      <c r="IE27" s="469"/>
      <c r="IF27" s="469"/>
      <c r="IG27" s="469"/>
      <c r="IH27" s="469"/>
      <c r="II27" s="469"/>
      <c r="IJ27" s="469"/>
      <c r="IK27" s="469"/>
      <c r="IL27" s="469"/>
      <c r="IM27" s="469"/>
      <c r="IN27" s="469"/>
      <c r="IO27" s="469"/>
      <c r="IP27" s="469"/>
      <c r="IQ27" s="469"/>
      <c r="IR27" s="469"/>
      <c r="IS27" s="469"/>
      <c r="IT27" s="469"/>
      <c r="IU27" s="469"/>
      <c r="IV27" s="469"/>
      <c r="IW27" s="469"/>
      <c r="IX27" s="469"/>
      <c r="IY27" s="469"/>
      <c r="IZ27" s="469"/>
      <c r="JA27" s="469"/>
      <c r="JB27" s="469"/>
      <c r="JC27" s="469"/>
      <c r="JD27" s="469"/>
      <c r="JE27" s="469"/>
      <c r="JF27" s="469"/>
      <c r="JG27" s="469"/>
      <c r="JH27" s="469"/>
      <c r="JI27" s="469"/>
      <c r="JJ27" s="469"/>
      <c r="JK27" s="469"/>
      <c r="JL27" s="469"/>
      <c r="JM27" s="469"/>
      <c r="JN27" s="469"/>
      <c r="JO27" s="469"/>
      <c r="JP27" s="469"/>
      <c r="JQ27" s="469"/>
      <c r="JR27" s="469"/>
      <c r="JS27" s="469"/>
      <c r="JT27" s="469"/>
      <c r="JU27" s="469"/>
      <c r="JV27" s="469"/>
      <c r="JW27" s="469"/>
      <c r="JX27" s="469"/>
      <c r="JY27" s="469"/>
      <c r="JZ27" s="469"/>
      <c r="KA27" s="469"/>
      <c r="KB27" s="469"/>
      <c r="KC27" s="469"/>
      <c r="KD27" s="469"/>
      <c r="KE27" s="469"/>
      <c r="KF27" s="469"/>
      <c r="KG27" s="469"/>
      <c r="KH27" s="469"/>
      <c r="KI27" s="469"/>
      <c r="KJ27" s="469"/>
      <c r="KK27" s="469"/>
      <c r="KL27" s="469"/>
      <c r="KM27" s="469"/>
      <c r="KN27" s="469"/>
      <c r="KO27" s="469"/>
      <c r="KP27" s="469"/>
      <c r="KQ27" s="469"/>
      <c r="KR27" s="469"/>
      <c r="KS27" s="469"/>
      <c r="KT27" s="469"/>
      <c r="KU27" s="469"/>
      <c r="KV27" s="469"/>
      <c r="KW27" s="469"/>
      <c r="KX27" s="469"/>
      <c r="KY27" s="469"/>
      <c r="KZ27" s="469"/>
      <c r="LA27" s="469"/>
      <c r="LB27" s="469"/>
      <c r="LC27" s="469"/>
      <c r="LD27" s="469"/>
      <c r="LE27" s="469"/>
      <c r="LF27" s="469"/>
      <c r="LG27" s="469"/>
      <c r="LH27" s="469"/>
      <c r="LI27" s="469"/>
      <c r="LJ27" s="469"/>
      <c r="LK27" s="469"/>
      <c r="LL27" s="469"/>
      <c r="LM27" s="469"/>
      <c r="LN27" s="469"/>
      <c r="LO27" s="469"/>
      <c r="LP27" s="469"/>
      <c r="LQ27" s="469"/>
      <c r="LR27" s="469"/>
      <c r="LS27" s="469"/>
      <c r="LT27" s="469"/>
      <c r="LU27" s="469"/>
      <c r="LV27" s="469"/>
      <c r="LW27" s="469"/>
      <c r="LX27" s="469"/>
      <c r="LY27" s="469"/>
      <c r="LZ27" s="469"/>
      <c r="MA27" s="469"/>
      <c r="MB27" s="469"/>
      <c r="MC27" s="469"/>
      <c r="MD27" s="469"/>
      <c r="ME27" s="469"/>
      <c r="MF27" s="469"/>
      <c r="MG27" s="469"/>
      <c r="MH27" s="469"/>
      <c r="MI27" s="469"/>
      <c r="MJ27" s="469"/>
      <c r="MK27" s="469"/>
      <c r="ML27" s="469"/>
      <c r="MM27" s="469"/>
      <c r="MN27" s="469"/>
      <c r="MO27" s="469"/>
      <c r="MP27" s="469"/>
      <c r="MQ27" s="469"/>
      <c r="MR27" s="469"/>
      <c r="MS27" s="469"/>
      <c r="MT27" s="469"/>
      <c r="MU27" s="469"/>
      <c r="MV27" s="469"/>
      <c r="MW27" s="469"/>
      <c r="MX27" s="469"/>
      <c r="MY27" s="469"/>
      <c r="MZ27" s="469"/>
      <c r="NA27" s="469"/>
      <c r="NB27" s="469"/>
      <c r="NC27" s="469"/>
      <c r="ND27" s="469"/>
      <c r="NE27" s="469"/>
      <c r="NF27" s="469"/>
      <c r="NG27" s="469"/>
      <c r="NH27" s="469"/>
      <c r="NI27" s="469"/>
      <c r="NJ27" s="469"/>
      <c r="NK27" s="469"/>
      <c r="NL27" s="469"/>
      <c r="NM27" s="469"/>
      <c r="NN27" s="469"/>
      <c r="NO27" s="469"/>
      <c r="NP27" s="469"/>
      <c r="NQ27" s="469"/>
      <c r="NR27" s="469"/>
      <c r="NS27" s="469"/>
      <c r="NT27" s="469"/>
      <c r="NU27" s="469"/>
      <c r="NV27" s="469"/>
      <c r="NW27" s="469"/>
      <c r="NX27" s="469"/>
      <c r="NY27" s="469"/>
      <c r="NZ27" s="469"/>
      <c r="OA27" s="469"/>
      <c r="OB27" s="469"/>
      <c r="OC27" s="469"/>
      <c r="OD27" s="469"/>
      <c r="OE27" s="469"/>
      <c r="OF27" s="469"/>
      <c r="OG27" s="469"/>
      <c r="OH27" s="469"/>
      <c r="OI27" s="469"/>
      <c r="OJ27" s="469"/>
      <c r="OK27" s="469"/>
      <c r="OL27" s="469"/>
      <c r="OM27" s="469"/>
      <c r="ON27" s="469"/>
      <c r="OO27" s="469"/>
      <c r="OP27" s="469"/>
      <c r="OQ27" s="469"/>
      <c r="OR27" s="469"/>
      <c r="OS27" s="469"/>
      <c r="OT27" s="469"/>
      <c r="OU27" s="469"/>
      <c r="OV27" s="469"/>
      <c r="OW27" s="469"/>
      <c r="OX27" s="469"/>
      <c r="OY27" s="469"/>
      <c r="OZ27" s="469"/>
      <c r="PA27" s="469"/>
      <c r="PB27" s="469"/>
      <c r="PC27" s="469"/>
      <c r="PD27" s="469"/>
      <c r="PE27" s="469"/>
      <c r="PF27" s="469"/>
      <c r="PG27" s="469"/>
      <c r="PH27" s="469"/>
      <c r="PI27" s="469"/>
      <c r="PJ27" s="469"/>
      <c r="PK27" s="469"/>
      <c r="PL27" s="469"/>
      <c r="PM27" s="469"/>
      <c r="PN27" s="469"/>
      <c r="PO27" s="469"/>
      <c r="PP27" s="469"/>
      <c r="PQ27" s="469"/>
      <c r="PR27" s="469"/>
      <c r="PS27" s="469"/>
      <c r="PT27" s="469"/>
      <c r="PU27" s="469"/>
      <c r="PV27" s="469"/>
      <c r="PW27" s="469"/>
      <c r="PX27" s="469"/>
      <c r="PY27" s="469"/>
      <c r="PZ27" s="469"/>
      <c r="QA27" s="469"/>
      <c r="QB27" s="469"/>
      <c r="QC27" s="469"/>
      <c r="QD27" s="469"/>
      <c r="QE27" s="469"/>
      <c r="QF27" s="469"/>
      <c r="QG27" s="469"/>
      <c r="QH27" s="469"/>
      <c r="QI27" s="469"/>
      <c r="QJ27" s="469"/>
      <c r="QK27" s="469"/>
      <c r="QL27" s="469"/>
      <c r="QM27" s="469"/>
      <c r="QN27" s="469"/>
      <c r="QO27" s="469"/>
      <c r="QP27" s="469"/>
      <c r="QQ27" s="469"/>
      <c r="QR27" s="469"/>
      <c r="QS27" s="469"/>
      <c r="QT27" s="469"/>
      <c r="QU27" s="469"/>
      <c r="QV27" s="469"/>
      <c r="QW27" s="469"/>
      <c r="QX27" s="469"/>
      <c r="QY27" s="469"/>
      <c r="QZ27" s="469"/>
      <c r="RA27" s="469"/>
      <c r="RB27" s="469"/>
      <c r="RC27" s="469"/>
      <c r="RD27" s="469"/>
      <c r="RE27" s="469"/>
      <c r="RF27" s="469"/>
      <c r="RG27" s="469"/>
      <c r="RH27" s="469"/>
      <c r="RI27" s="469"/>
      <c r="RJ27" s="469"/>
      <c r="RK27" s="469"/>
      <c r="RL27" s="469"/>
      <c r="RM27" s="469"/>
      <c r="RN27" s="469"/>
      <c r="RO27" s="469"/>
      <c r="RP27" s="469"/>
      <c r="RQ27" s="469"/>
      <c r="RR27" s="469"/>
      <c r="RS27" s="469"/>
      <c r="RT27" s="469"/>
      <c r="RU27" s="469"/>
      <c r="RV27" s="469"/>
      <c r="RW27" s="469"/>
      <c r="RX27" s="469"/>
      <c r="RY27" s="469"/>
      <c r="RZ27" s="469"/>
      <c r="SA27" s="469"/>
      <c r="SB27" s="469"/>
      <c r="SC27" s="469"/>
      <c r="SD27" s="469"/>
      <c r="SE27" s="469"/>
      <c r="SF27" s="469"/>
      <c r="SG27" s="469"/>
      <c r="SH27" s="469"/>
      <c r="SI27" s="469"/>
      <c r="SJ27" s="469"/>
      <c r="SK27" s="469"/>
      <c r="SL27" s="469"/>
      <c r="SM27" s="469"/>
      <c r="SN27" s="469"/>
      <c r="SO27" s="469"/>
      <c r="SP27" s="469"/>
      <c r="SQ27" s="469"/>
      <c r="SR27" s="469"/>
      <c r="SS27" s="469"/>
      <c r="ST27" s="469"/>
      <c r="SU27" s="469"/>
      <c r="SV27" s="469"/>
      <c r="SW27" s="469"/>
      <c r="SX27" s="469"/>
      <c r="SY27" s="469"/>
      <c r="SZ27" s="469"/>
      <c r="TA27" s="469"/>
      <c r="TB27" s="469"/>
      <c r="TC27" s="469"/>
      <c r="TD27" s="469"/>
      <c r="TE27" s="469"/>
      <c r="TF27" s="469"/>
      <c r="TG27" s="469"/>
      <c r="TH27" s="469"/>
      <c r="TI27" s="469"/>
      <c r="TJ27" s="469"/>
      <c r="TK27" s="469"/>
      <c r="TL27" s="469"/>
      <c r="TM27" s="469"/>
      <c r="TN27" s="469"/>
      <c r="TO27" s="469"/>
      <c r="TP27" s="469"/>
      <c r="TQ27" s="469"/>
      <c r="TR27" s="469"/>
      <c r="TS27" s="469"/>
      <c r="TT27" s="469"/>
      <c r="TU27" s="469"/>
      <c r="TV27" s="469"/>
      <c r="TW27" s="469"/>
      <c r="TX27" s="469"/>
      <c r="TY27" s="469"/>
      <c r="TZ27" s="469"/>
      <c r="UA27" s="469"/>
      <c r="UB27" s="469"/>
      <c r="UC27" s="469"/>
      <c r="UD27" s="469"/>
      <c r="UE27" s="469"/>
      <c r="UF27" s="469"/>
      <c r="UG27" s="469"/>
      <c r="UH27" s="469"/>
      <c r="UI27" s="469"/>
      <c r="UJ27" s="469"/>
      <c r="UK27" s="469"/>
      <c r="UL27" s="469"/>
      <c r="UM27" s="469"/>
      <c r="UN27" s="469"/>
      <c r="UO27" s="469"/>
      <c r="UP27" s="469"/>
      <c r="UQ27" s="469"/>
      <c r="UR27" s="469"/>
      <c r="US27" s="469"/>
      <c r="UT27" s="469"/>
      <c r="UU27" s="469"/>
      <c r="UV27" s="469"/>
      <c r="UW27" s="469"/>
      <c r="UX27" s="469"/>
      <c r="UY27" s="469"/>
      <c r="UZ27" s="469"/>
      <c r="VA27" s="469"/>
      <c r="VB27" s="469"/>
      <c r="VC27" s="469"/>
      <c r="VD27" s="469"/>
      <c r="VE27" s="469"/>
      <c r="VF27" s="469"/>
      <c r="VG27" s="469"/>
      <c r="VH27" s="469"/>
      <c r="VI27" s="469"/>
      <c r="VJ27" s="469"/>
      <c r="VK27" s="469"/>
      <c r="VL27" s="469"/>
      <c r="VM27" s="469"/>
      <c r="VN27" s="469"/>
      <c r="VO27" s="469"/>
      <c r="VP27" s="469"/>
      <c r="VQ27" s="469"/>
      <c r="VR27" s="469"/>
      <c r="VS27" s="469"/>
      <c r="VT27" s="469"/>
      <c r="VU27" s="469"/>
      <c r="VV27" s="469"/>
      <c r="VW27" s="469"/>
      <c r="VX27" s="469"/>
      <c r="VY27" s="469"/>
      <c r="VZ27" s="469"/>
      <c r="WA27" s="469"/>
      <c r="WB27" s="469"/>
      <c r="WC27" s="469"/>
      <c r="WD27" s="469"/>
      <c r="WE27" s="469"/>
      <c r="WF27" s="469"/>
      <c r="WG27" s="469"/>
      <c r="WH27" s="469"/>
      <c r="WI27" s="469"/>
      <c r="WJ27" s="469"/>
      <c r="WK27" s="469"/>
      <c r="WL27" s="469"/>
      <c r="WM27" s="469"/>
      <c r="WN27" s="469"/>
      <c r="WO27" s="469"/>
      <c r="WP27" s="469"/>
      <c r="WQ27" s="469"/>
      <c r="WR27" s="469"/>
      <c r="WS27" s="469"/>
      <c r="WT27" s="469"/>
      <c r="WU27" s="469"/>
      <c r="WV27" s="469"/>
      <c r="WW27" s="469"/>
      <c r="WX27" s="469"/>
      <c r="WY27" s="469"/>
      <c r="WZ27" s="469"/>
      <c r="XA27" s="469"/>
      <c r="XB27" s="469"/>
      <c r="XC27" s="469"/>
      <c r="XD27" s="469"/>
      <c r="XE27" s="469"/>
      <c r="XF27" s="469"/>
      <c r="XG27" s="469"/>
      <c r="XH27" s="469"/>
      <c r="XI27" s="469"/>
      <c r="XJ27" s="469"/>
      <c r="XK27" s="469"/>
      <c r="XL27" s="469"/>
      <c r="XM27" s="469"/>
      <c r="XN27" s="469"/>
      <c r="XO27" s="469"/>
      <c r="XP27" s="469"/>
      <c r="XQ27" s="469"/>
      <c r="XR27" s="469"/>
      <c r="XS27" s="469"/>
      <c r="XT27" s="469"/>
      <c r="XU27" s="469"/>
      <c r="XV27" s="469"/>
      <c r="XW27" s="469"/>
      <c r="XX27" s="469"/>
      <c r="XY27" s="469"/>
      <c r="XZ27" s="469"/>
      <c r="YA27" s="469"/>
      <c r="YB27" s="469"/>
      <c r="YC27" s="469"/>
      <c r="YD27" s="469"/>
      <c r="YE27" s="469"/>
      <c r="YF27" s="469"/>
      <c r="YG27" s="469"/>
      <c r="YH27" s="469"/>
      <c r="YI27" s="469"/>
      <c r="YJ27" s="469"/>
      <c r="YK27" s="469"/>
      <c r="YL27" s="469"/>
      <c r="YM27" s="469"/>
      <c r="YN27" s="469"/>
      <c r="YO27" s="469"/>
      <c r="YP27" s="469"/>
      <c r="YQ27" s="469"/>
      <c r="YR27" s="469"/>
      <c r="YS27" s="469"/>
      <c r="YT27" s="469"/>
      <c r="YU27" s="469"/>
      <c r="YV27" s="469"/>
      <c r="YW27" s="469"/>
      <c r="YX27" s="469"/>
      <c r="YY27" s="469"/>
      <c r="YZ27" s="469"/>
      <c r="ZA27" s="469"/>
      <c r="ZB27" s="469"/>
      <c r="ZC27" s="469"/>
      <c r="ZD27" s="469"/>
      <c r="ZE27" s="469"/>
      <c r="ZF27" s="469"/>
      <c r="ZG27" s="469"/>
      <c r="ZH27" s="469"/>
      <c r="ZI27" s="469"/>
      <c r="ZJ27" s="469"/>
      <c r="ZK27" s="469"/>
      <c r="ZL27" s="469"/>
      <c r="ZM27" s="469"/>
      <c r="ZN27" s="469"/>
      <c r="ZO27" s="469"/>
      <c r="ZP27" s="469"/>
      <c r="ZQ27" s="469"/>
      <c r="ZR27" s="469"/>
      <c r="ZS27" s="469"/>
      <c r="ZT27" s="469"/>
      <c r="ZU27" s="469"/>
      <c r="ZV27" s="469"/>
      <c r="ZW27" s="469"/>
      <c r="ZX27" s="469"/>
      <c r="ZY27" s="469"/>
      <c r="ZZ27" s="469"/>
      <c r="AAA27" s="469"/>
      <c r="AAB27" s="469"/>
      <c r="AAC27" s="469"/>
      <c r="AAD27" s="469"/>
      <c r="AAE27" s="469"/>
      <c r="AAF27" s="469"/>
      <c r="AAG27" s="469"/>
      <c r="AAH27" s="469"/>
      <c r="AAI27" s="469"/>
      <c r="AAJ27" s="469"/>
      <c r="AAK27" s="469"/>
      <c r="AAL27" s="469"/>
      <c r="AAM27" s="469"/>
      <c r="AAN27" s="469"/>
      <c r="AAO27" s="469"/>
      <c r="AAP27" s="469"/>
      <c r="AAQ27" s="469"/>
      <c r="AAR27" s="469"/>
      <c r="AAS27" s="469"/>
      <c r="AAT27" s="469"/>
      <c r="AAU27" s="469"/>
      <c r="AAV27" s="469"/>
      <c r="AAW27" s="469"/>
      <c r="AAX27" s="469"/>
      <c r="AAY27" s="469"/>
      <c r="AAZ27" s="469"/>
      <c r="ABA27" s="469"/>
      <c r="ABB27" s="469"/>
      <c r="ABC27" s="469"/>
      <c r="ABD27" s="469"/>
      <c r="ABE27" s="469"/>
      <c r="ABF27" s="469"/>
      <c r="ABG27" s="469"/>
      <c r="ABH27" s="469"/>
      <c r="ABI27" s="469"/>
      <c r="ABJ27" s="469"/>
      <c r="ABK27" s="469"/>
      <c r="ABL27" s="469"/>
      <c r="ABM27" s="469"/>
      <c r="ABN27" s="469"/>
      <c r="ABO27" s="469"/>
      <c r="ABP27" s="469"/>
      <c r="ABQ27" s="469"/>
      <c r="ABR27" s="469"/>
      <c r="ABS27" s="469"/>
      <c r="ABT27" s="469"/>
      <c r="ABU27" s="469"/>
      <c r="ABV27" s="469"/>
      <c r="ABW27" s="469"/>
      <c r="ABX27" s="469"/>
      <c r="ABY27" s="469"/>
      <c r="ABZ27" s="469"/>
      <c r="ACA27" s="469"/>
      <c r="ACB27" s="469"/>
      <c r="ACC27" s="469"/>
      <c r="ACD27" s="469"/>
      <c r="ACE27" s="469"/>
      <c r="ACF27" s="469"/>
      <c r="ACG27" s="469"/>
      <c r="ACH27" s="469"/>
      <c r="ACI27" s="469"/>
      <c r="ACJ27" s="469"/>
      <c r="ACK27" s="469"/>
      <c r="ACL27" s="469"/>
      <c r="ACM27" s="469"/>
      <c r="ACN27" s="469"/>
      <c r="ACO27" s="469"/>
      <c r="ACP27" s="469"/>
      <c r="ACQ27" s="469"/>
      <c r="ACR27" s="469"/>
      <c r="ACS27" s="469"/>
      <c r="ACT27" s="469"/>
      <c r="ACU27" s="469"/>
      <c r="ACV27" s="469"/>
      <c r="ACW27" s="469"/>
      <c r="ACX27" s="469"/>
      <c r="ACY27" s="469"/>
      <c r="ACZ27" s="469"/>
      <c r="ADA27" s="469"/>
      <c r="ADB27" s="469"/>
      <c r="ADC27" s="469"/>
      <c r="ADD27" s="469"/>
      <c r="ADE27" s="469"/>
      <c r="ADF27" s="469"/>
      <c r="ADG27" s="469"/>
      <c r="ADH27" s="469"/>
      <c r="ADI27" s="469"/>
      <c r="ADJ27" s="469"/>
      <c r="ADK27" s="469"/>
      <c r="ADL27" s="469"/>
      <c r="ADM27" s="469"/>
      <c r="ADN27" s="469"/>
      <c r="ADO27" s="469"/>
      <c r="ADP27" s="469"/>
      <c r="ADQ27" s="469"/>
      <c r="ADR27" s="469"/>
      <c r="ADS27" s="469"/>
      <c r="ADT27" s="469"/>
      <c r="ADU27" s="469"/>
      <c r="ADV27" s="469"/>
      <c r="ADW27" s="469"/>
      <c r="ADX27" s="469"/>
      <c r="ADY27" s="469"/>
      <c r="ADZ27" s="469"/>
      <c r="AEA27" s="469"/>
      <c r="AEB27" s="469"/>
      <c r="AEC27" s="469"/>
      <c r="AED27" s="469"/>
      <c r="AEE27" s="469"/>
      <c r="AEF27" s="469"/>
      <c r="AEG27" s="469"/>
      <c r="AEH27" s="469"/>
      <c r="AEI27" s="469"/>
      <c r="AEJ27" s="469"/>
      <c r="AEK27" s="469"/>
      <c r="AEL27" s="469"/>
      <c r="AEM27" s="469"/>
      <c r="AEN27" s="469"/>
      <c r="AEO27" s="469"/>
      <c r="AEP27" s="469"/>
      <c r="AEQ27" s="469"/>
      <c r="AER27" s="469"/>
      <c r="AES27" s="469"/>
      <c r="AET27" s="469"/>
      <c r="AEU27" s="469"/>
      <c r="AEV27" s="469"/>
      <c r="AEW27" s="469"/>
      <c r="AEX27" s="469"/>
      <c r="AEY27" s="469"/>
      <c r="AEZ27" s="469"/>
      <c r="AFA27" s="469"/>
      <c r="AFB27" s="469"/>
      <c r="AFC27" s="469"/>
      <c r="AFD27" s="469"/>
      <c r="AFE27" s="469"/>
      <c r="AFF27" s="469"/>
      <c r="AFG27" s="469"/>
      <c r="AFH27" s="469"/>
      <c r="AFI27" s="469"/>
      <c r="AFJ27" s="469"/>
      <c r="AFK27" s="469"/>
      <c r="AFL27" s="469"/>
      <c r="AFM27" s="469"/>
      <c r="AFN27" s="469"/>
      <c r="AFO27" s="469"/>
      <c r="AFP27" s="469"/>
      <c r="AFQ27" s="469"/>
      <c r="AFR27" s="469"/>
      <c r="AFS27" s="469"/>
      <c r="AFT27" s="469"/>
      <c r="AFU27" s="469"/>
      <c r="AFV27" s="469"/>
      <c r="AFW27" s="469"/>
      <c r="AFX27" s="469"/>
      <c r="AFY27" s="469"/>
      <c r="AFZ27" s="469"/>
      <c r="AGA27" s="469"/>
      <c r="AGB27" s="469"/>
      <c r="AGC27" s="469"/>
      <c r="AGD27" s="469"/>
      <c r="AGE27" s="469"/>
      <c r="AGF27" s="469"/>
      <c r="AGG27" s="469"/>
      <c r="AGH27" s="469"/>
      <c r="AGI27" s="469"/>
      <c r="AGJ27" s="469"/>
      <c r="AGK27" s="469"/>
      <c r="AGL27" s="469"/>
      <c r="AGM27" s="469"/>
      <c r="AGN27" s="469"/>
      <c r="AGO27" s="469"/>
      <c r="AGP27" s="469"/>
      <c r="AGQ27" s="469"/>
      <c r="AGR27" s="469"/>
      <c r="AGS27" s="469"/>
      <c r="AGT27" s="469"/>
      <c r="AGU27" s="469"/>
      <c r="AGV27" s="469"/>
      <c r="AGW27" s="469"/>
      <c r="AGX27" s="469"/>
      <c r="AGY27" s="469"/>
      <c r="AGZ27" s="469"/>
      <c r="AHA27" s="469"/>
      <c r="AHB27" s="469"/>
      <c r="AHC27" s="469"/>
      <c r="AHD27" s="469"/>
      <c r="AHE27" s="469"/>
      <c r="AHF27" s="469"/>
      <c r="AHG27" s="469"/>
      <c r="AHH27" s="469"/>
      <c r="AHI27" s="469"/>
      <c r="AHJ27" s="469"/>
      <c r="AHK27" s="469"/>
      <c r="AHL27" s="469"/>
      <c r="AHM27" s="469"/>
      <c r="AHN27" s="469"/>
      <c r="AHO27" s="469"/>
      <c r="AHP27" s="469"/>
      <c r="AHQ27" s="469"/>
      <c r="AHR27" s="469"/>
      <c r="AHS27" s="469"/>
      <c r="AHT27" s="469"/>
      <c r="AHU27" s="469"/>
      <c r="AHV27" s="469"/>
      <c r="AHW27" s="469"/>
      <c r="AHX27" s="469"/>
      <c r="AHY27" s="469"/>
      <c r="AHZ27" s="469"/>
      <c r="AIA27" s="469"/>
      <c r="AIB27" s="469"/>
      <c r="AIC27" s="469"/>
      <c r="AID27" s="469"/>
      <c r="AIE27" s="469"/>
      <c r="AIF27" s="469"/>
      <c r="AIG27" s="469"/>
      <c r="AIH27" s="469"/>
      <c r="AII27" s="469"/>
      <c r="AIJ27" s="469"/>
      <c r="AIK27" s="469"/>
      <c r="AIL27" s="469"/>
      <c r="AIM27" s="469"/>
      <c r="AIN27" s="469"/>
      <c r="AIO27" s="469"/>
      <c r="AIP27" s="469"/>
      <c r="AIQ27" s="469"/>
      <c r="AIR27" s="469"/>
      <c r="AIS27" s="469"/>
      <c r="AIT27" s="469"/>
      <c r="AIU27" s="469"/>
      <c r="AIV27" s="469"/>
      <c r="AIW27" s="469"/>
      <c r="AIX27" s="469"/>
      <c r="AIY27" s="469"/>
      <c r="AIZ27" s="469"/>
      <c r="AJA27" s="469"/>
      <c r="AJB27" s="469"/>
      <c r="AJC27" s="469"/>
      <c r="AJD27" s="469"/>
      <c r="AJE27" s="469"/>
      <c r="AJF27" s="469"/>
      <c r="AJG27" s="469"/>
      <c r="AJH27" s="469"/>
      <c r="AJI27" s="469"/>
      <c r="AJJ27" s="469"/>
      <c r="AJK27" s="469"/>
      <c r="AJL27" s="469"/>
      <c r="AJM27" s="469"/>
      <c r="AJN27" s="469"/>
      <c r="AJO27" s="469"/>
      <c r="AJP27" s="469"/>
      <c r="AJQ27" s="469"/>
      <c r="AJR27" s="469"/>
      <c r="AJS27" s="469"/>
      <c r="AJT27" s="469"/>
      <c r="AJU27" s="469"/>
      <c r="AJV27" s="469"/>
      <c r="AJW27" s="469"/>
      <c r="AJX27" s="469"/>
      <c r="AJY27" s="469"/>
      <c r="AJZ27" s="469"/>
      <c r="AKA27" s="469"/>
      <c r="AKB27" s="469"/>
      <c r="AKC27" s="469"/>
      <c r="AKD27" s="469"/>
      <c r="AKE27" s="469"/>
      <c r="AKF27" s="469"/>
      <c r="AKG27" s="469"/>
      <c r="AKH27" s="469"/>
      <c r="AKI27" s="469"/>
      <c r="AKJ27" s="469"/>
      <c r="AKK27" s="469"/>
      <c r="AKL27" s="469"/>
      <c r="AKM27" s="469"/>
      <c r="AKN27" s="469"/>
      <c r="AKO27" s="469"/>
      <c r="AKP27" s="469"/>
      <c r="AKQ27" s="469"/>
      <c r="AKR27" s="469"/>
      <c r="AKS27" s="469"/>
      <c r="AKT27" s="469"/>
      <c r="AKU27" s="469"/>
      <c r="AKV27" s="469"/>
      <c r="AKW27" s="469"/>
      <c r="AKX27" s="469"/>
      <c r="AKY27" s="469"/>
      <c r="AKZ27" s="469"/>
      <c r="ALA27" s="469"/>
      <c r="ALB27" s="469"/>
      <c r="ALC27" s="469"/>
      <c r="ALD27" s="469"/>
      <c r="ALE27" s="469"/>
      <c r="ALF27" s="469"/>
      <c r="ALG27" s="469"/>
      <c r="ALH27" s="469"/>
      <c r="ALI27" s="469"/>
      <c r="ALJ27" s="469"/>
      <c r="ALK27" s="469"/>
      <c r="ALL27" s="469"/>
      <c r="ALM27" s="469"/>
      <c r="ALN27" s="469"/>
      <c r="ALO27" s="469"/>
      <c r="ALP27" s="469"/>
      <c r="ALQ27" s="469"/>
      <c r="ALR27" s="469"/>
      <c r="ALS27" s="469"/>
      <c r="ALT27" s="469"/>
      <c r="ALU27" s="469"/>
      <c r="ALV27" s="469"/>
      <c r="ALW27" s="469"/>
      <c r="ALX27" s="469"/>
      <c r="ALY27" s="469"/>
      <c r="ALZ27" s="469"/>
      <c r="AMA27" s="469"/>
      <c r="AMB27" s="469"/>
      <c r="AMC27" s="469"/>
      <c r="AMD27" s="469"/>
      <c r="AME27" s="469"/>
      <c r="AMF27" s="469"/>
      <c r="AMG27" s="469"/>
      <c r="AMH27" s="469"/>
      <c r="AMI27" s="469"/>
      <c r="AMJ27" s="469"/>
    </row>
    <row r="28" spans="1:1024" x14ac:dyDescent="0.3">
      <c r="A28" s="674"/>
      <c r="B28" s="674"/>
      <c r="C28" s="674"/>
      <c r="D28" s="674"/>
      <c r="E28" s="674"/>
      <c r="F28" s="674"/>
      <c r="G28" s="674"/>
      <c r="H28" s="674"/>
      <c r="I28" s="674"/>
      <c r="J28" s="674"/>
      <c r="K28" s="674"/>
      <c r="L28" s="674"/>
      <c r="M28" s="674"/>
      <c r="N28" s="674"/>
      <c r="O28" s="674"/>
      <c r="P28" s="674"/>
      <c r="Q28" s="674"/>
      <c r="R28" s="674"/>
      <c r="S28" s="674"/>
      <c r="T28" s="674"/>
      <c r="U28" s="674"/>
      <c r="V28" s="674"/>
      <c r="W28" s="674"/>
    </row>
    <row r="29" spans="1:1024" x14ac:dyDescent="0.3">
      <c r="A29" s="674"/>
      <c r="B29" s="674"/>
      <c r="C29" s="674"/>
      <c r="D29" s="674"/>
      <c r="E29" s="674"/>
      <c r="F29" s="674"/>
      <c r="G29" s="674"/>
      <c r="H29" s="674"/>
      <c r="I29" s="674"/>
      <c r="J29" s="674"/>
      <c r="K29" s="674"/>
      <c r="L29" s="674"/>
      <c r="M29" s="674"/>
      <c r="N29" s="674"/>
      <c r="O29" s="674"/>
      <c r="P29" s="674"/>
      <c r="Q29" s="674"/>
      <c r="R29" s="674"/>
      <c r="S29" s="674"/>
      <c r="T29" s="674"/>
      <c r="U29" s="674"/>
      <c r="V29" s="674"/>
      <c r="W29" s="674"/>
    </row>
  </sheetData>
  <sheetProtection algorithmName="SHA-512" hashValue="XouEnY6CxxlBWhcr9MlG25r2ByFUGx2BUepvyf7i+WBbqxeFrZEqrF+Mx6yKHyQnbl2fk4FmJbsSpqwP82J1bg==" saltValue="KS8ZsK36/ieL1rBdU8b4PA==" spinCount="100000" sheet="1" objects="1" scenarios="1"/>
  <mergeCells count="31">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22:C22"/>
    <mergeCell ref="A23:V23"/>
    <mergeCell ref="A24:V24"/>
    <mergeCell ref="A12:A14"/>
    <mergeCell ref="A15:A20"/>
    <mergeCell ref="A25:W25"/>
    <mergeCell ref="A26:W26"/>
    <mergeCell ref="A27:W27"/>
    <mergeCell ref="A28:W28"/>
    <mergeCell ref="A29:W29"/>
  </mergeCells>
  <pageMargins left="0.51180555555555596" right="0.51180555555555596" top="0.78749999999999998" bottom="0.78749999999999998" header="0.511811023622047" footer="0.511811023622047"/>
  <pageSetup paperSize="9" scale="43" orientation="landscape" horizontalDpi="300" verticalDpi="300"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Template/>
  <TotalTime>173</TotalTime>
  <Application>Microsoft Excel</Application>
  <DocSecurity>0</DocSecurity>
  <ScaleCrop>false</ScaleCrop>
  <HeadingPairs>
    <vt:vector size="4" baseType="variant">
      <vt:variant>
        <vt:lpstr>Planilhas</vt:lpstr>
      </vt:variant>
      <vt:variant>
        <vt:i4>21</vt:i4>
      </vt:variant>
      <vt:variant>
        <vt:lpstr>Intervalos Nomeados</vt:lpstr>
      </vt:variant>
      <vt:variant>
        <vt:i4>15</vt:i4>
      </vt:variant>
    </vt:vector>
  </HeadingPairs>
  <TitlesOfParts>
    <vt:vector size="36" baseType="lpstr">
      <vt:lpstr>Ocorrências Mensais - FAT</vt:lpstr>
      <vt:lpstr>INSTRUÇÕES</vt:lpstr>
      <vt:lpstr>Dados</vt:lpstr>
      <vt:lpstr>Encargos</vt:lpstr>
      <vt:lpstr>Equipamentos</vt:lpstr>
      <vt:lpstr>EPI</vt:lpstr>
      <vt:lpstr>Insumos</vt:lpstr>
      <vt:lpstr>Uniformes</vt:lpstr>
      <vt:lpstr>Resumo</vt:lpstr>
      <vt:lpstr>Custo Substituto</vt:lpstr>
      <vt:lpstr>Assistente Administrativo 150</vt:lpstr>
      <vt:lpstr>Assistente Administrativo 200</vt:lpstr>
      <vt:lpstr>Encarregado Geral</vt:lpstr>
      <vt:lpstr>Copeira 200</vt:lpstr>
      <vt:lpstr>Servente Limpeza - Insal. (20%)</vt:lpstr>
      <vt:lpstr>Limpador de Vidro</vt:lpstr>
      <vt:lpstr>Recepcionista 150</vt:lpstr>
      <vt:lpstr>Servente Limpeza - Insal (40%)</vt:lpstr>
      <vt:lpstr>Servente Limpeza 200h</vt:lpstr>
      <vt:lpstr>Zelador acúmulo Lavador Jardin.</vt:lpstr>
      <vt:lpstr>IPCA</vt:lpstr>
      <vt:lpstr>'Assistente Administrativo 150'!Area_de_impressao</vt:lpstr>
      <vt:lpstr>'Assistente Administrativo 200'!Area_de_impressao</vt:lpstr>
      <vt:lpstr>'Copeira 200'!Area_de_impressao</vt:lpstr>
      <vt:lpstr>Dados!Area_de_impressao</vt:lpstr>
      <vt:lpstr>Encargos!Area_de_impressao</vt:lpstr>
      <vt:lpstr>'Encarregado Geral'!Area_de_impressao</vt:lpstr>
      <vt:lpstr>Insumos!Area_de_impressao</vt:lpstr>
      <vt:lpstr>'Limpador de Vidro'!Area_de_impressao</vt:lpstr>
      <vt:lpstr>'Recepcionista 150'!Area_de_impressao</vt:lpstr>
      <vt:lpstr>Resumo!Area_de_impressao</vt:lpstr>
      <vt:lpstr>'Servente Limpeza - Insal (40%)'!Area_de_impressao</vt:lpstr>
      <vt:lpstr>'Servente Limpeza - Insal. (20%)'!Area_de_impressao</vt:lpstr>
      <vt:lpstr>'Servente Limpeza 200h'!Area_de_impressao</vt:lpstr>
      <vt:lpstr>Uniformes!Area_de_impressao</vt:lpstr>
      <vt:lpstr>'Zelador acúmulo Lavador Jardin.'!Area_de_impressao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Rita Marcia Bruno</cp:lastModifiedBy>
  <cp:revision>27</cp:revision>
  <dcterms:created xsi:type="dcterms:W3CDTF">2015-06-05T18:17:20Z</dcterms:created>
  <dcterms:modified xsi:type="dcterms:W3CDTF">2026-03-25T14:15:27Z</dcterms:modified>
  <dc:language>pt-BR</dc:language>
</cp:coreProperties>
</file>